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2025\2025询价\7月\华滨酒店\"/>
    </mc:Choice>
  </mc:AlternateContent>
  <xr:revisionPtr revIDLastSave="0" documentId="13_ncr:1_{0534C59E-41FE-4DBF-976C-A3A156F839EA}" xr6:coauthVersionLast="47" xr6:coauthVersionMax="47"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办公租金" sheetId="84" r:id="rId12"/>
    <sheet name="Sheet3" sheetId="82" r:id="rId13"/>
    <sheet name="面积" sheetId="80" r:id="rId14"/>
    <sheet name="项目基本情况" sheetId="4" r:id="rId15"/>
    <sheet name="数据-基础表" sheetId="3"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收益法 (元)" sheetId="6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收益法-酒店模型" sheetId="77" r:id="rId38"/>
    <sheet name="收益法" sheetId="15" r:id="rId39"/>
    <sheet name="酒店经营收益说明表" sheetId="83" r:id="rId40"/>
    <sheet name="Sheet1" sheetId="85" r:id="rId41"/>
    <sheet name="Sheet2" sheetId="86"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12" hidden="1">Sheet3!$F$1:$F$423</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5"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4"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20">结果表!$A$1:$I$127</definedName>
    <definedName name="_xlnm.Print_Area" localSheetId="39">酒店经营收益说明表!$A$1:$I$21</definedName>
    <definedName name="_xlnm.Print_Area" localSheetId="38">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6">'数据-汇总表'!$A$1:$P$32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9">系统读取表!$A$1:$I$26</definedName>
    <definedName name="_xlnm.Print_Area" localSheetId="14">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29" i="1" l="1"/>
  <c r="M28" i="1"/>
  <c r="L24" i="1"/>
  <c r="L25" i="1"/>
  <c r="L23" i="1"/>
  <c r="M27" i="1" l="1"/>
  <c r="L27" i="1" s="1"/>
  <c r="L26" i="1" s="1"/>
  <c r="L35" i="1" s="1"/>
  <c r="L36" i="1" l="1"/>
  <c r="L37" i="1"/>
  <c r="G7" i="80"/>
  <c r="O19" i="1"/>
  <c r="O21" i="1" s="1"/>
  <c r="N6" i="1" s="1"/>
  <c r="B14" i="74"/>
  <c r="G34" i="6"/>
  <c r="R3" i="77"/>
  <c r="S55" i="84"/>
  <c r="S56" i="84" s="1"/>
  <c r="M16" i="77"/>
  <c r="B4" i="77"/>
  <c r="F19" i="6"/>
  <c r="G19" i="6"/>
  <c r="E14" i="77"/>
  <c r="P11" i="77"/>
  <c r="P10" i="77"/>
  <c r="P9" i="77"/>
  <c r="P8" i="77"/>
  <c r="P7" i="77"/>
  <c r="G5" i="83"/>
  <c r="K5" i="83" s="1"/>
  <c r="G6" i="83"/>
  <c r="K6" i="83" s="1"/>
  <c r="M6" i="83" s="1"/>
  <c r="K7" i="83"/>
  <c r="M7" i="83"/>
  <c r="G8" i="83"/>
  <c r="K8" i="83" s="1"/>
  <c r="M8" i="83" s="1"/>
  <c r="G9" i="83"/>
  <c r="K9" i="83" s="1"/>
  <c r="M9" i="83" s="1"/>
  <c r="G10" i="83"/>
  <c r="K10" i="83"/>
  <c r="M10" i="83" s="1"/>
  <c r="L14" i="83"/>
  <c r="N14" i="83" s="1"/>
  <c r="M14" i="83"/>
  <c r="Q14" i="83"/>
  <c r="L15" i="83"/>
  <c r="M15" i="83" s="1"/>
  <c r="N15" i="83"/>
  <c r="Q15" i="83"/>
  <c r="M16" i="83"/>
  <c r="N16" i="83"/>
  <c r="O16" i="83" s="1"/>
  <c r="Q16" i="83"/>
  <c r="K11" i="83" l="1"/>
  <c r="M5" i="83"/>
  <c r="M11" i="83" s="1"/>
  <c r="O15" i="83"/>
  <c r="G51" i="43"/>
  <c r="G52" i="43"/>
  <c r="G53" i="43"/>
  <c r="G54" i="43"/>
  <c r="G55" i="43"/>
  <c r="G56" i="43"/>
  <c r="G57" i="43"/>
  <c r="G58" i="43"/>
  <c r="G50" i="43"/>
  <c r="Y6" i="1"/>
  <c r="N8" i="1"/>
  <c r="N9" i="1"/>
  <c r="N10" i="1"/>
  <c r="N11" i="1"/>
  <c r="N12" i="1"/>
  <c r="N13" i="1"/>
  <c r="N14" i="1"/>
  <c r="K13" i="3"/>
  <c r="G10" i="80"/>
  <c r="I13" i="3" s="1"/>
  <c r="F13" i="80"/>
  <c r="J5" i="80" s="1"/>
  <c r="J6" i="80" s="1"/>
  <c r="M14" i="3" s="1"/>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6" i="79"/>
  <c r="AD35" i="79"/>
  <c r="AR40" i="79"/>
  <c r="AR41" i="79" s="1"/>
  <c r="AR42" i="79" s="1"/>
  <c r="AR43" i="79" s="1"/>
  <c r="AR44" i="79" s="1"/>
  <c r="AR45" i="79" s="1"/>
  <c r="AR46" i="79" s="1"/>
  <c r="AR47" i="79" s="1"/>
  <c r="AR48" i="79" s="1"/>
  <c r="AR49" i="79" s="1"/>
  <c r="AR50" i="79" s="1"/>
  <c r="AR51" i="79" s="1"/>
  <c r="AR52" i="79" s="1"/>
  <c r="T22" i="79"/>
  <c r="Z3" i="79"/>
  <c r="S33" i="79"/>
  <c r="AG33" i="79" s="1"/>
  <c r="S34" i="79"/>
  <c r="AG34" i="79" s="1"/>
  <c r="S35" i="79"/>
  <c r="AG35" i="79" s="1"/>
  <c r="W40" i="79"/>
  <c r="AK40" i="79" s="1"/>
  <c r="AH40" i="79"/>
  <c r="S48" i="79"/>
  <c r="AG48" i="79" s="1"/>
  <c r="S20" i="79"/>
  <c r="AG20" i="79" s="1"/>
  <c r="AR19" i="79"/>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8" i="79" l="1"/>
  <c r="AK48" i="79" s="1"/>
  <c r="AH48" i="79"/>
  <c r="W49" i="79"/>
  <c r="AK49" i="79" s="1"/>
  <c r="AH49" i="79"/>
  <c r="W35" i="79"/>
  <c r="AK35" i="79" s="1"/>
  <c r="AH35" i="79"/>
  <c r="W23" i="79"/>
  <c r="AK23" i="79" s="1"/>
  <c r="AH23" i="79"/>
  <c r="W12" i="79"/>
  <c r="AK12" i="79" s="1"/>
  <c r="AH12" i="79"/>
  <c r="W21" i="79"/>
  <c r="AK21" i="79" s="1"/>
  <c r="AH21" i="79"/>
  <c r="W47" i="79"/>
  <c r="AK47" i="79" s="1"/>
  <c r="AH47" i="79"/>
  <c r="W45" i="79"/>
  <c r="AK45" i="79" s="1"/>
  <c r="AH45" i="79"/>
  <c r="W13" i="79"/>
  <c r="AK13" i="79" s="1"/>
  <c r="AH13" i="79"/>
  <c r="W11" i="79"/>
  <c r="AK11" i="79" s="1"/>
  <c r="AH11" i="79"/>
  <c r="W17" i="79"/>
  <c r="AK17" i="79" s="1"/>
  <c r="AH17" i="79"/>
  <c r="W10" i="79"/>
  <c r="AK10" i="79" s="1"/>
  <c r="AH10" i="79"/>
  <c r="W18" i="79"/>
  <c r="AK18" i="79" s="1"/>
  <c r="AH18" i="79"/>
  <c r="W20" i="79"/>
  <c r="AK20" i="79" s="1"/>
  <c r="AH20" i="79"/>
  <c r="W34" i="79"/>
  <c r="AK34" i="79" s="1"/>
  <c r="AH34" i="79"/>
  <c r="W22" i="79"/>
  <c r="AK22" i="79" s="1"/>
  <c r="AH22" i="79"/>
  <c r="W15" i="79"/>
  <c r="AK15" i="79" s="1"/>
  <c r="AH15" i="79"/>
  <c r="W43" i="79"/>
  <c r="AK43" i="79" s="1"/>
  <c r="AH43"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R34" i="77"/>
  <c r="R33" i="77"/>
  <c r="C30" i="77"/>
  <c r="M24" i="77"/>
  <c r="R23" i="77"/>
  <c r="R22" i="77"/>
  <c r="R21" i="77"/>
  <c r="N19" i="77"/>
  <c r="R18" i="77"/>
  <c r="R17" i="77"/>
  <c r="R16" i="77"/>
  <c r="M14" i="77"/>
  <c r="N14" i="77" s="1"/>
  <c r="R13" i="77"/>
  <c r="R12" i="77"/>
  <c r="R11" i="77"/>
  <c r="R10" i="77"/>
  <c r="R9" i="77"/>
  <c r="R8" i="77"/>
  <c r="R7" i="77"/>
  <c r="R14" i="77" l="1"/>
  <c r="R24" i="77" s="1"/>
  <c r="R35" i="77"/>
  <c r="U34" i="77" s="1"/>
  <c r="AH9" i="71"/>
  <c r="AG9" i="71"/>
  <c r="AE9" i="71"/>
  <c r="AF9" i="71" s="1"/>
  <c r="AD9" i="71"/>
  <c r="Q9" i="71"/>
  <c r="P9" i="71"/>
  <c r="O9" i="71"/>
  <c r="N9" i="71"/>
  <c r="R19" i="77" l="1"/>
  <c r="AH10" i="71"/>
  <c r="AG10" i="71"/>
  <c r="AE10" i="71"/>
  <c r="AF10" i="71" s="1"/>
  <c r="AD10" i="71"/>
  <c r="Q10" i="71"/>
  <c r="P10" i="71"/>
  <c r="O10" i="71"/>
  <c r="N10" i="71"/>
  <c r="R5" i="77" l="1"/>
  <c r="U5" i="77" l="1"/>
  <c r="D6" i="77"/>
  <c r="E24" i="43"/>
  <c r="C23" i="77" l="1"/>
  <c r="D18" i="77"/>
  <c r="D16" i="77"/>
  <c r="D10" i="77"/>
  <c r="D15" i="77"/>
  <c r="D17" i="77"/>
  <c r="D9" i="77"/>
  <c r="Q32" i="43"/>
  <c r="P32" i="43"/>
  <c r="O32" i="43"/>
  <c r="N32" i="43"/>
  <c r="M32" i="43"/>
  <c r="AH11" i="71"/>
  <c r="AG11" i="71"/>
  <c r="AE11" i="71"/>
  <c r="AF11" i="71" s="1"/>
  <c r="AD11" i="71"/>
  <c r="Q11" i="71"/>
  <c r="P11" i="71"/>
  <c r="O11" i="71"/>
  <c r="N11" i="71"/>
  <c r="D23" i="77" l="1"/>
  <c r="C29" i="77"/>
  <c r="AH12" i="71"/>
  <c r="AG12" i="71"/>
  <c r="AE12" i="71"/>
  <c r="AF12" i="71" s="1"/>
  <c r="AD12" i="71"/>
  <c r="Q12" i="71"/>
  <c r="P12" i="71"/>
  <c r="O12" i="71"/>
  <c r="N12" i="71"/>
  <c r="D26" i="77" l="1"/>
  <c r="D32" i="77" s="1"/>
  <c r="D38" i="77" s="1"/>
  <c r="D29" i="77"/>
  <c r="E23" i="77"/>
  <c r="AH13" i="71"/>
  <c r="AG13" i="71"/>
  <c r="AE13" i="71"/>
  <c r="AF13" i="71" s="1"/>
  <c r="AD13" i="71"/>
  <c r="Q13" i="71"/>
  <c r="P13" i="71"/>
  <c r="O13" i="71"/>
  <c r="N13" i="71"/>
  <c r="E26" i="77" l="1"/>
  <c r="E29" i="77"/>
  <c r="E32" i="77"/>
  <c r="E38"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C75" i="71"/>
  <c r="D76" i="71"/>
  <c r="D80" i="71"/>
  <c r="F28" i="71"/>
  <c r="D63" i="71"/>
  <c r="D75" i="71"/>
  <c r="C74" i="71"/>
  <c r="D74" i="71" s="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M52" i="43"/>
  <c r="N52" i="43" s="1"/>
  <c r="K52" i="43"/>
  <c r="J52" i="43" s="1"/>
  <c r="M51" i="43"/>
  <c r="N51" i="43" s="1"/>
  <c r="K51" i="43"/>
  <c r="J51" i="43"/>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Q11" i="34"/>
  <c r="Z11" i="34" s="1"/>
  <c r="Q10" i="34"/>
  <c r="Z10" i="34" s="1"/>
  <c r="F10" i="34"/>
  <c r="AA10" i="34" s="1"/>
  <c r="Q9" i="34"/>
  <c r="Z9" i="34" s="1"/>
  <c r="J8" i="34"/>
  <c r="AC8" i="34" s="1"/>
  <c r="H8" i="34"/>
  <c r="U8" i="34" s="1"/>
  <c r="F8" i="34"/>
  <c r="D121" i="33"/>
  <c r="E121" i="33"/>
  <c r="F109" i="33"/>
  <c r="E109" i="33"/>
  <c r="D109" i="33"/>
  <c r="C109" i="33"/>
  <c r="D91" i="33"/>
  <c r="E91" i="33" s="1"/>
  <c r="F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25" i="39"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H40" i="21"/>
  <c r="AB40"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D37" i="43" s="1"/>
  <c r="H37" i="43" s="1"/>
  <c r="F34" i="21"/>
  <c r="AA34" i="21" s="1"/>
  <c r="H34" i="21"/>
  <c r="AB34" i="21" s="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F36" i="39"/>
  <c r="S36" i="39" s="1"/>
  <c r="H36" i="39"/>
  <c r="AB36" i="39"/>
  <c r="J35" i="39"/>
  <c r="AC35" i="39" s="1"/>
  <c r="F35" i="39"/>
  <c r="AA35" i="39"/>
  <c r="J36" i="39"/>
  <c r="AC36" i="39" s="1"/>
  <c r="U9" i="39"/>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U34" i="34"/>
  <c r="H39" i="33"/>
  <c r="AB39" i="33" s="1"/>
  <c r="F26" i="33"/>
  <c r="AA26" i="33"/>
  <c r="U33" i="33"/>
  <c r="U35" i="33"/>
  <c r="S40" i="33"/>
  <c r="W33" i="33"/>
  <c r="W39" i="33"/>
  <c r="H39" i="37"/>
  <c r="AB39" i="37" s="1"/>
  <c r="S27" i="35"/>
  <c r="F11" i="40"/>
  <c r="AA11" i="40" s="1"/>
  <c r="H11" i="40"/>
  <c r="AB11" i="40"/>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H11" i="39"/>
  <c r="S40" i="39"/>
  <c r="C15" i="39"/>
  <c r="H32" i="33"/>
  <c r="AB32" i="33"/>
  <c r="H11" i="21"/>
  <c r="U11" i="21" s="1"/>
  <c r="J11" i="21"/>
  <c r="W11" i="21" s="1"/>
  <c r="H37" i="40"/>
  <c r="U37" i="40"/>
  <c r="H36" i="40"/>
  <c r="AB36" i="40" s="1"/>
  <c r="F35" i="40"/>
  <c r="AA35" i="40"/>
  <c r="H23" i="40"/>
  <c r="AB23" i="40" s="1"/>
  <c r="H17" i="40"/>
  <c r="U17" i="40" s="1"/>
  <c r="J15" i="40"/>
  <c r="W15" i="40" s="1"/>
  <c r="J11" i="40"/>
  <c r="W11" i="40" s="1"/>
  <c r="AB8" i="39"/>
  <c r="AB12" i="35"/>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AZ183" i="3" s="1"/>
  <c r="BL184" i="3"/>
  <c r="G185" i="3"/>
  <c r="BA187" i="3"/>
  <c r="BL188" i="3"/>
  <c r="AZ188" i="3" s="1"/>
  <c r="G189" i="3"/>
  <c r="BA191" i="3"/>
  <c r="BL192" i="3"/>
  <c r="G193" i="3"/>
  <c r="BA195" i="3"/>
  <c r="AZ195" i="3" s="1"/>
  <c r="BL196" i="3"/>
  <c r="G197" i="3"/>
  <c r="BA199" i="3"/>
  <c r="BL200" i="3"/>
  <c r="G201" i="3"/>
  <c r="BA203" i="3"/>
  <c r="BL204" i="3"/>
  <c r="AZ55" i="3"/>
  <c r="AZ120" i="3"/>
  <c r="G534" i="3"/>
  <c r="G530" i="3"/>
  <c r="G522" i="3"/>
  <c r="G516" i="3"/>
  <c r="G512" i="3"/>
  <c r="G506" i="3"/>
  <c r="G498" i="3"/>
  <c r="G494" i="3"/>
  <c r="G16"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46" i="3"/>
  <c r="AZ162" i="3"/>
  <c r="AZ18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AZ335" i="3" s="1"/>
  <c r="G336" i="3"/>
  <c r="BA338" i="3"/>
  <c r="AZ338" i="3" s="1"/>
  <c r="BL339" i="3"/>
  <c r="AZ339" i="3"/>
  <c r="G340" i="3"/>
  <c r="BL343" i="3"/>
  <c r="G344" i="3"/>
  <c r="G348" i="3"/>
  <c r="G355" i="3"/>
  <c r="AZ218"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29" i="3"/>
  <c r="AZ233" i="3"/>
  <c r="AZ257" i="3"/>
  <c r="AZ265" i="3"/>
  <c r="BA379" i="3"/>
  <c r="AZ379" i="3" s="1"/>
  <c r="BL380" i="3"/>
  <c r="G381" i="3"/>
  <c r="BA383" i="3"/>
  <c r="AZ383" i="3" s="1"/>
  <c r="BL384" i="3"/>
  <c r="G385" i="3"/>
  <c r="BA387" i="3"/>
  <c r="AZ387" i="3" s="1"/>
  <c r="BL388" i="3"/>
  <c r="G389" i="3"/>
  <c r="BA391" i="3"/>
  <c r="AZ391" i="3" s="1"/>
  <c r="BL392" i="3"/>
  <c r="G393" i="3"/>
  <c r="AZ283" i="3"/>
  <c r="BO5" i="3"/>
  <c r="BM5" i="3"/>
  <c r="BJ5" i="3"/>
  <c r="BH5" i="3"/>
  <c r="BF5" i="3"/>
  <c r="BD5" i="3"/>
  <c r="AC5" i="3"/>
  <c r="AZ506" i="3"/>
  <c r="AZ496" i="3"/>
  <c r="G548" i="3"/>
  <c r="G538" i="3"/>
  <c r="G520" i="3"/>
  <c r="G502" i="3"/>
  <c r="BS5" i="3"/>
  <c r="BP5" i="3"/>
  <c r="BN5" i="3"/>
  <c r="BK5" i="3"/>
  <c r="BI5" i="3"/>
  <c r="BG5" i="3"/>
  <c r="BE5" i="3"/>
  <c r="G17" i="3"/>
  <c r="BA17" i="3"/>
  <c r="BT5" i="3"/>
  <c r="AZ350" i="3"/>
  <c r="BA15" i="3"/>
  <c r="BB5" i="3"/>
  <c r="BR5" i="3"/>
  <c r="AZ380" i="3"/>
  <c r="AZ392" i="3"/>
  <c r="G509" i="3"/>
  <c r="BL493" i="3"/>
  <c r="AZ493" i="3" s="1"/>
  <c r="U36" i="40"/>
  <c r="F83" i="43"/>
  <c r="H85" i="43" s="1"/>
  <c r="F50" i="43"/>
  <c r="H54" i="43" s="1"/>
  <c r="F72" i="43"/>
  <c r="H75" i="43" s="1"/>
  <c r="U17" i="39"/>
  <c r="S14" i="35"/>
  <c r="U43" i="21"/>
  <c r="U35" i="21"/>
  <c r="AC35"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80" i="3"/>
  <c r="AZ69" i="3"/>
  <c r="AZ7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C12" i="39"/>
  <c r="W12" i="39"/>
  <c r="AZ465" i="3"/>
  <c r="W12" i="33"/>
  <c r="AC12" i="33"/>
  <c r="AA32" i="36"/>
  <c r="S32" i="36"/>
  <c r="BL14" i="3"/>
  <c r="U30" i="33"/>
  <c r="AC13" i="34"/>
  <c r="AA47" i="34"/>
  <c r="W28" i="37"/>
  <c r="S19" i="39"/>
  <c r="F12" i="33"/>
  <c r="H12" i="39"/>
  <c r="AB12" i="39" s="1"/>
  <c r="F39" i="40"/>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AB27" i="33" s="1"/>
  <c r="F87" i="33"/>
  <c r="H25" i="33"/>
  <c r="U25" i="33" s="1"/>
  <c r="F25" i="33"/>
  <c r="S25" i="33" s="1"/>
  <c r="J23" i="33"/>
  <c r="AC23" i="33" s="1"/>
  <c r="F85" i="33"/>
  <c r="H23" i="33"/>
  <c r="AB23" i="33" s="1"/>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F34" i="67"/>
  <c r="F62" i="67" s="1"/>
  <c r="M20" i="67"/>
  <c r="F34" i="15"/>
  <c r="F62" i="15" s="1"/>
  <c r="BL17" i="3"/>
  <c r="AZ17" i="3"/>
  <c r="BL13" i="3"/>
  <c r="J56" i="9"/>
  <c r="J57" i="9" s="1"/>
  <c r="J59" i="9" s="1"/>
  <c r="J61" i="9" s="1"/>
  <c r="A24" i="51"/>
  <c r="B18" i="72"/>
  <c r="U29" i="34"/>
  <c r="E5" i="6"/>
  <c r="E32" i="6"/>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W19" i="37" s="1"/>
  <c r="G75" i="37"/>
  <c r="AA19" i="37"/>
  <c r="AA23" i="37"/>
  <c r="J23" i="37"/>
  <c r="AC23" i="37" s="1"/>
  <c r="G79" i="37"/>
  <c r="J10" i="37"/>
  <c r="W10" i="37" s="1"/>
  <c r="H11" i="37"/>
  <c r="AB11" i="37" s="1"/>
  <c r="G70" i="34"/>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c r="J91" i="33" s="1"/>
  <c r="K91" i="33" s="1"/>
  <c r="L91" i="33" s="1"/>
  <c r="M91" i="33" s="1"/>
  <c r="J27" i="33"/>
  <c r="AC27" i="33" s="1"/>
  <c r="AB25" i="33"/>
  <c r="AA25" i="33"/>
  <c r="G87" i="33"/>
  <c r="H87" i="33"/>
  <c r="I87" i="33" s="1"/>
  <c r="J87" i="33" s="1"/>
  <c r="K87" i="33" s="1"/>
  <c r="L87" i="33" s="1"/>
  <c r="M87" i="33" s="1"/>
  <c r="J25" i="33"/>
  <c r="AC25" i="33" s="1"/>
  <c r="U23" i="33"/>
  <c r="F23" i="33"/>
  <c r="G85" i="33"/>
  <c r="AA19" i="33"/>
  <c r="H19" i="33"/>
  <c r="U19" i="33" s="1"/>
  <c r="H17" i="33"/>
  <c r="U17" i="33" s="1"/>
  <c r="F17" i="33"/>
  <c r="S17" i="33" s="1"/>
  <c r="W17" i="33"/>
  <c r="S37" i="21"/>
  <c r="AB15" i="21"/>
  <c r="J23" i="21"/>
  <c r="F85" i="21"/>
  <c r="G85" i="21" s="1"/>
  <c r="H23" i="21"/>
  <c r="S13" i="21"/>
  <c r="AP7" i="1"/>
  <c r="AB45" i="21"/>
  <c r="AB9" i="21"/>
  <c r="AA32" i="21"/>
  <c r="S32" i="21"/>
  <c r="W9" i="21"/>
  <c r="AB32" i="21"/>
  <c r="U32" i="21"/>
  <c r="U32" i="39"/>
  <c r="AC32" i="39"/>
  <c r="W23" i="37"/>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2" i="76"/>
  <c r="F4" i="73"/>
  <c r="J15" i="67"/>
  <c r="B12" i="76"/>
  <c r="C76" i="67"/>
  <c r="E7" i="76"/>
  <c r="B13" i="76"/>
  <c r="E2" i="69"/>
  <c r="F40" i="67"/>
  <c r="B8" i="76"/>
  <c r="F6" i="73"/>
  <c r="E9" i="76"/>
  <c r="F8" i="67"/>
  <c r="F7" i="73"/>
  <c r="M8" i="67"/>
  <c r="M6" i="67"/>
  <c r="B7" i="76"/>
  <c r="F20" i="31"/>
  <c r="M22" i="67"/>
  <c r="M24" i="67"/>
  <c r="F5" i="73"/>
  <c r="F3" i="73"/>
  <c r="B10" i="76"/>
  <c r="F37" i="67"/>
  <c r="E10" i="76"/>
  <c r="D6" i="73"/>
  <c r="E8" i="76"/>
  <c r="E2" i="68"/>
  <c r="F6" i="67"/>
  <c r="F26" i="67"/>
  <c r="M26" i="67"/>
  <c r="B11" i="76"/>
  <c r="E11" i="76"/>
  <c r="AO13" i="1"/>
  <c r="M9" i="67"/>
  <c r="E13" i="76"/>
  <c r="B9" i="76"/>
  <c r="F38" i="67"/>
  <c r="C40" i="69" l="1"/>
  <c r="F7" i="1"/>
  <c r="G7" i="1" s="1"/>
  <c r="C36" i="77"/>
  <c r="G44" i="43"/>
  <c r="C18" i="9"/>
  <c r="D18" i="9" s="1"/>
  <c r="G1" i="69"/>
  <c r="B6" i="1"/>
  <c r="E6" i="1" s="1"/>
  <c r="G1" i="15"/>
  <c r="K1" i="12"/>
  <c r="K6" i="1"/>
  <c r="AP6" i="1" s="1"/>
  <c r="BC5" i="3"/>
  <c r="D53" i="43"/>
  <c r="D52" i="43"/>
  <c r="D50" i="43"/>
  <c r="F28" i="15"/>
  <c r="F28" i="67"/>
  <c r="F32" i="67"/>
  <c r="F60" i="67" s="1"/>
  <c r="M18" i="15"/>
  <c r="M18" i="67"/>
  <c r="F30" i="11"/>
  <c r="C48" i="11" s="1"/>
  <c r="F54" i="9"/>
  <c r="F32" i="15"/>
  <c r="F60" i="15" s="1"/>
  <c r="F52" i="9"/>
  <c r="F30" i="68"/>
  <c r="F48" i="68" s="1"/>
  <c r="D68" i="9"/>
  <c r="F30" i="69"/>
  <c r="F48" i="69" s="1"/>
  <c r="F31" i="12"/>
  <c r="G29" i="6"/>
  <c r="BA14" i="3"/>
  <c r="H5" i="3"/>
  <c r="BA13" i="3"/>
  <c r="C23" i="40"/>
  <c r="C17" i="40"/>
  <c r="B75" i="43"/>
  <c r="B57" i="43"/>
  <c r="AC9" i="35"/>
  <c r="W9" i="35"/>
  <c r="AB33" i="36"/>
  <c r="U33" i="36"/>
  <c r="U36" i="33"/>
  <c r="AB36" i="33"/>
  <c r="AC9" i="34"/>
  <c r="W9" i="34"/>
  <c r="AB19" i="33"/>
  <c r="W17" i="21"/>
  <c r="S14" i="40"/>
  <c r="AA25" i="21"/>
  <c r="AC36" i="34"/>
  <c r="AZ519" i="3"/>
  <c r="AZ531" i="3"/>
  <c r="AZ573" i="3"/>
  <c r="AZ583" i="3"/>
  <c r="AZ568" i="3"/>
  <c r="AZ576" i="3"/>
  <c r="S44" i="34"/>
  <c r="AA14" i="34"/>
  <c r="AA14" i="37"/>
  <c r="U34" i="21"/>
  <c r="H9" i="33"/>
  <c r="AC31" i="35"/>
  <c r="J12" i="34"/>
  <c r="F12" i="34"/>
  <c r="S12" i="34" s="1"/>
  <c r="J39" i="40"/>
  <c r="H39" i="40"/>
  <c r="AZ469" i="3"/>
  <c r="D6" i="52"/>
  <c r="S36" i="33"/>
  <c r="S17" i="37"/>
  <c r="W33" i="34"/>
  <c r="AA40" i="34"/>
  <c r="S23" i="21"/>
  <c r="W15" i="21"/>
  <c r="S30" i="40"/>
  <c r="AZ14" i="3"/>
  <c r="AZ345" i="3"/>
  <c r="AZ334" i="3"/>
  <c r="AZ372" i="3"/>
  <c r="AZ347" i="3"/>
  <c r="AZ337" i="3"/>
  <c r="AZ376" i="3"/>
  <c r="AZ309" i="3"/>
  <c r="AA11" i="39"/>
  <c r="AZ523" i="3"/>
  <c r="AZ547" i="3"/>
  <c r="AZ571" i="3"/>
  <c r="AZ579" i="3"/>
  <c r="AB46" i="34"/>
  <c r="AB30" i="21"/>
  <c r="G585" i="3"/>
  <c r="BL587" i="3"/>
  <c r="AZ587" i="3" s="1"/>
  <c r="BL586" i="3"/>
  <c r="AZ586" i="3" s="1"/>
  <c r="U12" i="39"/>
  <c r="AA27" i="40"/>
  <c r="AB27" i="40"/>
  <c r="AZ362" i="3"/>
  <c r="AZ390" i="3"/>
  <c r="AZ351" i="3"/>
  <c r="AZ336" i="3"/>
  <c r="AB33" i="40"/>
  <c r="AC31" i="33"/>
  <c r="AZ539" i="3"/>
  <c r="AZ529" i="3"/>
  <c r="AZ537" i="3"/>
  <c r="AZ518" i="3"/>
  <c r="AZ546" i="3"/>
  <c r="AB45" i="33"/>
  <c r="AA29" i="35"/>
  <c r="AB17" i="34"/>
  <c r="B101" i="43"/>
  <c r="B79" i="43"/>
  <c r="F9" i="34"/>
  <c r="AA9" i="34" s="1"/>
  <c r="H9" i="34"/>
  <c r="H23" i="36"/>
  <c r="J23" i="36"/>
  <c r="AZ407" i="3"/>
  <c r="AZ451" i="3"/>
  <c r="AC11" i="39"/>
  <c r="F29" i="6"/>
  <c r="E29" i="6" s="1"/>
  <c r="K15" i="1" s="1"/>
  <c r="AZ318" i="3"/>
  <c r="AZ346" i="3"/>
  <c r="AZ306" i="3"/>
  <c r="AZ513" i="3"/>
  <c r="AZ548" i="3"/>
  <c r="AZ502" i="3"/>
  <c r="BL585" i="3"/>
  <c r="AZ585" i="3" s="1"/>
  <c r="F23" i="36"/>
  <c r="AC40" i="39"/>
  <c r="W40" i="39"/>
  <c r="G566" i="3"/>
  <c r="AZ466" i="3"/>
  <c r="AZ476" i="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84" i="3"/>
  <c r="AZ384" i="3" s="1"/>
  <c r="BA386" i="3"/>
  <c r="AZ386" i="3" s="1"/>
  <c r="H23" i="35"/>
  <c r="G551" i="3"/>
  <c r="BL550" i="3"/>
  <c r="G542" i="3"/>
  <c r="BL15" i="3"/>
  <c r="AZ15" i="3" s="1"/>
  <c r="BA398" i="3"/>
  <c r="BA399" i="3"/>
  <c r="AZ399" i="3" s="1"/>
  <c r="BL401" i="3"/>
  <c r="BL404" i="3"/>
  <c r="BL405" i="3"/>
  <c r="BL407" i="3"/>
  <c r="BA412" i="3"/>
  <c r="AZ412" i="3" s="1"/>
  <c r="BA414" i="3"/>
  <c r="AZ414" i="3" s="1"/>
  <c r="BA415" i="3"/>
  <c r="BA416" i="3"/>
  <c r="AZ416" i="3" s="1"/>
  <c r="BA418" i="3"/>
  <c r="AZ418" i="3" s="1"/>
  <c r="BA421" i="3"/>
  <c r="AZ421" i="3" s="1"/>
  <c r="BA423" i="3"/>
  <c r="AZ423" i="3" s="1"/>
  <c r="BA425" i="3"/>
  <c r="BA426" i="3"/>
  <c r="BA427" i="3"/>
  <c r="AZ427" i="3" s="1"/>
  <c r="BA433" i="3"/>
  <c r="AZ433" i="3" s="1"/>
  <c r="BA435" i="3"/>
  <c r="AZ435" i="3" s="1"/>
  <c r="BL437" i="3"/>
  <c r="AZ437" i="3" s="1"/>
  <c r="G439" i="3"/>
  <c r="BL441" i="3"/>
  <c r="BL442" i="3"/>
  <c r="BL444" i="3"/>
  <c r="AZ444" i="3" s="1"/>
  <c r="G446" i="3"/>
  <c r="BL448" i="3"/>
  <c r="AZ448" i="3" s="1"/>
  <c r="G450" i="3"/>
  <c r="BA454" i="3"/>
  <c r="AZ454" i="3" s="1"/>
  <c r="BA457" i="3"/>
  <c r="AZ457" i="3" s="1"/>
  <c r="BA459" i="3"/>
  <c r="AZ459" i="3" s="1"/>
  <c r="BA460" i="3"/>
  <c r="BA461" i="3"/>
  <c r="BL464" i="3"/>
  <c r="BL466" i="3"/>
  <c r="G468" i="3"/>
  <c r="BL476" i="3"/>
  <c r="BL477" i="3"/>
  <c r="BL478" i="3"/>
  <c r="BL480" i="3"/>
  <c r="AZ480" i="3" s="1"/>
  <c r="BA483" i="3"/>
  <c r="BL483" i="3"/>
  <c r="AZ483" i="3" s="1"/>
  <c r="BA486" i="3"/>
  <c r="BL489" i="3"/>
  <c r="BL491" i="3"/>
  <c r="AZ491" i="3" s="1"/>
  <c r="BL492" i="3"/>
  <c r="BA315" i="3"/>
  <c r="AZ315" i="3" s="1"/>
  <c r="BA333" i="3"/>
  <c r="BL346" i="3"/>
  <c r="AZ217" i="3"/>
  <c r="G574" i="3"/>
  <c r="BL16" i="3"/>
  <c r="AZ16" i="3" s="1"/>
  <c r="BA401" i="3"/>
  <c r="AZ401" i="3" s="1"/>
  <c r="BA403" i="3"/>
  <c r="AZ403" i="3" s="1"/>
  <c r="BA404" i="3"/>
  <c r="BA405" i="3"/>
  <c r="BL410" i="3"/>
  <c r="G412" i="3"/>
  <c r="G418" i="3"/>
  <c r="BA422" i="3"/>
  <c r="AZ422" i="3" s="1"/>
  <c r="G429" i="3"/>
  <c r="BL431" i="3"/>
  <c r="G433" i="3"/>
  <c r="BL434" i="3"/>
  <c r="G436" i="3"/>
  <c r="BL438" i="3"/>
  <c r="BL439" i="3"/>
  <c r="BA441" i="3"/>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551" i="3"/>
  <c r="AZ551" i="3" s="1"/>
  <c r="BA550" i="3"/>
  <c r="AZ550" i="3" s="1"/>
  <c r="BL548" i="3"/>
  <c r="AZ458" i="3"/>
  <c r="AZ462" i="3"/>
  <c r="BA249" i="3"/>
  <c r="AZ249" i="3" s="1"/>
  <c r="BL249" i="3"/>
  <c r="BA251" i="3"/>
  <c r="BL251" i="3"/>
  <c r="BA253" i="3"/>
  <c r="BL260" i="3"/>
  <c r="BL263" i="3"/>
  <c r="BL270" i="3"/>
  <c r="AZ270" i="3" s="1"/>
  <c r="BA272" i="3"/>
  <c r="AZ272" i="3" s="1"/>
  <c r="BL275" i="3"/>
  <c r="AZ275" i="3" s="1"/>
  <c r="BL285" i="3"/>
  <c r="BL287" i="3"/>
  <c r="BA290" i="3"/>
  <c r="BL299" i="3"/>
  <c r="BL113" i="3"/>
  <c r="BL115" i="3"/>
  <c r="AZ115" i="3" s="1"/>
  <c r="BA118" i="3"/>
  <c r="AZ118" i="3" s="1"/>
  <c r="BL118" i="3"/>
  <c r="BA122" i="3"/>
  <c r="AZ122" i="3" s="1"/>
  <c r="BL125" i="3"/>
  <c r="AZ125" i="3" s="1"/>
  <c r="BL126" i="3"/>
  <c r="BA144" i="3"/>
  <c r="AZ144" i="3" s="1"/>
  <c r="BL157" i="3"/>
  <c r="BL159" i="3"/>
  <c r="AZ159" i="3" s="1"/>
  <c r="BA177" i="3"/>
  <c r="BA178" i="3"/>
  <c r="BA182" i="3"/>
  <c r="BL185" i="3"/>
  <c r="G186" i="3"/>
  <c r="G187" i="3"/>
  <c r="BL193" i="3"/>
  <c r="G194" i="3"/>
  <c r="BL194" i="3"/>
  <c r="AZ194" i="3" s="1"/>
  <c r="BA198" i="3"/>
  <c r="BL205" i="3"/>
  <c r="BL207" i="3"/>
  <c r="BL18" i="3"/>
  <c r="G19" i="3"/>
  <c r="BL19" i="3"/>
  <c r="AZ19" i="3" s="1"/>
  <c r="BA20" i="3"/>
  <c r="G27" i="3"/>
  <c r="BA27" i="3"/>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AZ273" i="3" s="1"/>
  <c r="BA277" i="3"/>
  <c r="AZ277" i="3" s="1"/>
  <c r="BL277" i="3"/>
  <c r="BA282" i="3"/>
  <c r="BL282" i="3"/>
  <c r="BA284" i="3"/>
  <c r="AZ284" i="3" s="1"/>
  <c r="BL290" i="3"/>
  <c r="BL291" i="3"/>
  <c r="AZ291" i="3" s="1"/>
  <c r="BL293" i="3"/>
  <c r="BL294" i="3"/>
  <c r="BA297" i="3"/>
  <c r="BL297" i="3"/>
  <c r="BL300" i="3"/>
  <c r="BA302" i="3"/>
  <c r="AZ302" i="3" s="1"/>
  <c r="BA117" i="3"/>
  <c r="BA130" i="3"/>
  <c r="BL130" i="3"/>
  <c r="BA137" i="3"/>
  <c r="AZ137" i="3" s="1"/>
  <c r="BL138" i="3"/>
  <c r="BA140" i="3"/>
  <c r="AZ140" i="3" s="1"/>
  <c r="BA142" i="3"/>
  <c r="BL149" i="3"/>
  <c r="AZ149" i="3" s="1"/>
  <c r="BL150" i="3"/>
  <c r="BA152" i="3"/>
  <c r="AZ152" i="3" s="1"/>
  <c r="BA154" i="3"/>
  <c r="AZ154" i="3" s="1"/>
  <c r="BL173" i="3"/>
  <c r="AZ173" i="3" s="1"/>
  <c r="BA176" i="3"/>
  <c r="AZ176" i="3" s="1"/>
  <c r="AA18" i="36"/>
  <c r="S18" i="36"/>
  <c r="F34" i="71"/>
  <c r="F35" i="71" s="1"/>
  <c r="F36" i="71" s="1"/>
  <c r="V36" i="71" s="1"/>
  <c r="AB33" i="71"/>
  <c r="AB28" i="7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BA157" i="3"/>
  <c r="AZ157" i="3" s="1"/>
  <c r="BA164" i="3"/>
  <c r="AZ164" i="3" s="1"/>
  <c r="BA166" i="3"/>
  <c r="AZ166" i="3" s="1"/>
  <c r="BA169" i="3"/>
  <c r="AZ169" i="3" s="1"/>
  <c r="BL171" i="3"/>
  <c r="AZ171" i="3" s="1"/>
  <c r="BA174" i="3"/>
  <c r="BL177" i="3"/>
  <c r="BL198" i="3"/>
  <c r="BL199" i="3"/>
  <c r="AZ199" i="3" s="1"/>
  <c r="BA200" i="3"/>
  <c r="AZ200" i="3" s="1"/>
  <c r="G205" i="3"/>
  <c r="BA30" i="3"/>
  <c r="BA31" i="3"/>
  <c r="AZ31" i="3" s="1"/>
  <c r="BA32"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AZ294" i="3"/>
  <c r="BL181" i="3"/>
  <c r="AZ181" i="3" s="1"/>
  <c r="BA184" i="3"/>
  <c r="AZ184" i="3" s="1"/>
  <c r="BL187" i="3"/>
  <c r="AZ187" i="3" s="1"/>
  <c r="BL189" i="3"/>
  <c r="AZ189" i="3" s="1"/>
  <c r="BL190" i="3"/>
  <c r="AZ190" i="3" s="1"/>
  <c r="BA192" i="3"/>
  <c r="AZ192" i="3" s="1"/>
  <c r="BL197" i="3"/>
  <c r="AZ197" i="3" s="1"/>
  <c r="BL201" i="3"/>
  <c r="AZ201" i="3" s="1"/>
  <c r="BL203" i="3"/>
  <c r="AZ203" i="3" s="1"/>
  <c r="AZ27" i="3"/>
  <c r="F40" i="68"/>
  <c r="C21" i="68"/>
  <c r="C40" i="68"/>
  <c r="T72" i="71"/>
  <c r="C71" i="71"/>
  <c r="D72" i="71"/>
  <c r="U76" i="71"/>
  <c r="E75" i="71"/>
  <c r="E74" i="71" s="1"/>
  <c r="G37" i="3"/>
  <c r="BL40" i="3"/>
  <c r="BL41" i="3"/>
  <c r="AZ41" i="3" s="1"/>
  <c r="BL45" i="3"/>
  <c r="BA48" i="3"/>
  <c r="BA49" i="3"/>
  <c r="AZ49" i="3" s="1"/>
  <c r="BA51" i="3"/>
  <c r="G55" i="3"/>
  <c r="BL56" i="3"/>
  <c r="BA58" i="3"/>
  <c r="BL59" i="3"/>
  <c r="AZ59" i="3" s="1"/>
  <c r="BL60" i="3"/>
  <c r="BA61" i="3"/>
  <c r="AZ61" i="3" s="1"/>
  <c r="BA68" i="3"/>
  <c r="BA73" i="3"/>
  <c r="BA79" i="3"/>
  <c r="AZ79" i="3" s="1"/>
  <c r="BA84" i="3"/>
  <c r="AZ84" i="3" s="1"/>
  <c r="BL88" i="3"/>
  <c r="AZ88" i="3" s="1"/>
  <c r="BL90" i="3"/>
  <c r="BL112" i="3"/>
  <c r="AC29" i="39"/>
  <c r="W29" i="39"/>
  <c r="E28" i="71"/>
  <c r="AA27" i="71"/>
  <c r="AA28" i="71"/>
  <c r="D38" i="71"/>
  <c r="C39" i="71"/>
  <c r="C31" i="71"/>
  <c r="Y30" i="71"/>
  <c r="Z30" i="71" s="1"/>
  <c r="AA38" i="71"/>
  <c r="AA39" i="71"/>
  <c r="D84" i="71"/>
  <c r="C83" i="71"/>
  <c r="F27" i="71"/>
  <c r="F26" i="71" s="1"/>
  <c r="AB27" i="71"/>
  <c r="AB26" i="71"/>
  <c r="V24" i="71"/>
  <c r="E23" i="71"/>
  <c r="E22" i="71" s="1"/>
  <c r="E21" i="71" s="1"/>
  <c r="E20" i="71" s="1"/>
  <c r="BA204" i="3"/>
  <c r="AZ204" i="3" s="1"/>
  <c r="BA18" i="3"/>
  <c r="BL21" i="3"/>
  <c r="G23" i="3"/>
  <c r="BL29" i="3"/>
  <c r="G33" i="3"/>
  <c r="G34" i="3"/>
  <c r="BA37" i="3"/>
  <c r="BL39" i="3"/>
  <c r="G43" i="3"/>
  <c r="G44" i="3"/>
  <c r="BA45" i="3"/>
  <c r="AZ45" i="3" s="1"/>
  <c r="BA46" i="3"/>
  <c r="BL49" i="3"/>
  <c r="BL50" i="3"/>
  <c r="AZ50" i="3" s="1"/>
  <c r="BL51" i="3"/>
  <c r="BL53" i="3"/>
  <c r="BA56" i="3"/>
  <c r="BA57" i="3"/>
  <c r="AZ57" i="3" s="1"/>
  <c r="BL58" i="3"/>
  <c r="G60" i="3"/>
  <c r="BA60" i="3"/>
  <c r="BA63" i="3"/>
  <c r="AZ63" i="3" s="1"/>
  <c r="BA66" i="3"/>
  <c r="BA71" i="3"/>
  <c r="BL77" i="3"/>
  <c r="AZ77" i="3" s="1"/>
  <c r="BL81" i="3"/>
  <c r="BA82" i="3"/>
  <c r="AZ82" i="3" s="1"/>
  <c r="BL83" i="3"/>
  <c r="G88" i="3"/>
  <c r="BA90" i="3"/>
  <c r="BA94" i="3"/>
  <c r="AZ94" i="3" s="1"/>
  <c r="BA100" i="3"/>
  <c r="BA103" i="3"/>
  <c r="AZ103" i="3" s="1"/>
  <c r="BA104" i="3"/>
  <c r="G109" i="3"/>
  <c r="BA111" i="3"/>
  <c r="AZ111" i="3" s="1"/>
  <c r="P65" i="71"/>
  <c r="P66" i="71"/>
  <c r="Y26" i="71"/>
  <c r="Z26" i="71" s="1"/>
  <c r="C28" i="71"/>
  <c r="Y28" i="71"/>
  <c r="Z28" i="71" s="1"/>
  <c r="Y25" i="71"/>
  <c r="Z25" i="71" s="1"/>
  <c r="Y35" i="71"/>
  <c r="Z35" i="71" s="1"/>
  <c r="Y37" i="71"/>
  <c r="Z37" i="71" s="1"/>
  <c r="X36" i="71"/>
  <c r="X35" i="71"/>
  <c r="X38" i="71"/>
  <c r="C47" i="71"/>
  <c r="D47" i="71" s="1"/>
  <c r="D46" i="7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BA25" i="3"/>
  <c r="AZ25" i="3" s="1"/>
  <c r="BA26" i="3"/>
  <c r="G28" i="3"/>
  <c r="BL28" i="3"/>
  <c r="AZ28" i="3" s="1"/>
  <c r="BA29" i="3"/>
  <c r="AZ29" i="3" s="1"/>
  <c r="BA36" i="3"/>
  <c r="BL38" i="3"/>
  <c r="AZ38" i="3" s="1"/>
  <c r="BA39" i="3"/>
  <c r="AZ39" i="3" s="1"/>
  <c r="BL47" i="3"/>
  <c r="AZ47" i="3" s="1"/>
  <c r="G49" i="3"/>
  <c r="G50" i="3"/>
  <c r="G52" i="3"/>
  <c r="BA52" i="3"/>
  <c r="AZ52" i="3" s="1"/>
  <c r="BA53" i="3"/>
  <c r="AZ53" i="3" s="1"/>
  <c r="BA54" i="3"/>
  <c r="BL57" i="3"/>
  <c r="G59" i="3"/>
  <c r="G62" i="3"/>
  <c r="BL62" i="3"/>
  <c r="AZ62" i="3" s="1"/>
  <c r="BL63" i="3"/>
  <c r="G65" i="3"/>
  <c r="BL65" i="3"/>
  <c r="AZ65" i="3" s="1"/>
  <c r="BL66" i="3"/>
  <c r="BL67" i="3"/>
  <c r="AZ67" i="3" s="1"/>
  <c r="G69" i="3"/>
  <c r="G70" i="3"/>
  <c r="BL70" i="3"/>
  <c r="AZ70" i="3" s="1"/>
  <c r="BL71" i="3"/>
  <c r="BL72" i="3"/>
  <c r="AZ72" i="3" s="1"/>
  <c r="G74" i="3"/>
  <c r="G75" i="3"/>
  <c r="BL75" i="3"/>
  <c r="AZ75" i="3" s="1"/>
  <c r="BL91" i="3"/>
  <c r="BL100" i="3"/>
  <c r="BL105" i="3"/>
  <c r="AZ105" i="3" s="1"/>
  <c r="BL107" i="3"/>
  <c r="B13" i="1"/>
  <c r="E13" i="1" s="1"/>
  <c r="K13" i="1"/>
  <c r="M13" i="1" s="1"/>
  <c r="O13" i="1" s="1"/>
  <c r="P13" i="1" s="1"/>
  <c r="P27" i="6"/>
  <c r="AA3" i="71"/>
  <c r="Y27" i="71"/>
  <c r="Z27" i="71" s="1"/>
  <c r="AB32" i="71"/>
  <c r="AA34" i="71"/>
  <c r="AA30" i="71"/>
  <c r="AA37" i="71"/>
  <c r="C51" i="71"/>
  <c r="D56" i="71"/>
  <c r="T56" i="71"/>
  <c r="C60" i="71"/>
  <c r="D59" i="71"/>
  <c r="N67" i="71"/>
  <c r="B66" i="71"/>
  <c r="F66" i="71"/>
  <c r="Q67" i="71"/>
  <c r="T80" i="71"/>
  <c r="C79" i="71"/>
  <c r="G81" i="3"/>
  <c r="G85" i="3"/>
  <c r="BL85" i="3"/>
  <c r="BA86" i="3"/>
  <c r="AZ86" i="3" s="1"/>
  <c r="BA87" i="3"/>
  <c r="BA91" i="3"/>
  <c r="AZ91" i="3" s="1"/>
  <c r="G96" i="3"/>
  <c r="BL97" i="3"/>
  <c r="AZ97" i="3" s="1"/>
  <c r="BL101" i="3"/>
  <c r="AZ101" i="3" s="1"/>
  <c r="BL102" i="3"/>
  <c r="AZ102" i="3" s="1"/>
  <c r="G104" i="3"/>
  <c r="G105" i="3"/>
  <c r="BL106" i="3"/>
  <c r="BA108" i="3"/>
  <c r="AZ108" i="3" s="1"/>
  <c r="BA110" i="3"/>
  <c r="AZ110" i="3" s="1"/>
  <c r="F3" i="35"/>
  <c r="S21" i="33"/>
  <c r="S21" i="37"/>
  <c r="S25" i="40"/>
  <c r="B77" i="43"/>
  <c r="AA18" i="35"/>
  <c r="O67" i="71"/>
  <c r="C87" i="71"/>
  <c r="E79" i="71"/>
  <c r="E78" i="71" s="1"/>
  <c r="AB25" i="71"/>
  <c r="C43" i="71"/>
  <c r="C35" i="71"/>
  <c r="N68" i="71"/>
  <c r="E38" i="71"/>
  <c r="E39" i="71" s="1"/>
  <c r="E40" i="71" s="1"/>
  <c r="U40" i="71" s="1"/>
  <c r="B34" i="71"/>
  <c r="B35" i="71" s="1"/>
  <c r="B36" i="71" s="1"/>
  <c r="S36" i="71" s="1"/>
  <c r="X33" i="71"/>
  <c r="AB37" i="71"/>
  <c r="C66" i="71"/>
  <c r="S28" i="71"/>
  <c r="X28" i="71"/>
  <c r="X32" i="71"/>
  <c r="F40" i="71"/>
  <c r="V40" i="71" s="1"/>
  <c r="AB38" i="71"/>
  <c r="F75" i="71"/>
  <c r="F74" i="71" s="1"/>
  <c r="E35" i="71"/>
  <c r="E36" i="71" s="1"/>
  <c r="U36" i="71" s="1"/>
  <c r="AB31" i="71"/>
  <c r="AA36" i="71"/>
  <c r="B47" i="71"/>
  <c r="B48" i="71" s="1"/>
  <c r="S48"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D33" i="43" s="1"/>
  <c r="D1" i="43"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F66" i="67"/>
  <c r="Q71" i="67"/>
  <c r="C27" i="67"/>
  <c r="B13" i="70"/>
  <c r="F68" i="67"/>
  <c r="C36" i="68"/>
  <c r="D9" i="69"/>
  <c r="C36" i="69"/>
  <c r="D9" i="68"/>
  <c r="J15" i="15"/>
  <c r="M23" i="67"/>
  <c r="F36" i="67"/>
  <c r="L48" i="67"/>
  <c r="F13" i="15"/>
  <c r="F42" i="67"/>
  <c r="F13" i="67"/>
  <c r="F37" i="15"/>
  <c r="D4" i="73"/>
  <c r="F26" i="15"/>
  <c r="F16" i="67"/>
  <c r="D5" i="73"/>
  <c r="F43" i="67"/>
  <c r="F38" i="15"/>
  <c r="M24" i="15"/>
  <c r="F9" i="15"/>
  <c r="F6" i="15"/>
  <c r="M6" i="15"/>
  <c r="F16" i="15"/>
  <c r="F7" i="67"/>
  <c r="M28" i="15"/>
  <c r="F40" i="15"/>
  <c r="F9" i="67"/>
  <c r="M22" i="15"/>
  <c r="M9" i="15"/>
  <c r="M8" i="15"/>
  <c r="C76" i="15"/>
  <c r="M28" i="67"/>
  <c r="F42" i="15"/>
  <c r="F7" i="15"/>
  <c r="F36" i="15"/>
  <c r="M29" i="15"/>
  <c r="D7" i="73"/>
  <c r="L48" i="15"/>
  <c r="M29" i="67"/>
  <c r="D3" i="73"/>
  <c r="L47" i="67"/>
  <c r="F8" i="15"/>
  <c r="M23" i="15"/>
  <c r="F43" i="15"/>
  <c r="M26" i="15"/>
  <c r="L47" i="15"/>
  <c r="C44" i="43" l="1"/>
  <c r="F36" i="77"/>
  <c r="D39" i="77"/>
  <c r="E39" i="77"/>
  <c r="F71" i="15"/>
  <c r="F68" i="15"/>
  <c r="Q71" i="15"/>
  <c r="L59" i="15"/>
  <c r="Q61" i="15" s="1"/>
  <c r="N59" i="15"/>
  <c r="M59" i="15"/>
  <c r="F51" i="15"/>
  <c r="F66" i="15"/>
  <c r="F50" i="15"/>
  <c r="M7" i="15"/>
  <c r="J6" i="15" s="1"/>
  <c r="J18" i="15" s="1"/>
  <c r="F30" i="6"/>
  <c r="E28" i="6"/>
  <c r="K14" i="1" s="1"/>
  <c r="M14" i="1" s="1"/>
  <c r="Q16" i="1"/>
  <c r="F27" i="69" s="1"/>
  <c r="C47" i="69" s="1"/>
  <c r="D45" i="69" s="1"/>
  <c r="C30" i="11"/>
  <c r="J53" i="67"/>
  <c r="Q52" i="67" s="1"/>
  <c r="J57" i="67"/>
  <c r="J55" i="67" s="1"/>
  <c r="J58" i="67" s="1"/>
  <c r="Q50" i="67" s="1"/>
  <c r="L56" i="67"/>
  <c r="I54" i="67"/>
  <c r="G8" i="1"/>
  <c r="G16" i="1" s="1"/>
  <c r="F10" i="39" s="1"/>
  <c r="S10" i="39" s="1"/>
  <c r="G26" i="43"/>
  <c r="P6" i="1"/>
  <c r="C13" i="12" s="1"/>
  <c r="H16" i="1"/>
  <c r="N94" i="46"/>
  <c r="J26" i="43"/>
  <c r="N370" i="46"/>
  <c r="F26" i="43"/>
  <c r="E26" i="43"/>
  <c r="E59" i="40"/>
  <c r="F64" i="67"/>
  <c r="F71" i="67"/>
  <c r="I54" i="15"/>
  <c r="L58" i="15"/>
  <c r="Q73" i="15" s="1"/>
  <c r="J53" i="15"/>
  <c r="L56" i="15" s="1"/>
  <c r="J57" i="15"/>
  <c r="J55" i="15" s="1"/>
  <c r="J58" i="15" s="1"/>
  <c r="Q50" i="15" s="1"/>
  <c r="F65" i="15"/>
  <c r="L59" i="67"/>
  <c r="Q61" i="67" s="1"/>
  <c r="N59" i="67"/>
  <c r="L58" i="67"/>
  <c r="Q60" i="67" s="1"/>
  <c r="M59" i="67"/>
  <c r="C6" i="67"/>
  <c r="C32" i="67" s="1"/>
  <c r="M7" i="67"/>
  <c r="J6" i="67" s="1"/>
  <c r="J18" i="67" s="1"/>
  <c r="F31" i="67"/>
  <c r="F50" i="67"/>
  <c r="C49" i="67" s="1"/>
  <c r="C27" i="15"/>
  <c r="C6" i="15"/>
  <c r="C32" i="15" s="1"/>
  <c r="F64" i="15"/>
  <c r="G5" i="3"/>
  <c r="B3" i="3" s="1"/>
  <c r="E539" i="3" s="1"/>
  <c r="C78" i="71"/>
  <c r="D78" i="71" s="1"/>
  <c r="D79" i="71"/>
  <c r="N65" i="71"/>
  <c r="N66" i="71"/>
  <c r="AZ21" i="3"/>
  <c r="T28" i="71"/>
  <c r="D28" i="71"/>
  <c r="U28" i="71" s="1"/>
  <c r="C27" i="71"/>
  <c r="AZ100" i="3"/>
  <c r="AZ71" i="3"/>
  <c r="C40" i="71"/>
  <c r="D39" i="71"/>
  <c r="AZ51" i="3"/>
  <c r="AZ353" i="3"/>
  <c r="AZ297" i="3"/>
  <c r="AZ256" i="3"/>
  <c r="AZ198" i="3"/>
  <c r="AZ178" i="3"/>
  <c r="AZ404" i="3"/>
  <c r="AZ460" i="3"/>
  <c r="AZ425" i="3"/>
  <c r="U23" i="36"/>
  <c r="AB23" i="36"/>
  <c r="W12" i="34"/>
  <c r="AC12" i="34"/>
  <c r="C36" i="71"/>
  <c r="D35" i="71"/>
  <c r="C86" i="71"/>
  <c r="D86" i="71" s="1"/>
  <c r="D87" i="71"/>
  <c r="AZ66" i="3"/>
  <c r="AZ58" i="3"/>
  <c r="AZ177" i="3"/>
  <c r="AZ415" i="3"/>
  <c r="AZ398" i="3"/>
  <c r="U9" i="34"/>
  <c r="AB9" i="34"/>
  <c r="U39" i="40"/>
  <c r="AB39" i="40"/>
  <c r="O65" i="71"/>
  <c r="D66" i="71"/>
  <c r="O66" i="71"/>
  <c r="C44" i="71"/>
  <c r="D43" i="71"/>
  <c r="C52" i="71"/>
  <c r="D51" i="71"/>
  <c r="C82" i="71"/>
  <c r="D82" i="71" s="1"/>
  <c r="D83" i="71"/>
  <c r="C70" i="71"/>
  <c r="D70" i="71" s="1"/>
  <c r="D71" i="71"/>
  <c r="AZ20" i="3"/>
  <c r="U23" i="35"/>
  <c r="AB23" i="35"/>
  <c r="AA23" i="36"/>
  <c r="S23" i="36"/>
  <c r="AC39" i="40"/>
  <c r="W39" i="40"/>
  <c r="AB9" i="33"/>
  <c r="U9" i="33"/>
  <c r="D60" i="71"/>
  <c r="T60" i="71"/>
  <c r="D31" i="71"/>
  <c r="C32" i="71"/>
  <c r="AZ271" i="3"/>
  <c r="AZ130" i="3"/>
  <c r="AZ282" i="3"/>
  <c r="AZ241" i="3"/>
  <c r="AZ210" i="3"/>
  <c r="AZ182" i="3"/>
  <c r="AZ251" i="3"/>
  <c r="AZ464" i="3"/>
  <c r="AZ441" i="3"/>
  <c r="AZ405" i="3"/>
  <c r="AZ461" i="3"/>
  <c r="AC23" i="36"/>
  <c r="W23" i="36"/>
  <c r="J7" i="37"/>
  <c r="K1" i="73"/>
  <c r="E510" i="3"/>
  <c r="E536" i="3"/>
  <c r="E199" i="3"/>
  <c r="E575" i="3"/>
  <c r="E499" i="3"/>
  <c r="R6" i="3"/>
  <c r="E442" i="3"/>
  <c r="E466" i="3"/>
  <c r="E541" i="3"/>
  <c r="E449" i="3"/>
  <c r="E255" i="3"/>
  <c r="I3" i="6"/>
  <c r="E554" i="3"/>
  <c r="E517" i="3"/>
  <c r="E435" i="3"/>
  <c r="E417" i="3"/>
  <c r="E479" i="3"/>
  <c r="E56" i="3"/>
  <c r="E95" i="3"/>
  <c r="E152" i="3"/>
  <c r="E192" i="3"/>
  <c r="E241" i="3"/>
  <c r="E292" i="3"/>
  <c r="E363" i="3"/>
  <c r="E389" i="3"/>
  <c r="E544" i="3"/>
  <c r="E76" i="3"/>
  <c r="E409" i="3"/>
  <c r="E484" i="3"/>
  <c r="E425" i="3"/>
  <c r="E64" i="3"/>
  <c r="E46" i="3"/>
  <c r="E103" i="3"/>
  <c r="E267" i="3"/>
  <c r="E249" i="3"/>
  <c r="E300"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8" i="1"/>
  <c r="AE12" i="1"/>
  <c r="AE10" i="1"/>
  <c r="G1" i="73"/>
  <c r="C16" i="15"/>
  <c r="C16" i="67"/>
  <c r="F27" i="68" l="1"/>
  <c r="C47" i="68" s="1"/>
  <c r="D45" i="68" s="1"/>
  <c r="F28" i="12"/>
  <c r="C29" i="12" s="1"/>
  <c r="D28" i="12" s="1"/>
  <c r="F27" i="11"/>
  <c r="C29" i="11" s="1"/>
  <c r="D27" i="11" s="1"/>
  <c r="C49" i="15"/>
  <c r="F1" i="67"/>
  <c r="Q74" i="15"/>
  <c r="K16" i="1"/>
  <c r="F45" i="69"/>
  <c r="C29" i="69"/>
  <c r="D27" i="69" s="1"/>
  <c r="D26" i="43"/>
  <c r="C25" i="43" s="1"/>
  <c r="E3" i="6"/>
  <c r="H6" i="3"/>
  <c r="F1" i="15"/>
  <c r="J5" i="67"/>
  <c r="J24" i="67" s="1"/>
  <c r="J10" i="40"/>
  <c r="AC10" i="40" s="1"/>
  <c r="H10" i="40"/>
  <c r="AB10" i="40" s="1"/>
  <c r="J10" i="39"/>
  <c r="W10" i="39" s="1"/>
  <c r="AA10" i="39"/>
  <c r="F10" i="40"/>
  <c r="S10" i="40" s="1"/>
  <c r="Q52" i="15"/>
  <c r="H10" i="39"/>
  <c r="U10" i="39" s="1"/>
  <c r="Q73" i="67"/>
  <c r="J5" i="15"/>
  <c r="J24" i="15" s="1"/>
  <c r="Q60" i="15"/>
  <c r="Q74" i="67"/>
  <c r="T32" i="71"/>
  <c r="D32" i="71"/>
  <c r="D44" i="71"/>
  <c r="T44" i="71"/>
  <c r="C26" i="71"/>
  <c r="D26" i="71" s="1"/>
  <c r="D27" i="71"/>
  <c r="E212" i="3"/>
  <c r="T36" i="71"/>
  <c r="D36" i="71"/>
  <c r="T40" i="71"/>
  <c r="D40" i="71"/>
  <c r="T52" i="71"/>
  <c r="D52" i="71"/>
  <c r="E371" i="3"/>
  <c r="E160" i="3"/>
  <c r="E467" i="3"/>
  <c r="E59" i="3"/>
  <c r="E349" i="3"/>
  <c r="E258" i="3"/>
  <c r="E37" i="3"/>
  <c r="E491" i="3"/>
  <c r="AP6" i="3"/>
  <c r="AC6" i="3" s="1"/>
  <c r="E430" i="3"/>
  <c r="E502" i="3"/>
  <c r="E286"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AE7" i="1"/>
  <c r="AE6" i="1"/>
  <c r="M27" i="67"/>
  <c r="M27" i="15"/>
  <c r="F41" i="67"/>
  <c r="B5" i="77" l="1"/>
  <c r="D14" i="77" s="1"/>
  <c r="R4" i="77"/>
  <c r="C48" i="15"/>
  <c r="C66" i="15" s="1"/>
  <c r="C29" i="68"/>
  <c r="D27" i="68" s="1"/>
  <c r="F45" i="68"/>
  <c r="C47" i="11"/>
  <c r="D45" i="11" s="1"/>
  <c r="F69" i="67"/>
  <c r="E6" i="3"/>
  <c r="W10" i="40"/>
  <c r="AC10" i="39"/>
  <c r="U10" i="40"/>
  <c r="AB10" i="39"/>
  <c r="F25" i="12"/>
  <c r="C26" i="12" s="1"/>
  <c r="D25" i="12" s="1"/>
  <c r="AA10" i="40"/>
  <c r="D116" i="43"/>
  <c r="I53" i="34"/>
  <c r="J53" i="34" s="1"/>
  <c r="I46" i="37"/>
  <c r="J46" i="37"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15"/>
  <c r="C17" i="67"/>
  <c r="F41" i="15"/>
  <c r="C14" i="67"/>
  <c r="C60" i="15" l="1"/>
  <c r="F69" i="15"/>
  <c r="H22" i="6"/>
  <c r="H21" i="6"/>
  <c r="H24" i="6"/>
  <c r="R24" i="6" s="1"/>
  <c r="R11" i="1" s="1"/>
  <c r="H25" i="6"/>
  <c r="R25" i="6" s="1"/>
  <c r="R12" i="1" s="1"/>
  <c r="F41" i="68"/>
  <c r="C26" i="68"/>
  <c r="D22" i="68" s="1"/>
  <c r="C44" i="11"/>
  <c r="D41" i="11" s="1"/>
  <c r="E53" i="34"/>
  <c r="F53" i="34" s="1"/>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3" i="43" l="1"/>
  <c r="C6" i="68"/>
  <c r="C7"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C20" i="68"/>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F35" i="15"/>
  <c r="F35" i="67"/>
  <c r="M21" i="15"/>
  <c r="C25" i="68" l="1"/>
  <c r="C22" i="68" s="1"/>
  <c r="C31"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51" i="68"/>
  <c r="C52" i="68" s="1"/>
  <c r="B2" i="68" s="1"/>
  <c r="D13" i="77"/>
  <c r="D12" i="77" s="1"/>
  <c r="D11" i="77"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9" i="9"/>
  <c r="C57" i="68" l="1"/>
  <c r="C56" i="68" s="1"/>
  <c r="C102" i="9"/>
  <c r="C21" i="9"/>
  <c r="B3" i="68"/>
  <c r="E11" i="77"/>
  <c r="E7" i="77" s="1"/>
  <c r="C27" i="77" s="1"/>
  <c r="D7" i="77"/>
  <c r="C26" i="77" s="1"/>
  <c r="C32" i="77" s="1"/>
  <c r="C38" i="77" s="1"/>
  <c r="C39" i="77" s="1"/>
  <c r="C40" i="77"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20" i="9"/>
  <c r="D2" i="33"/>
  <c r="L51" i="67"/>
  <c r="C103" i="9" l="1"/>
  <c r="C41" i="77"/>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D2" i="35"/>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1" i="1"/>
  <c r="AO12" i="1"/>
  <c r="AO10" i="1"/>
  <c r="C7" i="71" l="1"/>
  <c r="D8" i="71"/>
  <c r="L46" i="15"/>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E2" i="77"/>
  <c r="B2" i="77"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7" i="1"/>
  <c r="AO6" i="1"/>
  <c r="D19" i="9"/>
  <c r="B6" i="70" l="1"/>
  <c r="D102" i="9"/>
  <c r="D21" i="9"/>
  <c r="D22" i="9"/>
  <c r="G19" i="9"/>
  <c r="G21" i="9" s="1"/>
  <c r="B3" i="77"/>
  <c r="B7" i="70"/>
  <c r="B3" i="15"/>
  <c r="D6" i="71"/>
  <c r="C5" i="71"/>
  <c r="D5" i="71" s="1"/>
  <c r="M24" i="43" s="1"/>
  <c r="C42" i="40"/>
  <c r="C43" i="40"/>
  <c r="E47" i="40"/>
  <c r="F47" i="40" s="1"/>
  <c r="E46" i="40"/>
  <c r="F46" i="40" s="1"/>
  <c r="I47" i="40"/>
  <c r="J47" i="40" s="1"/>
  <c r="D20" i="9"/>
  <c r="B2" i="70" l="1"/>
  <c r="B3" i="70" s="1"/>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D35" i="9"/>
  <c r="C35" i="9" l="1"/>
  <c r="C34" i="9" s="1"/>
  <c r="D34" i="9"/>
  <c r="F118" i="9" l="1"/>
  <c r="F119" i="9" s="1"/>
  <c r="F5" i="52" s="1"/>
  <c r="B53" i="72" s="1"/>
  <c r="D118" i="9"/>
  <c r="D119" i="9" s="1"/>
  <c r="D5" i="52" s="1"/>
  <c r="B49" i="72" s="1"/>
  <c r="H118" i="9"/>
  <c r="H119" i="9" s="1"/>
  <c r="H5" i="52" s="1"/>
  <c r="I118" i="9" l="1"/>
  <c r="C105" i="9" s="1"/>
  <c r="G118" i="9"/>
  <c r="G4" i="52" s="1"/>
  <c r="B52" i="72" s="1"/>
  <c r="C104" i="9"/>
  <c r="D4" i="52"/>
  <c r="B47" i="72" s="1"/>
  <c r="H101" i="9"/>
  <c r="D14" i="74" s="1"/>
  <c r="G14" i="74" s="1"/>
  <c r="B6" i="74" s="1"/>
  <c r="D6" i="74" s="1"/>
  <c r="H4" i="52"/>
  <c r="F4" i="52"/>
  <c r="B51" i="72" s="1"/>
  <c r="H102" i="9" l="1"/>
  <c r="D7" i="53" s="1"/>
  <c r="B21" i="72" s="1"/>
  <c r="I4" i="52"/>
  <c r="E14" i="74"/>
  <c r="F14" i="74"/>
  <c r="B5" i="74"/>
  <c r="D5" i="74" s="1"/>
  <c r="D5" i="53"/>
  <c r="D45" i="9"/>
  <c r="H107" i="9"/>
  <c r="M48" i="9"/>
  <c r="E118" i="9"/>
  <c r="E4" i="52" s="1"/>
  <c r="B48" i="72" s="1"/>
  <c r="C5" i="74" l="1"/>
  <c r="B20" i="72"/>
  <c r="D6" i="53"/>
  <c r="B22" i="72" s="1"/>
  <c r="D52" i="9"/>
  <c r="C93" i="9"/>
  <c r="C86" i="9" s="1"/>
  <c r="D55" i="9"/>
  <c r="M53" i="9" s="1"/>
  <c r="C64" i="9"/>
  <c r="C63" i="9" s="1"/>
  <c r="C67" i="9" s="1"/>
  <c r="C72" i="9"/>
  <c r="C85" i="9"/>
  <c r="C78" i="9"/>
  <c r="C73" i="9" s="1"/>
  <c r="D53" i="9"/>
  <c r="H108" i="9"/>
  <c r="D13" i="53"/>
  <c r="D122" i="9"/>
  <c r="M49" i="9"/>
  <c r="C79" i="9" l="1"/>
  <c r="D14" i="53"/>
  <c r="B32" i="72" s="1"/>
  <c r="B30" i="72"/>
  <c r="C95" i="9"/>
  <c r="C80" i="9"/>
  <c r="E80" i="9" s="1"/>
  <c r="E81" i="9" s="1"/>
  <c r="C81" i="9"/>
  <c r="D15" i="53"/>
  <c r="B31" i="72" s="1"/>
  <c r="C6" i="74"/>
  <c r="L65" i="9"/>
  <c r="M65" i="9" s="1"/>
  <c r="L63" i="9"/>
  <c r="M63" i="9" s="1"/>
  <c r="L67" i="9"/>
  <c r="M67" i="9" s="1"/>
  <c r="L68" i="9"/>
  <c r="M68" i="9" s="1"/>
  <c r="L66" i="9"/>
  <c r="M66" i="9" s="1"/>
  <c r="L64" i="9"/>
  <c r="M64" i="9" s="1"/>
  <c r="D59" i="9"/>
  <c r="M55" i="9" s="1"/>
  <c r="C68" i="9"/>
  <c r="D54" i="9" s="1"/>
  <c r="D123" i="9"/>
  <c r="D9" i="52" s="1"/>
  <c r="D8" i="52"/>
  <c r="M69" i="9" l="1"/>
  <c r="N69" i="9" s="1"/>
  <c r="C96" i="9"/>
  <c r="E96" i="9" s="1"/>
  <c r="E97" i="9" s="1"/>
  <c r="C97" i="9" l="1"/>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<sst xmlns="http://schemas.openxmlformats.org/spreadsheetml/2006/main" count="11191" uniqueCount="4719">
  <si>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</si>
  <si>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</si>
  <si>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</si>
  <si>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</si>
  <si>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</si>
  <si>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</si>
  <si>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</si>
  <si>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</si>
  <si>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</si>
  <si>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</si>
  <si>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</si>
  <si>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</si>
  <si>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</si>
  <si>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</si>
  <si>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</si>
  <si>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</si>
  <si>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</si>
  <si>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</si>
  <si>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</si>
  <si>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</si>
  <si>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</si>
  <si>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</si>
  <si>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</si>
  <si>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</si>
  <si>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</si>
  <si>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</si>
  <si>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</si>
  <si>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</si>
  <si>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</si>
  <si>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</si>
  <si>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</si>
  <si>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</si>
  <si>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</si>
  <si>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</si>
  <si>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</si>
  <si>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</si>
  <si>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</si>
  <si>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</si>
  <si>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</si>
  <si>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</si>
  <si>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</si>
  <si>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</si>
  <si>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</si>
  <si>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</si>
  <si>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</si>
  <si>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</si>
  <si>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</si>
  <si>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</si>
  <si>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</si>
  <si>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</si>
  <si>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</si>
  <si>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</si>
  <si>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</si>
  <si>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</si>
  <si>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</si>
  <si>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</si>
  <si>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</si>
  <si>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</si>
  <si>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</si>
  <si>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</si>
  <si>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</si>
  <si>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</si>
  <si>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</si>
  <si>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</si>
  <si>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</si>
  <si>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</si>
  <si>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</si>
  <si>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</si>
  <si>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</si>
  <si>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</si>
  <si>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</si>
  <si>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</si>
  <si>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</si>
  <si>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</si>
  <si>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</si>
  <si>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</si>
  <si>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</si>
  <si>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</si>
  <si>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</si>
  <si>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</si>
  <si>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</si>
  <si>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</si>
  <si>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</si>
  <si>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</si>
  <si>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</si>
  <si>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</si>
  <si>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</si>
  <si>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</si>
  <si>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</si>
  <si>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</si>
  <si>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</si>
  <si>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</si>
  <si>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</si>
  <si>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</si>
  <si>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</si>
  <si>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</si>
  <si>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</si>
  <si>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</si>
  <si>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</si>
  <si>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</si>
  <si>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</si>
  <si>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</si>
  <si>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</si>
  <si>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</si>
  <si>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</si>
  <si>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</si>
  <si>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</si>
  <si>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</si>
  <si>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</si>
  <si>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</si>
  <si>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</si>
  <si>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</si>
  <si>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</si>
  <si>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</si>
  <si>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</si>
  <si>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</si>
  <si>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</si>
  <si>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</si>
  <si>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</si>
  <si>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</si>
  <si>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</si>
  <si>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</si>
  <si>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</si>
  <si>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</si>
  <si>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</si>
  <si>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</si>
  <si>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</si>
  <si>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</si>
  <si>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</si>
  <si>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</si>
  <si>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</si>
  <si>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</si>
  <si>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</si>
  <si>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</si>
  <si>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</si>
  <si>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</si>
  <si>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</si>
  <si>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</si>
  <si>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</si>
  <si>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</si>
  <si>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</si>
  <si>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</si>
  <si>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</si>
  <si>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</si>
  <si>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</si>
  <si>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</si>
  <si>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</si>
  <si>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</si>
  <si>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</si>
  <si>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</si>
  <si>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</si>
  <si>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</si>
  <si>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</si>
  <si>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</si>
  <si>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</si>
  <si>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</si>
  <si>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</si>
  <si>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</si>
  <si>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</si>
  <si>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</si>
  <si>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</si>
  <si>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</si>
  <si>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</si>
  <si>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</si>
  <si>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</si>
  <si>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</si>
  <si>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</si>
  <si>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</si>
  <si>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</si>
  <si>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</si>
  <si>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</si>
  <si>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</si>
  <si>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</si>
  <si>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</si>
  <si>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</si>
  <si>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</si>
  <si>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</si>
  <si>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</si>
  <si>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</si>
  <si>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</si>
  <si>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</si>
  <si>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</si>
  <si>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</si>
  <si>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</si>
  <si>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</si>
  <si>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</si>
  <si>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</si>
  <si>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</si>
  <si>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</si>
  <si>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</si>
  <si>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</si>
  <si>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</si>
  <si>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</si>
  <si>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</si>
  <si>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</si>
  <si>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</si>
  <si>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</si>
  <si>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</si>
  <si>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</si>
  <si>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</si>
  <si>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</si>
  <si>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</si>
  <si>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</si>
  <si>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</si>
  <si>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</si>
  <si>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</si>
  <si>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</si>
  <si>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</si>
  <si>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</si>
  <si>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</si>
  <si>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</si>
  <si>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</si>
  <si>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</si>
  <si>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</si>
  <si>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</si>
  <si>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</si>
  <si>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</si>
  <si>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</si>
  <si>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</si>
  <si>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</si>
  <si>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</si>
  <si>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</si>
  <si>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</si>
  <si>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</si>
  <si>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</si>
  <si>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</si>
  <si>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</si>
  <si>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</si>
  <si>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</si>
  <si>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</si>
  <si>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</si>
  <si>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</si>
  <si>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</si>
  <si>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</si>
  <si>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</si>
  <si>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</si>
  <si>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</si>
  <si>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</si>
  <si>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</si>
  <si>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</si>
  <si>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</si>
  <si>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</si>
  <si>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</si>
  <si>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</si>
  <si>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</si>
  <si>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</si>
  <si>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</si>
  <si>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</si>
  <si>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</si>
  <si>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</si>
  <si>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</si>
  <si>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</si>
  <si>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</si>
  <si>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</si>
  <si>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</si>
  <si>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</si>
  <si>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</si>
  <si>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</si>
  <si>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</si>
  <si>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</si>
  <si>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</si>
  <si>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</si>
  <si>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</si>
  <si>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</si>
  <si>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</si>
  <si>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</si>
  <si>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</si>
  <si>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</si>
  <si>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</si>
  <si>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</si>
  <si>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</si>
  <si>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</si>
  <si>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</si>
  <si>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</si>
  <si>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</si>
  <si>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</si>
  <si>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</si>
  <si>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</si>
  <si>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</si>
  <si>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</si>
  <si>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</si>
  <si>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</si>
  <si>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</si>
  <si>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</si>
  <si>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</si>
  <si>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</si>
  <si>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</si>
  <si>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</si>
  <si>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</si>
  <si>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</si>
  <si>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</si>
  <si>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</si>
  <si>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</si>
  <si>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</si>
  <si>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</si>
  <si>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</si>
  <si>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</si>
  <si>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</si>
  <si>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</si>
  <si>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</si>
  <si>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</si>
  <si>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</si>
  <si>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</si>
  <si>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</si>
  <si>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</si>
  <si>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</si>
  <si>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</si>
  <si>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</si>
  <si>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</si>
  <si>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</si>
  <si>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</si>
  <si>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</si>
  <si>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</si>
  <si>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</si>
  <si>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</si>
  <si>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</si>
  <si>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</si>
  <si>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</si>
  <si>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</si>
  <si>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</si>
  <si>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</si>
  <si>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</si>
  <si>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</si>
  <si>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</si>
  <si>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</si>
  <si>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</si>
  <si>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</si>
  <si>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</si>
  <si>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</si>
  <si>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</si>
  <si>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</si>
  <si>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</si>
  <si>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</si>
  <si>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</si>
  <si>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</si>
  <si>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</si>
  <si>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</si>
  <si>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</si>
  <si>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</si>
  <si>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</si>
  <si>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</si>
  <si>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</si>
  <si>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</si>
  <si>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</si>
  <si>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</si>
  <si>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</si>
  <si>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</si>
  <si>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</si>
  <si>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</si>
  <si>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</si>
  <si>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</si>
  <si>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</si>
  <si>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</si>
  <si>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</si>
  <si>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</si>
  <si>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</si>
  <si>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</si>
  <si>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</si>
  <si>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</si>
  <si>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</si>
  <si>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</si>
  <si>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</si>
  <si>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</si>
  <si>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</si>
  <si>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</si>
  <si>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</si>
  <si>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</si>
  <si>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</si>
  <si>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</si>
  <si>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</si>
  <si>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</si>
  <si>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</si>
  <si>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</si>
  <si>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</si>
  <si>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</si>
  <si>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</si>
  <si>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</si>
  <si>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</si>
  <si>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</si>
  <si>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</si>
  <si>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</si>
  <si>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</si>
  <si>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</si>
  <si>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</si>
  <si>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</si>
  <si>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</si>
  <si>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</si>
  <si>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</si>
  <si>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</si>
  <si>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</si>
  <si>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</si>
  <si>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</si>
  <si>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</si>
  <si>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</si>
  <si>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</si>
  <si>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</si>
  <si>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</si>
  <si>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</si>
  <si>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</si>
  <si>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</si>
  <si>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</si>
  <si>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</si>
  <si>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</si>
  <si>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</si>
  <si>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</si>
  <si>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</si>
  <si>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</si>
  <si>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</si>
  <si>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</si>
  <si>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</si>
  <si>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</si>
  <si>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</si>
  <si>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</si>
  <si>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</si>
  <si>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</si>
  <si>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</si>
  <si>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</si>
  <si>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</si>
  <si>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</si>
  <si>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</si>
  <si>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</si>
  <si>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</si>
  <si>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</si>
  <si>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</si>
  <si>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</si>
  <si>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</si>
  <si>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</si>
  <si>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</si>
  <si>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</si>
  <si>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</si>
  <si>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</si>
  <si>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</si>
  <si>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</si>
  <si>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</si>
  <si>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</si>
  <si>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</si>
  <si>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</si>
  <si>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</si>
  <si>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</si>
  <si>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</si>
  <si>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</si>
  <si>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</si>
  <si>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</si>
  <si>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</si>
  <si>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</si>
  <si>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</si>
  <si>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</si>
  <si>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</si>
  <si>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</si>
  <si>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</si>
  <si>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</si>
  <si>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</si>
  <si>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</si>
  <si>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</si>
  <si>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</si>
  <si>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</si>
  <si>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</si>
  <si>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</si>
  <si>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</si>
  <si>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</si>
  <si>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</si>
  <si>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</si>
  <si>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</si>
  <si>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</si>
  <si>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</si>
  <si>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</si>
  <si>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</si>
  <si>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</si>
  <si>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</si>
  <si>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</si>
  <si>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</si>
  <si>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</si>
  <si>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</si>
  <si>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</si>
  <si>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</si>
  <si>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</si>
  <si>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</si>
  <si>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</si>
  <si>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</si>
  <si>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</si>
  <si>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</si>
  <si>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</si>
  <si>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</si>
  <si>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</si>
  <si>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</si>
  <si>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</si>
  <si>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</si>
  <si>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</si>
  <si>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</si>
  <si>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</si>
  <si>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</si>
  <si>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</si>
  <si>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</si>
  <si>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</si>
  <si>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</si>
  <si>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</si>
  <si>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</si>
  <si>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</si>
  <si>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</si>
  <si>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</si>
  <si>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</si>
  <si>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</si>
  <si>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</si>
  <si>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</si>
  <si>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</si>
  <si>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</si>
  <si>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</si>
  <si>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</si>
  <si>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</si>
  <si>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</si>
  <si>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</si>
  <si>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</si>
  <si>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</si>
  <si>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</si>
  <si>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</si>
  <si>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</si>
  <si>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</si>
  <si>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</si>
  <si>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</si>
  <si>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</si>
  <si>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</si>
  <si>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</si>
  <si>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</si>
  <si>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</si>
  <si>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</si>
  <si>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</si>
  <si>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</si>
  <si>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</si>
  <si>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</si>
  <si>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</si>
  <si>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</si>
  <si>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</si>
  <si>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</si>
  <si>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</si>
  <si>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</si>
  <si>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</si>
  <si>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</si>
  <si>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</si>
  <si>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</si>
  <si>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</si>
  <si>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</si>
  <si>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</si>
  <si>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</si>
  <si>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</si>
  <si>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</si>
  <si>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</si>
  <si>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</si>
  <si>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</si>
  <si>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</si>
  <si>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</si>
  <si>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</si>
  <si>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</si>
  <si>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</si>
  <si>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</si>
  <si>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</si>
  <si>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</si>
  <si>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</si>
  <si>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</si>
  <si>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</si>
  <si>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</si>
  <si>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</si>
  <si>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</si>
  <si>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</si>
  <si>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</si>
  <si>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</si>
  <si>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</si>
  <si>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</si>
  <si>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</si>
  <si>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</si>
  <si>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</si>
  <si>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</si>
  <si>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</si>
  <si>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</si>
  <si>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</si>
  <si>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</si>
  <si>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</si>
  <si>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</si>
  <si>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</si>
  <si>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</si>
  <si>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</si>
  <si>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</si>
  <si>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</si>
  <si>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</si>
  <si>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</si>
  <si>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</si>
  <si>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</si>
  <si>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</si>
  <si>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</si>
  <si>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</si>
  <si>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</si>
  <si>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</si>
  <si>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</si>
  <si>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</si>
  <si>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</si>
  <si>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</si>
  <si>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</si>
  <si>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</si>
  <si>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</si>
  <si>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</si>
  <si>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</si>
  <si>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</si>
  <si>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</si>
  <si>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</si>
  <si>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</si>
  <si>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</si>
  <si>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</si>
  <si>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</si>
  <si>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</si>
  <si>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</si>
  <si>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</si>
  <si>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</si>
  <si>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</si>
  <si>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</si>
  <si>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</si>
  <si>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</si>
  <si>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</si>
  <si>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</si>
  <si>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</si>
  <si>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</si>
  <si>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</si>
  <si>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</si>
  <si>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</si>
  <si>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</si>
  <si>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</si>
  <si>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</si>
  <si>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</si>
  <si>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</si>
  <si>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</si>
  <si>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</si>
  <si>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</si>
  <si>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</si>
  <si>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</si>
  <si>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</si>
  <si>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</si>
  <si>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</si>
  <si>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</si>
  <si>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</si>
  <si>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</si>
  <si>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</si>
  <si>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</si>
  <si>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</si>
  <si>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</si>
  <si>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</si>
  <si>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</si>
  <si>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</si>
  <si>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</si>
  <si>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</si>
  <si>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</si>
  <si>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</si>
  <si>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</si>
  <si>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</si>
  <si>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</si>
  <si>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</si>
  <si>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</si>
  <si>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</si>
  <si>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</si>
  <si>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</si>
  <si>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</si>
  <si>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</si>
  <si>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</si>
  <si>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</si>
  <si>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</si>
  <si>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</si>
  <si>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</si>
  <si>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</si>
  <si>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</si>
  <si>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</si>
  <si>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</si>
  <si>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</si>
  <si>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</si>
  <si>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</si>
  <si>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</si>
  <si>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</si>
  <si>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</si>
  <si>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</si>
  <si>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</si>
  <si>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</si>
  <si>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</si>
  <si>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</si>
  <si>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</si>
  <si>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</si>
  <si>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</si>
  <si>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</si>
  <si>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</si>
  <si>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</si>
  <si>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</si>
  <si>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</si>
  <si>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</si>
  <si>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</si>
  <si>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</si>
  <si>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</si>
  <si>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</si>
  <si>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</si>
  <si>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</si>
  <si>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</si>
  <si>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</si>
  <si>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</si>
  <si>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</si>
  <si>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</si>
  <si>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</si>
  <si>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</si>
  <si>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</si>
  <si>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</si>
  <si>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</si>
  <si>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</si>
  <si>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</si>
  <si>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</si>
  <si>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</si>
  <si>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</si>
  <si>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</si>
  <si>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</si>
  <si>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</si>
  <si>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</si>
  <si>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</si>
  <si>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</si>
  <si>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</si>
  <si>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</si>
  <si>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</si>
  <si>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</si>
  <si>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</si>
  <si>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</si>
  <si>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</si>
  <si>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</si>
  <si>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</si>
  <si>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</si>
  <si>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</si>
  <si>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</si>
  <si>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</si>
  <si>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</si>
  <si>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</si>
  <si>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</si>
  <si>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</si>
  <si>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</si>
  <si>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</si>
  <si>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</si>
  <si>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</si>
  <si>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</si>
  <si>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</si>
  <si>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</si>
  <si>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</si>
  <si>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</si>
  <si>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</si>
  <si>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</si>
  <si>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</si>
  <si>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</si>
  <si>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</si>
  <si>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</si>
  <si>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</si>
  <si>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</si>
  <si>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</si>
  <si>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</si>
  <si>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</si>
  <si>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</si>
  <si>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</si>
  <si>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</si>
  <si>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</si>
  <si>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</si>
  <si>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</si>
  <si>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</si>
  <si>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</si>
  <si>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</si>
  <si>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</si>
  <si>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</si>
  <si>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</si>
  <si>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</si>
  <si>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</si>
  <si>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</si>
  <si>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</si>
  <si>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</si>
  <si>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</si>
  <si>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</si>
  <si>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</si>
  <si>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</si>
  <si>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</si>
  <si>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</si>
  <si>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</si>
  <si>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</si>
  <si>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</si>
  <si>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</si>
  <si>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</si>
  <si>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</si>
  <si>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</si>
  <si>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</si>
  <si>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</si>
  <si>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</si>
  <si>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</si>
  <si>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</si>
  <si>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</si>
  <si>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</si>
  <si>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</si>
  <si>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</si>
  <si>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</si>
  <si>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</si>
  <si>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</si>
  <si>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</si>
  <si>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</si>
  <si>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</si>
  <si>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</si>
  <si>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</si>
  <si>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</si>
  <si>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</si>
  <si>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</si>
  <si>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</si>
  <si>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</si>
  <si>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</si>
  <si>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</si>
  <si>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</si>
  <si>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</si>
  <si>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</si>
  <si>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</si>
  <si>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</si>
  <si>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</si>
  <si>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</si>
  <si>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</si>
  <si>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</si>
  <si>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</si>
  <si>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</si>
  <si>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</si>
  <si>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</si>
  <si>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</si>
  <si>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</si>
  <si>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</si>
  <si>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</si>
  <si>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</si>
  <si>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</si>
  <si>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</si>
  <si>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</si>
  <si>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</si>
  <si>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</si>
  <si>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</si>
  <si>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</si>
  <si>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</si>
  <si>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</si>
  <si>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</si>
  <si>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</si>
  <si>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</si>
  <si>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</si>
  <si>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</si>
  <si>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</si>
  <si>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</si>
  <si>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</si>
  <si>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</si>
  <si>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</si>
  <si>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</si>
  <si>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</si>
  <si>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</si>
  <si>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</si>
  <si>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</si>
  <si>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</si>
  <si>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</si>
  <si>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</si>
  <si>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</si>
  <si>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</si>
  <si>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</si>
  <si>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</si>
  <si>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</si>
  <si>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</si>
  <si>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</si>
  <si>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</si>
  <si>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</si>
  <si>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</si>
  <si>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</si>
  <si>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</si>
  <si>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</si>
  <si>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</si>
  <si>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</si>
  <si>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</si>
  <si>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</si>
  <si>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</si>
  <si>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</si>
  <si>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</si>
  <si>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</si>
  <si>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</si>
  <si>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</si>
  <si>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</si>
  <si>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</si>
  <si>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</si>
  <si>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</si>
  <si>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</si>
  <si>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</si>
  <si>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</si>
  <si>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</si>
  <si>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</si>
  <si>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</si>
  <si>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</si>
  <si>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</si>
  <si>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</si>
  <si>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</si>
  <si>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</si>
  <si>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</si>
  <si>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</si>
  <si>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</si>
  <si>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</si>
  <si>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</si>
  <si>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</si>
  <si>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</si>
  <si>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</si>
  <si>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</si>
  <si>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</si>
  <si>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</si>
  <si>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</si>
  <si>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</si>
  <si>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</si>
  <si>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</si>
  <si>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</si>
  <si>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</si>
  <si>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</si>
  <si>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</si>
  <si>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</si>
  <si>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</si>
  <si>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</si>
  <si>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</si>
  <si>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</si>
  <si>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</si>
  <si>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</si>
  <si>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</si>
  <si>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</si>
  <si>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</si>
  <si>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</si>
  <si>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</si>
  <si>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</si>
  <si>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</si>
  <si>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</si>
  <si>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</si>
  <si>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</si>
  <si>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</si>
  <si>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</si>
  <si>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</si>
  <si>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</si>
  <si>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</si>
  <si>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</si>
  <si>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</si>
  <si>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</si>
  <si>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</si>
  <si>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</si>
  <si>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</si>
  <si>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</si>
  <si>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</si>
  <si>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</si>
  <si>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</si>
  <si>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</si>
  <si>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</si>
  <si>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</si>
  <si>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</si>
  <si>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</si>
  <si>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</si>
  <si>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</si>
  <si>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</si>
  <si>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</si>
  <si>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</si>
  <si>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</si>
  <si>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</si>
  <si>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</si>
  <si>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</si>
  <si>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</si>
  <si>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</si>
  <si>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</si>
  <si>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</si>
  <si>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</si>
  <si>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</si>
  <si>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</si>
  <si>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</si>
  <si>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</si>
  <si>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</si>
  <si>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</si>
  <si>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</si>
  <si>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</si>
  <si>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</si>
  <si>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</si>
  <si>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</si>
  <si>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</si>
  <si>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</si>
  <si>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</si>
  <si>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</si>
  <si>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</si>
  <si>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</si>
  <si>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</si>
  <si>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</si>
  <si>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</si>
  <si>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</si>
  <si>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</si>
  <si>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</si>
  <si>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</si>
  <si>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</si>
  <si>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</si>
  <si>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</si>
  <si>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</si>
  <si>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</si>
  <si>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</si>
  <si>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</si>
  <si>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</si>
  <si>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</si>
  <si>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</si>
  <si>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</si>
  <si>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</si>
  <si>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</si>
  <si>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</si>
  <si>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</si>
  <si>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</si>
  <si>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</si>
  <si>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</si>
  <si>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</si>
  <si>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</si>
  <si>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</si>
  <si>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</si>
  <si>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</si>
  <si>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</si>
  <si>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</si>
  <si>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</si>
  <si>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</si>
  <si>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</si>
  <si>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</si>
  <si>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</si>
  <si>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</si>
  <si>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</si>
  <si>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</si>
  <si>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</si>
  <si>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</si>
  <si>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</si>
  <si>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</si>
  <si>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</si>
  <si>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</si>
  <si>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</si>
  <si>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</si>
  <si>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</si>
  <si>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</si>
  <si>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</si>
  <si>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</si>
  <si>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</si>
  <si>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</si>
  <si>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</si>
  <si>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</si>
  <si>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</si>
  <si>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</si>
  <si>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</si>
  <si>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</si>
  <si>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</si>
  <si>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</si>
  <si>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</si>
  <si>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</si>
  <si>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</si>
  <si>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</si>
  <si>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</si>
  <si>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</si>
  <si>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</si>
  <si>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</si>
  <si>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</si>
  <si>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</si>
  <si>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</si>
  <si>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</si>
  <si>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</si>
  <si>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</si>
  <si>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</si>
  <si>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</si>
  <si>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</si>
  <si>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</si>
  <si>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</si>
  <si>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</si>
  <si>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</si>
  <si>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</si>
  <si>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</si>
  <si>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</si>
  <si>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</si>
  <si>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</si>
  <si>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</si>
  <si>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</si>
  <si>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</si>
  <si>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</si>
  <si>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</si>
  <si>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</si>
  <si>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</si>
  <si>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</si>
  <si>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</si>
  <si>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</si>
  <si>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</si>
  <si>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</si>
  <si>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</si>
  <si>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</si>
  <si>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</si>
  <si>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</si>
  <si>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</si>
  <si>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</si>
  <si>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</si>
  <si>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</si>
  <si>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</si>
  <si>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</si>
  <si>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</si>
  <si>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</si>
  <si>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</si>
  <si>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</si>
  <si>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</si>
  <si>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</si>
  <si>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</si>
  <si>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</si>
  <si>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</si>
  <si>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</si>
  <si>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</si>
  <si>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</si>
  <si>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</si>
  <si>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</si>
  <si>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</si>
  <si>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</si>
  <si>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</si>
  <si>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</si>
  <si>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</si>
  <si>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</si>
  <si>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</si>
  <si>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</si>
  <si>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</si>
  <si>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</si>
  <si>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</si>
  <si>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</si>
  <si>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</si>
  <si>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</si>
  <si>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</si>
  <si>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</si>
  <si>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</si>
  <si>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</si>
  <si>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</si>
  <si>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</si>
  <si>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</si>
  <si>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</si>
  <si>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</si>
  <si>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</si>
  <si>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</si>
  <si>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</si>
  <si>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</si>
  <si>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</si>
  <si>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</si>
  <si>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</si>
  <si>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</si>
  <si>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</si>
  <si>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</si>
  <si>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</si>
  <si>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</si>
  <si>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</si>
  <si>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</si>
  <si>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</si>
  <si>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</si>
  <si>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</si>
  <si>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</si>
  <si>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</si>
  <si>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</si>
  <si>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</si>
  <si>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</si>
  <si>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</si>
  <si>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</si>
  <si>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</si>
  <si>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</si>
  <si>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</si>
  <si>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</si>
  <si>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</si>
  <si>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</si>
  <si>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</si>
  <si>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</si>
  <si>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</si>
  <si>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</si>
  <si>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</si>
  <si>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</si>
  <si>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</si>
  <si>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</si>
  <si>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</si>
  <si>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</si>
  <si>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</si>
  <si>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</si>
  <si>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</si>
  <si>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</si>
  <si>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</si>
  <si>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</si>
  <si>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</si>
  <si>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</si>
  <si>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</si>
  <si>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</si>
  <si>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</si>
  <si>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</si>
  <si>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</si>
  <si>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</si>
  <si>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</si>
  <si>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</si>
  <si>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</si>
  <si>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</si>
  <si>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</si>
  <si>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</si>
  <si>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</si>
  <si>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</si>
  <si>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</si>
  <si>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</si>
  <si>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</si>
  <si>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</si>
  <si>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</si>
  <si>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</si>
  <si>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</si>
  <si>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</si>
  <si>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</si>
  <si>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</si>
  <si>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</si>
  <si>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</si>
  <si>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</si>
  <si>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</si>
  <si>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</si>
  <si>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</si>
  <si>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</si>
  <si>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</si>
  <si>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</si>
  <si>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</si>
  <si>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</si>
  <si>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</si>
  <si>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</si>
  <si>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</si>
  <si>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</si>
  <si>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</si>
  <si>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</si>
  <si>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</si>
  <si>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</si>
  <si>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</si>
  <si>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</si>
  <si>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</si>
  <si>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</si>
  <si>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</si>
  <si>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</si>
  <si>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</si>
  <si>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</si>
  <si>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</si>
  <si>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</si>
  <si>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</si>
  <si>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</si>
  <si>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</si>
  <si>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</si>
  <si>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</si>
  <si>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</si>
  <si>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</si>
  <si>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</si>
  <si>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</si>
  <si>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</si>
  <si>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</si>
  <si>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</si>
  <si>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</si>
  <si>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</si>
  <si>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</si>
  <si>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</si>
  <si>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</si>
  <si>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</si>
  <si>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</si>
  <si>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</si>
  <si>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</si>
  <si>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</si>
  <si>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</si>
  <si>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</si>
  <si>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</si>
  <si>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</si>
  <si>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</si>
  <si>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</si>
  <si>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</si>
  <si>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</si>
  <si>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</si>
  <si>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</si>
  <si>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</si>
  <si>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</si>
  <si>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</si>
  <si>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</si>
  <si>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</si>
  <si>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</si>
  <si>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</si>
  <si>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</si>
  <si>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</si>
  <si>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</si>
  <si>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</si>
  <si>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</si>
  <si>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</si>
  <si>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</si>
  <si>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</si>
  <si>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</si>
  <si>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</si>
  <si>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</si>
  <si>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</si>
  <si>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</si>
  <si>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</si>
  <si>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</si>
  <si>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</si>
  <si>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</si>
  <si>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</si>
  <si>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</si>
  <si>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</si>
  <si>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</si>
  <si>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</si>
  <si>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</si>
  <si>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</si>
  <si>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</si>
  <si>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</si>
  <si>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</si>
  <si>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</si>
  <si>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</si>
  <si>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</si>
  <si>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</si>
  <si>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</si>
  <si>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</si>
  <si>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</si>
  <si>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</si>
  <si>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</si>
  <si>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</si>
  <si>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</si>
  <si>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</si>
  <si>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</si>
  <si>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</si>
  <si>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</si>
  <si>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</si>
  <si>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</si>
  <si>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</si>
  <si>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</si>
  <si>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</si>
  <si>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</si>
  <si>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</si>
  <si>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</si>
  <si>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</si>
  <si>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</si>
  <si>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</si>
  <si>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</si>
  <si>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</si>
  <si>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</si>
  <si>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</si>
  <si>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</si>
  <si>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</si>
  <si>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</si>
  <si>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</si>
  <si>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</si>
  <si>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</si>
  <si>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</si>
  <si>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</si>
  <si>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</si>
  <si>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</si>
  <si>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</si>
  <si>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</si>
  <si>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</si>
  <si>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</si>
  <si>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</si>
  <si>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</si>
  <si>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</si>
  <si>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</si>
  <si>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</si>
  <si>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</si>
  <si>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</si>
  <si>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</si>
  <si>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</si>
  <si>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</si>
  <si>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</si>
  <si>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</si>
  <si>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</si>
  <si>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</si>
  <si>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</si>
  <si>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</si>
  <si>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</si>
  <si>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</si>
  <si>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</si>
  <si>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</si>
  <si>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</si>
  <si>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</si>
  <si>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</si>
  <si>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</si>
  <si>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</si>
  <si>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</si>
  <si>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</si>
  <si>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</si>
  <si>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</si>
  <si>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</si>
  <si>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</si>
  <si>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</si>
  <si>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</si>
  <si>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</si>
  <si>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</si>
  <si>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</si>
  <si>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</si>
  <si>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</si>
  <si>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</si>
  <si>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</si>
  <si>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</si>
  <si>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</si>
  <si>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</si>
  <si>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</si>
  <si>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</si>
  <si>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</si>
  <si>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</si>
  <si>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</si>
  <si>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</si>
  <si>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</si>
  <si>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</si>
  <si>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</si>
  <si>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</si>
  <si>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</si>
  <si>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</si>
  <si>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</si>
  <si>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</si>
  <si>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</si>
  <si>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</si>
  <si>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</si>
  <si>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</si>
  <si>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</si>
  <si>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</si>
  <si>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</si>
  <si>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</si>
  <si>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</si>
  <si>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</si>
  <si>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</si>
  <si>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</si>
  <si>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</si>
  <si>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</si>
  <si>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</si>
  <si>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</si>
  <si>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</si>
  <si>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</si>
  <si>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</si>
  <si>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</si>
  <si>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</si>
  <si>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</si>
  <si>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</si>
  <si>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</si>
  <si>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</si>
  <si>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</si>
  <si>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</si>
  <si>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</si>
  <si>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</si>
  <si>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</si>
  <si>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</si>
  <si>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</si>
  <si>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</si>
  <si>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</si>
  <si>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</si>
  <si>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</si>
  <si>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</si>
  <si>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</si>
  <si>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</si>
  <si>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</si>
  <si>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</si>
  <si>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</si>
  <si>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</si>
  <si>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</si>
  <si>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</si>
  <si>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</si>
  <si>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</si>
  <si>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</si>
  <si>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</si>
  <si>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</si>
  <si>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</si>
  <si>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</si>
  <si>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</si>
  <si>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</si>
  <si>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</si>
  <si>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</si>
  <si>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</si>
  <si>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</si>
  <si>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</si>
  <si>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</si>
  <si>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</si>
  <si>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</si>
  <si>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</si>
  <si>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</si>
  <si>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</si>
  <si>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</si>
  <si>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</si>
  <si>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</si>
  <si>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</si>
  <si>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</si>
  <si>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</si>
  <si>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</si>
  <si>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</si>
  <si>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</si>
  <si>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</si>
  <si>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</si>
  <si>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</si>
  <si>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</si>
  <si>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</si>
  <si>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</si>
  <si>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</si>
  <si>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</si>
  <si>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</si>
  <si>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</si>
  <si>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</si>
  <si>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</si>
  <si>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</si>
  <si>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</si>
  <si>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</si>
  <si>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</si>
  <si>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</si>
  <si>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</si>
  <si>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</si>
  <si>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</si>
  <si>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</si>
  <si>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</si>
  <si>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</si>
  <si>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</si>
  <si>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</si>
  <si>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</si>
  <si>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</si>
  <si>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</si>
  <si>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</si>
  <si>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</si>
  <si>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</si>
  <si>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</si>
  <si>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</si>
  <si>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</si>
  <si>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</si>
  <si>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</si>
  <si>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</si>
  <si>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</si>
  <si>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</si>
  <si>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</si>
  <si>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</si>
  <si>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</si>
  <si>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</si>
  <si>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</si>
  <si>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</si>
  <si>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</si>
  <si>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</si>
  <si>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</si>
  <si>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</si>
  <si>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</si>
  <si>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</si>
  <si>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</si>
  <si>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</si>
  <si>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</si>
  <si>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</si>
  <si>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</si>
  <si>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</si>
  <si>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</si>
  <si>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</si>
  <si>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</si>
  <si>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</si>
  <si>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</si>
  <si>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</si>
  <si>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</si>
  <si>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</si>
  <si>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</si>
  <si>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</si>
  <si>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</si>
  <si>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</si>
  <si>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</si>
  <si>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</si>
  <si>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</si>
  <si>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</si>
  <si>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</si>
  <si>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</si>
  <si>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</si>
  <si>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</si>
  <si>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</si>
  <si>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</si>
  <si>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</si>
  <si>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</si>
  <si>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</si>
  <si>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</si>
  <si>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</si>
  <si>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</si>
  <si>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</si>
  <si>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</si>
  <si>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</si>
  <si>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</si>
  <si>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</si>
  <si>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</si>
  <si>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</si>
  <si>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</si>
  <si>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</si>
  <si>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</si>
  <si>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</si>
  <si>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</si>
  <si>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</si>
  <si>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</si>
  <si>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</si>
  <si>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</si>
  <si>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</si>
  <si>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</si>
  <si>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</si>
  <si>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</si>
  <si>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</si>
  <si>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</si>
  <si>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</si>
  <si>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</si>
  <si>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</si>
  <si>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</si>
  <si>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</si>
  <si>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</si>
  <si>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</si>
  <si>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</si>
  <si>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</si>
  <si>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</si>
  <si>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</si>
  <si>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</si>
  <si>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</si>
  <si>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</si>
  <si>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</si>
  <si>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</si>
  <si>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</si>
  <si>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</si>
  <si>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</si>
  <si>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</si>
  <si>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</si>
  <si>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</si>
  <si>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</si>
  <si>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</si>
  <si>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</si>
  <si>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</si>
  <si>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</si>
  <si>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</si>
  <si>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</si>
  <si>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</si>
  <si>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</si>
  <si>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</si>
  <si>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</si>
  <si>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</si>
  <si>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</si>
  <si>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</si>
  <si>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</si>
  <si>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</si>
  <si>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</si>
  <si>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</si>
  <si>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</si>
  <si>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</si>
  <si>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</si>
  <si>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</si>
  <si>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</si>
  <si>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</si>
  <si>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</si>
  <si>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</si>
  <si>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</si>
  <si>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</si>
  <si>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</si>
  <si>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</si>
  <si>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</si>
  <si>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</si>
  <si>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</si>
  <si>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</si>
  <si>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</si>
  <si>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</si>
  <si>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</si>
  <si>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</si>
  <si>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</si>
  <si>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</si>
  <si>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</si>
  <si>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</si>
  <si>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</si>
  <si>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</si>
  <si>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</si>
  <si>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</si>
  <si>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</si>
  <si>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</si>
  <si>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</si>
  <si>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</si>
  <si>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</si>
  <si>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</si>
  <si>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</si>
  <si>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</si>
  <si>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</si>
  <si>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</si>
  <si>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</si>
  <si>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</si>
  <si>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</si>
  <si>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</si>
  <si>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</si>
  <si>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</si>
  <si>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</si>
  <si>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</si>
  <si>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</si>
  <si>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</si>
  <si>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</si>
  <si>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</si>
  <si>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</si>
  <si>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</si>
  <si>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</si>
  <si>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</si>
  <si>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</si>
  <si>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</si>
  <si>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</si>
  <si>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</si>
  <si>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</si>
  <si>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</si>
  <si>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</si>
  <si>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</si>
  <si>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</si>
  <si>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</si>
  <si>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</si>
  <si>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</si>
  <si>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</si>
  <si>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</si>
  <si>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</si>
  <si>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</si>
  <si>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</si>
  <si>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</si>
  <si>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</si>
  <si>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</si>
  <si>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</si>
  <si>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</si>
  <si>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</si>
  <si>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</si>
  <si>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</si>
  <si>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</si>
  <si>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</si>
  <si>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</si>
  <si>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</si>
  <si>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</si>
  <si>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</si>
  <si>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</si>
  <si>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</si>
  <si>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</si>
  <si>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</si>
  <si>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</si>
  <si>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</si>
  <si>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</si>
  <si>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</si>
  <si>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</si>
  <si>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</si>
  <si>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</si>
  <si>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</si>
  <si>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</si>
  <si>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</si>
  <si>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</si>
  <si>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</si>
  <si>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</si>
  <si>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</si>
  <si>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</si>
  <si>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</si>
  <si>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</si>
  <si>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</si>
  <si>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</si>
  <si>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</si>
  <si>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</si>
  <si>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</si>
  <si>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</si>
  <si>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</si>
  <si>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</si>
  <si>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</si>
  <si>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</si>
  <si>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</si>
  <si>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</si>
  <si>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</si>
  <si>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</si>
  <si>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</si>
  <si>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</si>
  <si>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</si>
  <si>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</si>
  <si>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</si>
  <si>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</si>
  <si>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</si>
  <si>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</si>
  <si>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</si>
  <si>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</si>
  <si>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</si>
  <si>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</si>
  <si>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</si>
  <si>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</si>
  <si>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</si>
  <si>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</si>
  <si>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</si>
  <si>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</si>
  <si>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</si>
  <si>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</si>
  <si>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</si>
  <si>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</si>
  <si>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</si>
  <si>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</si>
  <si>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</si>
  <si>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</si>
  <si>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</si>
  <si>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</si>
  <si>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</si>
  <si>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</si>
  <si>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</si>
  <si>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</si>
  <si>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</si>
  <si>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</si>
  <si>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</si>
  <si>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</si>
  <si>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</si>
  <si>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</si>
  <si>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</si>
  <si>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</si>
  <si>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</si>
  <si>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</si>
  <si>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</si>
  <si>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</si>
  <si>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</si>
  <si>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</si>
  <si>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</si>
  <si>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</si>
  <si>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</si>
  <si>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</si>
  <si>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</si>
  <si>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</si>
  <si>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</si>
  <si>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</si>
  <si>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</si>
  <si>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</si>
  <si>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</si>
  <si>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</si>
  <si>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</si>
  <si>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</si>
  <si>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</si>
  <si>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</si>
  <si>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</si>
  <si>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</si>
  <si>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</si>
  <si>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</si>
  <si>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</si>
  <si>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</si>
  <si>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</si>
  <si>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</si>
  <si>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</si>
  <si>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</si>
  <si>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</si>
  <si>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</si>
  <si>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</si>
  <si>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</si>
  <si>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</si>
  <si>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</si>
  <si>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</si>
  <si>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</si>
  <si>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</si>
  <si>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</si>
  <si>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</si>
  <si>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</si>
  <si>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</si>
  <si>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</si>
  <si>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</si>
  <si>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</si>
  <si>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</si>
  <si>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</si>
  <si>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</si>
  <si>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</si>
  <si>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</si>
  <si>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</si>
  <si>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</si>
  <si>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</si>
  <si>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</si>
  <si>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</si>
  <si>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</si>
  <si>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</si>
  <si>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</si>
  <si>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</si>
  <si>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</si>
  <si>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</si>
  <si>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</si>
  <si>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</si>
  <si>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</si>
  <si>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</si>
  <si>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</si>
  <si>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</si>
  <si>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</si>
  <si>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</si>
  <si>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</si>
  <si>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</si>
  <si>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</si>
  <si>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</si>
  <si>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</si>
  <si>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</si>
  <si>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</si>
  <si>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</si>
  <si>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</si>
  <si>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</si>
  <si>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</si>
  <si>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</si>
  <si>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</si>
  <si>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</si>
  <si>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</si>
  <si>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</si>
  <si>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</si>
  <si>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</si>
  <si>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</si>
  <si>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</si>
  <si>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</si>
  <si>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</si>
  <si>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</si>
  <si>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</si>
  <si>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</si>
  <si>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</si>
  <si>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</si>
  <si>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</si>
  <si>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</si>
  <si>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</si>
  <si>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</si>
  <si>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</si>
  <si>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</si>
  <si>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</si>
  <si>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</si>
  <si>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</si>
  <si>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</si>
  <si>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</si>
  <si>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</si>
  <si>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</si>
  <si>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</si>
  <si>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</si>
  <si>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</si>
  <si>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</si>
  <si>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</si>
  <si>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</si>
  <si>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</si>
  <si>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</si>
  <si>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</si>
  <si>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</si>
  <si>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</si>
  <si>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</si>
  <si>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</si>
  <si>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</si>
  <si>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</si>
  <si>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</si>
  <si>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</si>
  <si>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</si>
  <si>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</si>
  <si>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</si>
  <si>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</si>
  <si>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</si>
  <si>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</si>
  <si>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</si>
  <si>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</si>
  <si>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</si>
  <si>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</si>
  <si>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</si>
  <si>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</si>
  <si>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</si>
  <si>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</si>
  <si>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</si>
  <si>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</si>
  <si>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</si>
  <si>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</si>
  <si>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</si>
  <si>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</si>
  <si>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</si>
  <si>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</si>
  <si>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</si>
  <si>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</si>
  <si>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</si>
  <si>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</si>
  <si>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</si>
  <si>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</si>
  <si>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</si>
  <si>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</si>
  <si>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</si>
  <si>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</si>
  <si>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</si>
  <si>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</si>
  <si>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</si>
  <si>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</si>
  <si>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</si>
  <si>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</si>
  <si>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</si>
  <si>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</si>
  <si>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</si>
  <si>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</si>
  <si>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</si>
  <si>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</si>
  <si>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</si>
  <si>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</si>
  <si>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</si>
  <si>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</si>
  <si>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</si>
  <si>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</si>
  <si>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</si>
  <si>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</si>
  <si>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</si>
  <si>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</si>
  <si>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</si>
  <si>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</si>
  <si>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</si>
  <si>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</si>
  <si>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</si>
  <si>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</si>
  <si>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</si>
  <si>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</si>
  <si>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</si>
  <si>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</si>
  <si>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</si>
  <si>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</si>
  <si>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</si>
  <si>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</si>
  <si>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</si>
  <si>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</si>
  <si>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</si>
  <si>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</si>
  <si>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</si>
  <si>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</si>
  <si>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</si>
  <si>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</si>
  <si>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</si>
  <si>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</si>
  <si>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</si>
  <si>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</si>
  <si>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</si>
  <si>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</si>
  <si>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</si>
  <si>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</si>
  <si>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</si>
  <si>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</si>
  <si>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</si>
  <si>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</si>
  <si>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</si>
  <si>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</si>
  <si>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</si>
  <si>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</si>
  <si>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</si>
  <si>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</si>
  <si>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</si>
  <si>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</si>
  <si>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</si>
  <si>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</si>
  <si>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</si>
  <si>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</si>
  <si>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</si>
  <si>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</si>
  <si>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</si>
  <si>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</si>
  <si>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</si>
  <si>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</si>
  <si>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</si>
  <si>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</si>
  <si>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</si>
  <si>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</si>
  <si>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</si>
  <si>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</si>
  <si>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</si>
  <si>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</si>
  <si>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</si>
  <si>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</si>
  <si>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</si>
  <si>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</si>
  <si>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</si>
  <si>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</si>
  <si>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</si>
  <si>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</si>
  <si>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</si>
  <si>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</si>
  <si>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</si>
  <si>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</si>
  <si>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</si>
  <si>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</si>
  <si>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</si>
  <si>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</si>
  <si>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</si>
  <si>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</si>
  <si>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</si>
  <si>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</si>
  <si>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</si>
  <si>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</si>
  <si>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</si>
  <si>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</si>
  <si>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</si>
  <si>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</si>
  <si>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</si>
  <si>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</si>
  <si>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</si>
  <si>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</si>
  <si>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</si>
  <si>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</si>
  <si>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</si>
  <si>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</si>
  <si>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</si>
  <si>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</si>
  <si>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</si>
  <si>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</si>
  <si>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</si>
  <si>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</si>
  <si>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</si>
  <si>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</si>
  <si>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</si>
  <si>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</si>
  <si>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</si>
  <si>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</si>
  <si>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</si>
  <si>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</si>
  <si>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</si>
  <si>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</si>
  <si>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</si>
  <si>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</si>
  <si>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</si>
  <si>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</si>
  <si>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</si>
  <si>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</si>
  <si>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</si>
  <si>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</si>
  <si>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</si>
  <si>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</si>
  <si>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</si>
  <si>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</si>
  <si>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</si>
  <si>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</si>
  <si>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</si>
  <si>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</si>
  <si>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</si>
  <si>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</si>
  <si>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</si>
  <si>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</si>
  <si>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</si>
  <si>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</si>
  <si>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</si>
  <si>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</si>
  <si>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</si>
  <si>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</si>
  <si>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</si>
  <si>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</si>
  <si>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</si>
  <si>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</si>
  <si>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</si>
  <si>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</si>
  <si>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</si>
  <si>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</si>
  <si>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</si>
  <si>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</si>
  <si>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</si>
  <si>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</si>
  <si>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</si>
  <si>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</si>
  <si>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</si>
  <si>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</si>
  <si>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</si>
  <si>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</si>
  <si>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</si>
  <si>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</si>
  <si>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</si>
  <si>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</si>
  <si>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</si>
  <si>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</si>
  <si>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</si>
  <si>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</si>
  <si>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</si>
  <si>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</si>
  <si>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</si>
  <si>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</si>
  <si>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</si>
  <si>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</si>
  <si>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</si>
  <si>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</si>
  <si>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</si>
  <si>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</si>
  <si>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</si>
  <si>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</si>
  <si>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</si>
  <si>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</si>
  <si>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</si>
  <si>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</si>
  <si>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</si>
  <si>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</si>
  <si>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</si>
  <si>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</si>
  <si>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</si>
  <si>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</si>
  <si>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</si>
  <si>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</si>
  <si>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</si>
  <si>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</si>
  <si>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</si>
  <si>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</si>
  <si>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</si>
  <si>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</si>
  <si>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</si>
  <si>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</si>
  <si>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</si>
  <si>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</si>
  <si>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</si>
  <si>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</si>
  <si>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</si>
  <si>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</si>
  <si>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</si>
  <si>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</si>
  <si>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</si>
  <si>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</si>
  <si>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</si>
  <si>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</si>
  <si>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</si>
  <si>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</si>
  <si>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</si>
  <si>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</si>
  <si>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</si>
  <si>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</si>
  <si>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</si>
  <si>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</si>
  <si>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</si>
  <si>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</si>
  <si>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</si>
  <si>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</si>
  <si>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</si>
  <si>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</si>
  <si>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</si>
  <si>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</si>
  <si>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</si>
  <si>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</si>
  <si>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</si>
  <si>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</si>
  <si>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</si>
  <si>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</si>
  <si>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</si>
  <si>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</si>
  <si>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</si>
  <si>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</si>
  <si>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</si>
  <si>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</si>
  <si>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</si>
  <si>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</si>
  <si>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</si>
  <si>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</si>
  <si>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</si>
  <si>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</si>
  <si>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</si>
  <si>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</si>
  <si>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</si>
  <si>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</si>
  <si>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</si>
  <si>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</si>
  <si>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</si>
  <si>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</si>
  <si>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</si>
  <si>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</si>
  <si>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</si>
  <si>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</si>
  <si>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</si>
  <si>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</si>
  <si>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</si>
  <si>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</si>
  <si>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</si>
  <si>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</si>
  <si>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</si>
  <si>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</si>
  <si>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</si>
  <si>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</si>
  <si>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</si>
  <si>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</si>
  <si>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</si>
  <si>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</si>
  <si>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</si>
  <si>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</si>
  <si>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</si>
  <si>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</si>
  <si>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</si>
  <si>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</si>
  <si>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</si>
  <si>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</si>
  <si>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</si>
  <si>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</si>
  <si>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</si>
  <si>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</si>
  <si>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</si>
  <si>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</si>
  <si>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</si>
  <si>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</si>
  <si>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</si>
  <si>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</si>
  <si>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</si>
  <si>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</si>
  <si>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</si>
  <si>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</si>
  <si>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</si>
  <si>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</si>
  <si>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</si>
  <si>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</si>
  <si>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</si>
  <si>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</si>
  <si>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</si>
  <si>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</si>
  <si>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</si>
  <si>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</si>
  <si>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</si>
  <si>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</si>
  <si>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</si>
  <si>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</si>
  <si>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</si>
  <si>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</si>
  <si>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</si>
  <si>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</si>
  <si>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</si>
  <si>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</si>
  <si>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</si>
  <si>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</si>
  <si>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</si>
  <si>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</si>
  <si>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</si>
  <si>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</si>
  <si>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</si>
  <si>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</si>
  <si>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</si>
  <si>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</si>
  <si>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</si>
  <si>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</si>
  <si>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</si>
  <si>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</si>
  <si>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</si>
  <si>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</si>
  <si>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</si>
  <si>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</si>
  <si>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</si>
  <si>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</si>
  <si>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</si>
  <si>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</si>
  <si>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</si>
  <si>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</si>
  <si>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</si>
  <si>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</si>
  <si>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</si>
  <si>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</si>
  <si>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</si>
  <si>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</si>
  <si>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</si>
  <si>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</si>
  <si>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</si>
  <si>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</si>
  <si>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</si>
  <si>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</si>
  <si>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</si>
  <si>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</si>
  <si>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</si>
  <si>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</si>
  <si>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</si>
  <si>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</si>
  <si>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</si>
  <si>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</si>
  <si>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</si>
  <si>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</si>
  <si>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</si>
  <si>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</si>
  <si>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</si>
  <si>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</si>
  <si>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</si>
  <si>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</si>
  <si>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</si>
  <si>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</si>
  <si>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</si>
  <si>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</si>
  <si>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</si>
  <si>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</si>
  <si>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</si>
  <si>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</si>
  <si>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</si>
  <si>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</si>
  <si>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</si>
  <si>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</si>
  <si>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</si>
  <si>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</si>
  <si>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</si>
  <si>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</si>
  <si>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</si>
  <si>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</si>
  <si>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</si>
  <si>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</si>
  <si>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</si>
  <si>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</si>
  <si>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</si>
  <si>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</si>
  <si>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</si>
  <si>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</si>
  <si>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</si>
  <si>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</si>
  <si>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</si>
  <si>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</si>
  <si>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</si>
  <si>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</si>
  <si>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</si>
  <si>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</si>
  <si>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</si>
  <si>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</si>
  <si>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</si>
  <si>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</si>
  <si>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</si>
  <si>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</si>
  <si>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</si>
  <si>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</si>
  <si>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</si>
  <si>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</si>
  <si>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</si>
  <si>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</si>
  <si>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</si>
  <si>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</si>
  <si>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</si>
  <si>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</si>
  <si>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</si>
  <si>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</si>
  <si>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</si>
  <si>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</si>
  <si>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</si>
  <si>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</si>
  <si>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</si>
  <si>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</si>
  <si>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</si>
  <si>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</si>
  <si>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</si>
  <si>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</si>
  <si>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</si>
  <si>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</si>
  <si>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</si>
  <si>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</si>
  <si>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</si>
  <si>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</si>
  <si>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</si>
  <si>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</si>
  <si>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</si>
  <si>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</si>
  <si>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年总收入</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</si>
  <si>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</si>
  <si>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</si>
  <si>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</si>
  <si>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</si>
  <si>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</si>
  <si>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</si>
  <si>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</si>
  <si>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</si>
  <si>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</si>
  <si>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</si>
  <si>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</si>
  <si>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</si>
  <si>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</si>
  <si>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</si>
  <si>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</si>
  <si>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</si>
  <si>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</si>
  <si>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</si>
  <si>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</si>
  <si>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</si>
  <si>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</si>
  <si>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</si>
  <si>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</si>
  <si>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</si>
  <si>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</si>
  <si>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</si>
  <si>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</si>
  <si>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</si>
  <si>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</si>
  <si>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</si>
  <si>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</si>
  <si>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</si>
  <si>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</si>
  <si>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</si>
  <si>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</si>
  <si>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</si>
  <si>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</si>
  <si>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</si>
  <si>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</si>
  <si>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</si>
  <si>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</si>
  <si>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</si>
  <si>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</si>
  <si>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</si>
  <si>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</si>
  <si>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</si>
  <si>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</si>
  <si>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</si>
  <si>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</si>
  <si>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</si>
  <si>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</si>
  <si>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</si>
  <si>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</si>
  <si>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</si>
  <si>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</si>
  <si>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</si>
  <si>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</si>
  <si>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</si>
  <si>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</si>
  <si>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</si>
  <si>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</si>
  <si>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</si>
  <si>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</si>
  <si>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</si>
  <si>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</si>
  <si>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</si>
  <si>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</si>
  <si>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</si>
  <si>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</si>
  <si>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</si>
  <si>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</si>
  <si>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</si>
  <si>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</si>
  <si>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</si>
  <si>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</si>
  <si>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</si>
  <si>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</si>
  <si>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</si>
  <si>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</si>
  <si>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</si>
  <si>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</si>
  <si>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</si>
  <si>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</si>
  <si>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</si>
  <si>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</si>
  <si>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</si>
  <si>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</si>
  <si>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</si>
  <si>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</si>
  <si>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</si>
  <si>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</si>
  <si>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</si>
  <si>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</si>
  <si>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</si>
  <si>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</si>
  <si>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</si>
  <si>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</si>
  <si>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</si>
  <si>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</si>
  <si>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</si>
  <si>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</si>
  <si>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</si>
  <si>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</si>
  <si>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</si>
  <si>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</si>
  <si>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</si>
  <si>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</si>
  <si>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</si>
  <si>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</si>
  <si>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</si>
  <si>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</si>
  <si>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</si>
  <si>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</si>
  <si>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</si>
  <si>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</si>
  <si>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</si>
  <si>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</si>
  <si>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</si>
  <si>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</si>
  <si>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</si>
  <si>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</si>
  <si>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</si>
  <si>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</si>
  <si>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</si>
  <si>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</si>
  <si>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</si>
  <si>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</si>
  <si>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</si>
  <si>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</si>
  <si>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</si>
  <si>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</si>
  <si>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</si>
  <si>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</si>
  <si>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</si>
  <si>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</si>
  <si>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</si>
  <si>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</si>
  <si>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</si>
  <si>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</si>
  <si>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</si>
  <si>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</si>
  <si>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</si>
  <si>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</si>
  <si>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</si>
  <si>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</si>
  <si>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</si>
  <si>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</si>
  <si>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</si>
  <si>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</si>
  <si>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</si>
  <si>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</si>
  <si>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</si>
  <si>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</si>
  <si>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</si>
  <si>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</si>
  <si>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</si>
  <si>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</si>
  <si>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</si>
  <si>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</si>
  <si>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</si>
  <si>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</si>
  <si>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</si>
  <si>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</si>
  <si>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</si>
  <si>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</si>
  <si>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</si>
  <si>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</si>
  <si>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</si>
  <si>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</si>
  <si>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</si>
  <si>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</si>
  <si>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</si>
  <si>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</si>
  <si>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</si>
  <si>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</si>
  <si>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</si>
  <si>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</si>
  <si>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</si>
  <si>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</si>
  <si>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</si>
  <si>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</si>
  <si>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</si>
  <si>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</si>
  <si>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</si>
  <si>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</si>
  <si>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</si>
  <si>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</si>
  <si>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</si>
  <si>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</si>
  <si>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</si>
  <si>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</si>
  <si>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</si>
  <si>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</si>
  <si>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</si>
  <si>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</si>
  <si>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</si>
  <si>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</si>
  <si>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</si>
  <si>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</si>
  <si>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</si>
  <si>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</si>
  <si>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</si>
  <si>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</si>
  <si>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</si>
  <si>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</si>
  <si>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</si>
  <si>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</si>
  <si>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</si>
  <si>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</si>
  <si>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</si>
  <si>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</si>
  <si>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</si>
  <si>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</si>
  <si>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</si>
  <si>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</si>
  <si>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</si>
  <si>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</si>
  <si>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</si>
  <si>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</si>
  <si>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</si>
  <si>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</si>
  <si>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</si>
  <si>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</si>
  <si>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</si>
  <si>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</si>
  <si>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</si>
  <si>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</si>
  <si>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</si>
  <si>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</si>
  <si>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</si>
  <si>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</si>
  <si>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</si>
  <si>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</si>
  <si>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</si>
  <si>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</si>
  <si>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</si>
  <si>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</si>
  <si>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</si>
  <si>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</si>
  <si>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</si>
  <si>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</si>
  <si>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</si>
  <si>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</si>
  <si>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</si>
  <si>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</si>
  <si>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</si>
  <si>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</si>
  <si>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</si>
  <si>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</si>
  <si>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</si>
  <si>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</si>
  <si>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</si>
  <si>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</si>
  <si>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</si>
  <si>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</si>
  <si>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</si>
  <si>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</si>
  <si>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</si>
  <si>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</si>
  <si>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</si>
  <si>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</si>
  <si>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</si>
  <si>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</si>
  <si>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</si>
  <si>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</si>
  <si>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</si>
  <si>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</si>
  <si>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</si>
  <si>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</si>
  <si>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</si>
  <si>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</si>
  <si>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</si>
  <si>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</si>
  <si>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</si>
  <si>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</si>
  <si>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</si>
  <si>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</si>
  <si>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</si>
  <si>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</si>
  <si>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</si>
  <si>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</si>
  <si>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</si>
  <si>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</si>
  <si>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</si>
  <si>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</si>
  <si>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</si>
  <si>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</si>
  <si>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</si>
  <si>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</si>
  <si>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</si>
  <si>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</si>
  <si>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</si>
  <si>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</si>
  <si>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</si>
  <si>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</si>
  <si>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</si>
  <si>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</si>
  <si>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</si>
  <si>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</si>
  <si>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</si>
  <si>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</si>
  <si>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</si>
  <si>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</si>
  <si>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</si>
  <si>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</si>
  <si>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</si>
  <si>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</si>
  <si>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</si>
  <si>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</si>
  <si>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</si>
  <si>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</si>
  <si>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</si>
  <si>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</si>
  <si>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</si>
  <si>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</si>
  <si>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</si>
  <si>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</si>
  <si>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</si>
  <si>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</si>
  <si>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</si>
  <si>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</si>
  <si>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</si>
  <si>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</si>
  <si>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</si>
  <si>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</si>
  <si>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</si>
  <si>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</si>
  <si>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</si>
  <si>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</si>
  <si>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</si>
  <si>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</si>
  <si>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</si>
  <si>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</si>
  <si>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</si>
  <si>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</si>
  <si>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</si>
  <si>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</si>
  <si>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</si>
  <si>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</si>
  <si>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</si>
  <si>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</si>
  <si>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</si>
  <si>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</si>
  <si>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</si>
  <si>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</si>
  <si>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</si>
  <si>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</si>
  <si>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</si>
  <si>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</si>
  <si>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</si>
  <si>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</si>
  <si>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</si>
  <si>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</si>
  <si>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</si>
  <si>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</si>
  <si>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</si>
  <si>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</si>
  <si>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</si>
  <si>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</si>
  <si>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</si>
  <si>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</si>
  <si>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</si>
  <si>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</si>
  <si>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</si>
  <si>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</si>
  <si>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</si>
  <si>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</si>
  <si>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</si>
  <si>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</si>
  <si>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</si>
  <si>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</si>
  <si>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</si>
  <si>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</si>
  <si>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</si>
  <si>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</si>
  <si>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</si>
  <si>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</si>
  <si>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</si>
  <si>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</si>
  <si>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</si>
  <si>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</si>
  <si>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</si>
  <si>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</si>
  <si>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</si>
  <si>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</si>
  <si>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</si>
  <si>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</si>
  <si>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</si>
  <si>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</si>
  <si>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</si>
  <si>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</si>
  <si>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</si>
  <si>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</si>
  <si>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</si>
  <si>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</si>
  <si>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</si>
  <si>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</si>
  <si>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</si>
  <si>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</si>
  <si>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</si>
  <si>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</si>
  <si>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</si>
  <si>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</si>
  <si>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</si>
  <si>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</si>
  <si>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</si>
  <si>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</si>
  <si>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</si>
  <si>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</si>
  <si>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</si>
  <si>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</si>
  <si>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</si>
  <si>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</si>
  <si>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</si>
  <si>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</si>
  <si>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</si>
  <si>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</si>
  <si>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</si>
  <si>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</si>
  <si>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</si>
  <si>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</si>
  <si>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</si>
  <si>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</si>
  <si>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</si>
  <si>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</si>
  <si>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</si>
  <si>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</si>
  <si>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</si>
  <si>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</si>
  <si>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</si>
  <si>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</si>
  <si>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</si>
  <si>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</si>
  <si>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</si>
  <si>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</si>
  <si>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</si>
  <si>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</si>
  <si>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</si>
  <si>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</si>
  <si>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</si>
  <si>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</si>
  <si>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</si>
  <si>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</si>
  <si>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</si>
  <si>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</si>
  <si>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</si>
  <si>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</si>
  <si>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</si>
  <si>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</si>
  <si>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</si>
  <si>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</si>
  <si>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</si>
  <si>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</si>
  <si>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</si>
  <si>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</si>
  <si>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</si>
  <si>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</si>
  <si>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</si>
  <si>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</si>
  <si>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</si>
  <si>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</si>
  <si>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</si>
  <si>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</si>
  <si>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</si>
  <si>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</si>
  <si>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</si>
  <si>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</si>
  <si>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</si>
  <si>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</si>
  <si>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</si>
  <si>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</si>
  <si>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</si>
  <si>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</si>
  <si>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</si>
  <si>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</si>
  <si>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</si>
  <si>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</si>
  <si>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</si>
  <si>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</si>
  <si>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</si>
  <si>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</si>
  <si>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</si>
  <si>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</si>
  <si>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</si>
  <si>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</si>
  <si>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</si>
  <si>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</si>
  <si>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</si>
  <si>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</si>
  <si>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</si>
  <si>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</si>
  <si>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</si>
  <si>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</si>
  <si>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</si>
  <si>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</si>
  <si>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</si>
  <si>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</si>
  <si>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</si>
  <si>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</si>
  <si>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</si>
  <si>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</si>
  <si>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</si>
  <si>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</si>
  <si>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</si>
  <si>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</si>
  <si>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</si>
  <si>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</si>
  <si>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</si>
  <si>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</si>
  <si>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</si>
  <si>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</si>
  <si>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</si>
  <si>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</si>
  <si>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</si>
  <si>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</si>
  <si>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</si>
  <si>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</si>
  <si>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</si>
  <si>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</si>
  <si>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</si>
  <si>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</si>
  <si>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</si>
  <si>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</si>
  <si>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</si>
  <si>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</si>
  <si>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</si>
  <si>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</si>
  <si>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</si>
  <si>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</si>
  <si>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</si>
  <si>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</si>
  <si>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</si>
  <si>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</si>
  <si>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</si>
  <si>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</si>
  <si>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</si>
  <si>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</si>
  <si>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</si>
  <si>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</si>
  <si>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</si>
  <si>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</si>
  <si>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</si>
  <si>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</si>
  <si>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</si>
  <si>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</si>
  <si>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</si>
  <si>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</si>
  <si>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</si>
  <si>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</si>
  <si>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</si>
  <si>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</si>
  <si>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</si>
  <si>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</si>
  <si>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</si>
  <si>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</si>
  <si>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</si>
  <si>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</si>
  <si>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</si>
  <si>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</si>
  <si>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</si>
  <si>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</si>
  <si>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</si>
  <si>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</si>
  <si>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</si>
  <si>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</si>
  <si>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</si>
  <si>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</si>
  <si>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</si>
  <si>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</si>
  <si>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</si>
  <si>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</si>
  <si>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</si>
  <si>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</si>
  <si>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</si>
  <si>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</si>
  <si>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</si>
  <si>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</si>
  <si>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</si>
  <si>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</si>
  <si>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</si>
  <si>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</si>
  <si>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</si>
  <si>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</si>
  <si>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</si>
  <si>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</si>
  <si>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</si>
  <si>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</si>
  <si>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</si>
  <si>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</si>
  <si>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</si>
  <si>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</si>
  <si>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</si>
  <si>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</si>
  <si>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</si>
  <si>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</si>
  <si>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</si>
  <si>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</si>
  <si>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</si>
  <si>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</si>
  <si>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</si>
  <si>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</si>
  <si>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</si>
  <si>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</si>
  <si>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</si>
  <si>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</si>
  <si>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</si>
  <si>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</si>
  <si>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</si>
  <si>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</si>
  <si>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</si>
  <si>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</si>
  <si>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</si>
  <si>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</si>
  <si>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</si>
  <si>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</si>
  <si>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</si>
  <si>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</si>
  <si>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</si>
  <si>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</si>
  <si>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</si>
  <si>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</si>
  <si>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</si>
  <si>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</si>
  <si>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</si>
  <si>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</si>
  <si>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</si>
  <si>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</si>
  <si>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</si>
  <si>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</si>
  <si>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</si>
  <si>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</si>
  <si>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</si>
  <si>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</si>
  <si>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</si>
  <si>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</si>
  <si>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</si>
  <si>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</si>
  <si>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</si>
  <si>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</si>
  <si>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</si>
  <si>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</si>
  <si>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</si>
  <si>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</si>
  <si>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</si>
  <si>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</si>
  <si>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</si>
  <si>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</si>
  <si>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</si>
  <si>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</si>
  <si>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</si>
  <si>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</si>
  <si>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</si>
  <si>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</si>
  <si>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</si>
  <si>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</si>
  <si>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</si>
  <si>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</si>
  <si>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</si>
  <si>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</si>
  <si>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</si>
  <si>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</si>
  <si>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</si>
  <si>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</si>
  <si>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</si>
  <si>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</si>
  <si>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</si>
  <si>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</si>
  <si>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</si>
  <si>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</si>
  <si>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</si>
  <si>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</si>
  <si>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</si>
  <si>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</si>
  <si>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</si>
  <si>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</si>
  <si>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</si>
  <si>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</si>
  <si>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</si>
  <si>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</si>
  <si>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</si>
  <si>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</si>
  <si>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</si>
  <si>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</si>
  <si>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</si>
  <si>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</si>
  <si>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</si>
  <si>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</si>
  <si>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</si>
  <si>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</si>
  <si>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</si>
  <si>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</si>
  <si>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</si>
  <si>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</si>
  <si>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</si>
  <si>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</si>
  <si>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</si>
  <si>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</si>
  <si>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</si>
  <si>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</si>
  <si>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</si>
  <si>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</si>
  <si>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</si>
  <si>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</si>
  <si>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</si>
  <si>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</si>
  <si>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</si>
  <si>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</si>
  <si>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</si>
  <si>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</si>
  <si>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</si>
  <si>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</si>
  <si>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</si>
  <si>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</si>
  <si>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</si>
  <si>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</si>
  <si>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</si>
  <si>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</si>
  <si>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</si>
  <si>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</si>
  <si>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</si>
  <si>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</si>
  <si>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</si>
  <si>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</si>
  <si>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</si>
  <si>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</si>
  <si>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</si>
  <si>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</si>
  <si>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</si>
  <si>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</si>
  <si>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</si>
  <si>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</si>
  <si>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</si>
  <si>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</si>
  <si>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</si>
  <si>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</si>
  <si>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</si>
  <si>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</si>
  <si>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</si>
  <si>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</si>
  <si>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</si>
  <si>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</si>
  <si>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</si>
  <si>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</si>
  <si>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</si>
  <si>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</si>
  <si>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</si>
  <si>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</si>
  <si>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</si>
  <si>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</si>
  <si>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</si>
  <si>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</si>
  <si>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</si>
  <si>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</si>
  <si>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</si>
  <si>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</si>
  <si>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</si>
  <si>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</si>
  <si>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</si>
  <si>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</si>
  <si>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</si>
  <si>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</si>
  <si>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</si>
  <si>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</si>
  <si>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</si>
  <si>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</si>
  <si>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</si>
  <si>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</si>
  <si>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</si>
  <si>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</si>
  <si>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</si>
  <si>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</si>
  <si>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</si>
  <si>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</si>
  <si>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</si>
  <si>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</si>
  <si>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</si>
  <si>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</si>
  <si>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</si>
  <si>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</si>
  <si>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</si>
  <si>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</si>
  <si>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</si>
  <si>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</si>
  <si>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</si>
  <si>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</si>
  <si>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</si>
  <si>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</si>
  <si>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</si>
  <si>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</si>
  <si>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</si>
  <si>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</si>
  <si>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</si>
  <si>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</si>
  <si>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</si>
  <si>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</si>
  <si>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</si>
  <si>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</si>
  <si>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</si>
  <si>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</si>
  <si>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</si>
  <si>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</si>
  <si>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</si>
  <si>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</si>
  <si>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</si>
  <si>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</si>
  <si>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</si>
  <si>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</si>
  <si>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</si>
  <si>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</si>
  <si>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</si>
  <si>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</si>
  <si>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</si>
  <si>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</si>
  <si>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</si>
  <si>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</si>
  <si>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</si>
  <si>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</si>
  <si>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</si>
  <si>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</si>
  <si>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</si>
  <si>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</si>
  <si>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</si>
  <si>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</si>
  <si>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</si>
  <si>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</si>
  <si>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</si>
  <si>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</si>
  <si>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</si>
  <si>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</si>
  <si>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</si>
  <si>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</si>
  <si>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</si>
  <si>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</si>
  <si>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</si>
  <si>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</si>
  <si>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</si>
  <si>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</si>
  <si>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</si>
  <si>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</si>
  <si>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</si>
  <si>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</si>
  <si>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</si>
  <si>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</si>
  <si>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</si>
  <si>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</si>
  <si>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</si>
  <si>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</si>
  <si>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</si>
  <si>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</si>
  <si>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</si>
  <si>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</si>
  <si>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</si>
  <si>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</si>
  <si>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</si>
  <si>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</si>
  <si>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</si>
  <si>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</si>
  <si>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</si>
  <si>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</si>
  <si>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</si>
  <si>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</si>
  <si>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</si>
  <si>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</si>
  <si>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</si>
  <si>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</si>
  <si>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</si>
  <si>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</si>
  <si>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</si>
  <si>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</si>
  <si>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</si>
  <si>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</si>
  <si>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</si>
  <si>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</si>
  <si>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</si>
  <si>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</si>
  <si>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</si>
  <si>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</si>
  <si>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</si>
  <si>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</si>
  <si>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</si>
  <si>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</si>
  <si>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</si>
  <si>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</si>
  <si>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</si>
  <si>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</si>
  <si>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</si>
  <si>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</si>
  <si>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</si>
  <si>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</si>
  <si>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</si>
  <si>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</si>
  <si>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</si>
  <si>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</si>
  <si>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</si>
  <si>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</si>
  <si>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</si>
  <si>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</si>
  <si>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</si>
  <si>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</si>
  <si>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</si>
  <si>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</si>
  <si>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</si>
  <si>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</si>
  <si>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</si>
  <si>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</si>
  <si>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</si>
  <si>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</si>
  <si>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</si>
  <si>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</si>
  <si>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</si>
  <si>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</si>
  <si>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</si>
  <si>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</si>
  <si>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</si>
  <si>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</si>
  <si>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</si>
  <si>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</si>
  <si>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</si>
  <si>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</si>
  <si>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</si>
  <si>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</si>
  <si>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</si>
  <si>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</si>
  <si>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</si>
  <si>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</si>
  <si>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</si>
  <si>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</si>
  <si>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</si>
  <si>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</si>
  <si>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</si>
  <si>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</si>
  <si>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</si>
  <si>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</si>
  <si>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</si>
  <si>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</si>
  <si>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</si>
  <si>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</si>
  <si>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</si>
  <si>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</si>
  <si>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</si>
  <si>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</si>
  <si>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</si>
  <si>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</si>
  <si>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</si>
  <si>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</si>
  <si>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</si>
  <si>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</si>
  <si>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</si>
  <si>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</si>
  <si>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</si>
  <si>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</si>
  <si>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</si>
  <si>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</si>
  <si>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</si>
  <si>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</si>
  <si>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</si>
  <si>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</si>
  <si>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</si>
  <si>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</si>
  <si>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</si>
  <si>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</si>
  <si>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</si>
  <si>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</si>
  <si>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</si>
  <si>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</si>
  <si>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</si>
  <si>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</si>
  <si>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</si>
  <si>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</si>
  <si>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</si>
  <si>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</si>
  <si>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</si>
  <si>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</si>
  <si>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</si>
  <si>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</si>
  <si>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</si>
  <si>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</si>
  <si>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</si>
  <si>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</si>
  <si>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</si>
  <si>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</si>
  <si>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</si>
  <si>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</si>
  <si>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</si>
  <si>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</si>
  <si>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</si>
  <si>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</si>
  <si>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</si>
  <si>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</si>
  <si>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</si>
  <si>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</si>
  <si>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</si>
  <si>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</si>
  <si>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</si>
  <si>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</si>
  <si>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</si>
  <si>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</si>
  <si>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</si>
  <si>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</si>
  <si>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</si>
  <si>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</si>
  <si>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</si>
  <si>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</si>
  <si>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</si>
  <si>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</si>
  <si>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</si>
  <si>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</si>
  <si>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</si>
  <si>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</si>
  <si>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</si>
  <si>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</si>
  <si>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</si>
  <si>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</si>
  <si>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</si>
  <si>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公寓式酒店</t>
    <phoneticPr fontId="134" type="noConversion"/>
  </si>
  <si>
    <t>商业</t>
    <phoneticPr fontId="134" type="noConversion"/>
  </si>
  <si>
    <t>建筑面积</t>
    <phoneticPr fontId="134" type="noConversion"/>
  </si>
  <si>
    <r>
      <rPr>
        <sz val="11"/>
        <color theme="1"/>
        <rFont val="宋体"/>
        <family val="3"/>
        <charset val="134"/>
        <scheme val="minor"/>
      </rPr>
      <t>-</t>
    </r>
    <r>
      <rPr>
        <sz val="11"/>
        <color theme="1"/>
        <rFont val="宋体"/>
        <family val="3"/>
        <charset val="134"/>
        <scheme val="minor"/>
      </rPr>
      <t>1层-102</t>
    </r>
    <phoneticPr fontId="134" type="noConversion"/>
  </si>
  <si>
    <r>
      <t>-1层-10</t>
    </r>
    <r>
      <rPr>
        <sz val="11"/>
        <color theme="1"/>
        <rFont val="宋体"/>
        <family val="3"/>
        <charset val="134"/>
        <scheme val="minor"/>
      </rPr>
      <t>4</t>
    </r>
    <phoneticPr fontId="134" type="noConversion"/>
  </si>
  <si>
    <t>-1层-107</t>
    <phoneticPr fontId="134" type="noConversion"/>
  </si>
  <si>
    <t>1层102</t>
    <phoneticPr fontId="134" type="noConversion"/>
  </si>
  <si>
    <t>1层101</t>
    <phoneticPr fontId="134" type="noConversion"/>
  </si>
  <si>
    <r>
      <t>1层</t>
    </r>
    <r>
      <rPr>
        <sz val="11"/>
        <color theme="1"/>
        <rFont val="宋体"/>
        <family val="3"/>
        <charset val="134"/>
        <scheme val="minor"/>
      </rPr>
      <t>111</t>
    </r>
    <phoneticPr fontId="134" type="noConversion"/>
  </si>
  <si>
    <t>总面积</t>
    <phoneticPr fontId="134" type="noConversion"/>
  </si>
  <si>
    <t>-1层</t>
    <phoneticPr fontId="134" type="noConversion"/>
  </si>
  <si>
    <t>1层</t>
    <phoneticPr fontId="134" type="noConversion"/>
  </si>
  <si>
    <t>2层</t>
    <phoneticPr fontId="134" type="noConversion"/>
  </si>
  <si>
    <t>3层</t>
    <phoneticPr fontId="134" type="noConversion"/>
  </si>
  <si>
    <t>商业</t>
    <phoneticPr fontId="3" type="noConversion"/>
  </si>
  <si>
    <t>地上</t>
  </si>
  <si>
    <t>地下</t>
  </si>
  <si>
    <t>酒店式公寓</t>
    <phoneticPr fontId="3" type="noConversion"/>
  </si>
  <si>
    <t>不动产坐落</t>
  </si>
  <si>
    <t>不动产单元号</t>
  </si>
  <si>
    <t>宗地面积/房屋建
筑面积（m2）</t>
  </si>
  <si>
    <t>西城区宣武门内大街4号楼5层502</t>
    <phoneticPr fontId="134" type="noConversion"/>
  </si>
  <si>
    <t>110102001005GB00060F00010429</t>
    <phoneticPr fontId="134" type="noConversion"/>
  </si>
  <si>
    <t>西城区宣武门内大街4号
楼16层1610</t>
  </si>
  <si>
    <t>110102001005G
B00060F000107
63</t>
  </si>
  <si>
    <t>公寓式酒
店</t>
  </si>
  <si>
    <t>西城区宣武门内大街4号
楼10层1017</t>
  </si>
  <si>
    <t>110102001005G
B00060F000105
84</t>
  </si>
  <si>
    <t>西城区宣武门内大街4号
楼8层818</t>
  </si>
  <si>
    <t>110102001005G
B00060F000105
23</t>
  </si>
  <si>
    <t>西城区宣武门内大街4号
楼5层613</t>
  </si>
  <si>
    <t>110102001005G
B00060F000104
66</t>
  </si>
  <si>
    <t>西城区宣武门内大街4号
楼9层911</t>
  </si>
  <si>
    <t>110102001005G
B00060F000105
47</t>
  </si>
  <si>
    <t>西城区宣武门内大街4号
楼11层1116</t>
  </si>
  <si>
    <t>110102001005G
B00060F000106
14</t>
  </si>
  <si>
    <t>西城区宣武门内大街4号
楼16层1606</t>
  </si>
  <si>
    <t>110102001005G
B00060F000107
59</t>
  </si>
  <si>
    <t>西城区宣武门内大街4号
楼5层712</t>
  </si>
  <si>
    <t>110102001005G
B00060F000104
91</t>
  </si>
  <si>
    <t>西城区宣武门内大街4号
楼8层809</t>
  </si>
  <si>
    <t>110102001005G
B00060F000105
14</t>
  </si>
  <si>
    <t>西城区宣武门内大街4号
楼14层1404</t>
  </si>
  <si>
    <t>110102001005G
B00060F000106
95</t>
  </si>
  <si>
    <t>西城区宣武门内大街4号
楼14层1427</t>
  </si>
  <si>
    <t>110102001005G
B00060F000107
18</t>
  </si>
  <si>
    <t>西城区宣武门内大街4号
楼4层406</t>
  </si>
  <si>
    <t>110102001005G
B00060F000104
13</t>
  </si>
  <si>
    <t>西城区宣武门内大街4号
楼11层1124</t>
  </si>
  <si>
    <t>110102001005G
B00060F000106
22</t>
  </si>
  <si>
    <t>西城区宣武门内大街4号
楼12层1215</t>
  </si>
  <si>
    <t>110102001005G
B00060F000106
44</t>
  </si>
  <si>
    <t>西城区宣武门内大街4号
楼5层526</t>
  </si>
  <si>
    <t>110102001005G
B00060F000104
53</t>
  </si>
  <si>
    <t>西城区宣武门内大街4号
楼9层902</t>
  </si>
  <si>
    <t>110102001005G
B00060F000105
38</t>
  </si>
  <si>
    <t>西城区宣武门内大街4号
楼13层1324</t>
  </si>
  <si>
    <t>110102001005G
B00060F000106
84</t>
  </si>
  <si>
    <t>西城区宣武门内大街4号
楼10层1021</t>
  </si>
  <si>
    <t>110102001005G
B00060F000105
88</t>
  </si>
  <si>
    <t>西城区宣武门内大街4号
楼12层1220</t>
  </si>
  <si>
    <t>110102001005G
B00060F000106
49</t>
  </si>
  <si>
    <t>西城区宣武门内大街4号
楼11层1121</t>
  </si>
  <si>
    <t>110102001005G
B00060F000106
19</t>
  </si>
  <si>
    <t>西城区宣武门内大街4号
楼12层1222</t>
  </si>
  <si>
    <t>110102001005G
B00060F000106
51</t>
  </si>
  <si>
    <t>西城区宣武门内大街4号
楼14层1408</t>
  </si>
  <si>
    <t>110102001005G
B00060F000106
99</t>
  </si>
  <si>
    <t>西城区宣武门内大街4号
楼13层1327</t>
  </si>
  <si>
    <t>110102001005G
B00060F000106
87</t>
  </si>
  <si>
    <t>西城区宣武门内大街4号
楼15层1513</t>
  </si>
  <si>
    <t>110102001005G
B00060F000107
35</t>
  </si>
  <si>
    <t>西城区宣武门内大街4号
楼15层1520</t>
  </si>
  <si>
    <t>110102001005G
B00060F000107
42</t>
  </si>
  <si>
    <t>西城区宣武门内大街4号
楼11层1102</t>
  </si>
  <si>
    <t>110102001005G
B00060F000106
00</t>
  </si>
  <si>
    <t>西城区宣武门内大街4号
楼5层713</t>
  </si>
  <si>
    <t>110102001005G
B00060F000104
92</t>
  </si>
  <si>
    <t>西城区宣武门内大街4号
楼5层515</t>
  </si>
  <si>
    <t>110102001005G
B00060F000104
42</t>
  </si>
  <si>
    <t>西城区宣武门内大街4号
楼16层1616</t>
  </si>
  <si>
    <t>110102001005G
B00060F000107
69</t>
  </si>
  <si>
    <t>西城区宣武门内大街4号
楼14层1415</t>
  </si>
  <si>
    <t>110102001005G
B00060F000107
06</t>
  </si>
  <si>
    <t>西城区宣武门内大街4号
楼16层1608</t>
  </si>
  <si>
    <t>110102001005G
B00060F000107
61</t>
  </si>
  <si>
    <t>西城区宣武门内大街4号
楼10层1007</t>
  </si>
  <si>
    <t>110102001005G
B00060F000105
74</t>
  </si>
  <si>
    <t>西城区宣武门内大街4号
楼4层407</t>
  </si>
  <si>
    <t>110102001005G
B00060F000104
14</t>
  </si>
  <si>
    <t>西城区宣武门内大街4号
楼8层819</t>
  </si>
  <si>
    <t>110102001005G
B00060F000105
24</t>
  </si>
  <si>
    <t>西城区宣武门内大街4号
楼12层1230</t>
  </si>
  <si>
    <t>110102001005G
B00060F000106
59</t>
  </si>
  <si>
    <t>西城区宣武门内大街4号
楼15层1505</t>
  </si>
  <si>
    <t>110102001005G
B00060F000107
27</t>
  </si>
  <si>
    <t>西城区宣武门内大街4号
楼11层1105</t>
  </si>
  <si>
    <t>110102001005G
B00060F000106
03</t>
  </si>
  <si>
    <t>西城区宣武门内大街4号
楼8层817</t>
  </si>
  <si>
    <t>110102001005G
B00060F000105
22</t>
  </si>
  <si>
    <t>西城区宣武门内大街4号
楼5层618</t>
  </si>
  <si>
    <t>110102001005G
B00060F000104
71</t>
  </si>
  <si>
    <t>西城区宣武门内大街4号
楼12层1221</t>
  </si>
  <si>
    <t>110102001005G
B00060F000106
50</t>
  </si>
  <si>
    <t>西城区宣武门内大街4号
楼9层929</t>
  </si>
  <si>
    <t>110102001005G
B00060F000105
65</t>
  </si>
  <si>
    <t>西城区宣武门内大街4号
楼13层1322</t>
  </si>
  <si>
    <t>110102001005G
B00060F000106
82</t>
  </si>
  <si>
    <t>西城区宣武门内大街4号
楼5层626</t>
  </si>
  <si>
    <t>110102001005G
B00060F000104
79</t>
  </si>
  <si>
    <t>西城区宣武门内大街4号
楼15层1517</t>
  </si>
  <si>
    <t>110102001005G
B00060F000107
39</t>
  </si>
  <si>
    <t>西城区宣武门内大街4号
楼8层810</t>
  </si>
  <si>
    <t>110102001005G
B00060F000105
15</t>
  </si>
  <si>
    <t>西城区宣武门内大街4号
楼5层721</t>
  </si>
  <si>
    <t>110102001005G
B00060F000105
00</t>
  </si>
  <si>
    <t>西城区宣武门内大街4号
楼16层1607</t>
  </si>
  <si>
    <t>110102001005G
B00060F000107
60</t>
  </si>
  <si>
    <t>西城区宣武门内大街4号
楼5层601</t>
  </si>
  <si>
    <t>110102001005G
B00060F000104
54</t>
  </si>
  <si>
    <t>西城区宣武门内大街4号
楼4层401</t>
  </si>
  <si>
    <t>110102001005G
B00060F000104
08</t>
  </si>
  <si>
    <t>西城区宣武门内大街4号
楼13层1325</t>
  </si>
  <si>
    <t>110102001005G
B00060F000106
85</t>
  </si>
  <si>
    <t>西城区宣武门内大街4号
楼10层1009</t>
  </si>
  <si>
    <t>110102001005G
B00060F000105
76</t>
  </si>
  <si>
    <t>西城区宣武门内大街4号
楼13层1321</t>
  </si>
  <si>
    <t>110102001005G
B00060F000106
81</t>
  </si>
  <si>
    <t>西城区宣武门内大街4号
楼11层1126</t>
  </si>
  <si>
    <t>110102001005G
B00060F000106
24</t>
  </si>
  <si>
    <t>西城区宣武门内大街4号
楼5层714</t>
  </si>
  <si>
    <t>110102001005G
B00060F000104
93</t>
  </si>
  <si>
    <t>西城区宣武门内大街4号
楼11层1101</t>
  </si>
  <si>
    <t>110102001005G
B00060F000105
99</t>
  </si>
  <si>
    <t>西城区宣武门内大街4号
楼11层1104</t>
  </si>
  <si>
    <t>110102001005G
B00060F000106
02</t>
  </si>
  <si>
    <t>西城区宣武门内大街4号
楼9层918</t>
  </si>
  <si>
    <t>110102001005G
B00060F000105
54</t>
  </si>
  <si>
    <t>西城区宣武门内大街4号
楼16层1620</t>
  </si>
  <si>
    <t>110102001005G
B00060F000107
73</t>
  </si>
  <si>
    <t>西城区宣武门内大街4号
楼14层1407</t>
  </si>
  <si>
    <t>110102001005G
B00060F000106
98</t>
  </si>
  <si>
    <t>西城区宣武门内大街4号
楼12层1205</t>
  </si>
  <si>
    <t>110102001005G
B00060F000106
34</t>
  </si>
  <si>
    <t>西城区宣武门内大街4号
楼5层619</t>
  </si>
  <si>
    <t>110102001005G
B00060F000104
72</t>
  </si>
  <si>
    <t>西城区宣武门内大街4号
楼14层1422</t>
  </si>
  <si>
    <t>110102001005G
B00060F000107
13</t>
  </si>
  <si>
    <t>西城区宣武门内大街4号
楼5层723</t>
  </si>
  <si>
    <t>110102001005G
B00060F000105
02</t>
  </si>
  <si>
    <t>西城区宣武门内大街4号
楼5层609</t>
  </si>
  <si>
    <t>110102001005G
B00060F000104
62</t>
  </si>
  <si>
    <t>西城区宣武门内大街4号
楼11层1125</t>
  </si>
  <si>
    <t>110102001005G
B00060F000106
23</t>
  </si>
  <si>
    <t>西城区宣武门内大街4号
楼8层801</t>
  </si>
  <si>
    <t>110102001005G
B00060F000105
06</t>
  </si>
  <si>
    <t>西城区宣武门内大街4号
楼5层617</t>
  </si>
  <si>
    <t>110102001005G
B00060F000104
70</t>
  </si>
  <si>
    <t>西城区宣武门内大街4号
楼5层517</t>
  </si>
  <si>
    <t>110102001005G
B00060F000104
44</t>
  </si>
  <si>
    <t>西城区宣武门内大街4号
楼16层1624</t>
  </si>
  <si>
    <t>110102001005G
B00060F000107
77</t>
  </si>
  <si>
    <t>西城区宣武门内大街4号
楼10层1018</t>
  </si>
  <si>
    <t>110102001005G
B00060F000105
85</t>
  </si>
  <si>
    <t>西城区宣武门内大街4号
楼15层1503</t>
  </si>
  <si>
    <t>110102001005G
B00060F000107
25</t>
  </si>
  <si>
    <t>西城区宣武门内大街4号
楼5层616</t>
  </si>
  <si>
    <t>110102001005G
B00060F000104
69</t>
  </si>
  <si>
    <t>西城区宣武门内大街4号
楼5层719</t>
  </si>
  <si>
    <t>110102001005G
B00060F000104
98</t>
  </si>
  <si>
    <t>西城区宣武门内大街4号
楼11层1109</t>
  </si>
  <si>
    <t>110102001005G
B00060F000106
07</t>
  </si>
  <si>
    <t>西城区宣武门内大街4号
楼10层1012</t>
  </si>
  <si>
    <t>110102001005G
B00060F000105
79</t>
  </si>
  <si>
    <t>西城区宣武门内大街4号
楼14层1418</t>
  </si>
  <si>
    <t>110102001005G
B00060F000107
09</t>
  </si>
  <si>
    <t>西城区宣武门内大街4号
楼13层1305</t>
  </si>
  <si>
    <t>110102001005G
B00060F000106
65</t>
  </si>
  <si>
    <t>西城区宣武门内大街4号
楼5层705</t>
  </si>
  <si>
    <t>110102001005G
B00060F000104
84</t>
  </si>
  <si>
    <t>西城区宣武门内大街4号
楼5层501</t>
  </si>
  <si>
    <t>110102001005G
B00060F000104
28</t>
  </si>
  <si>
    <t>西城区宣武门内大街4号
楼5层716</t>
  </si>
  <si>
    <t>110102001005G
B00060F000104
95</t>
  </si>
  <si>
    <t>西城区宣武门内大街4号
楼16层1609</t>
  </si>
  <si>
    <t>110102001005G
B00060F000107
62</t>
  </si>
  <si>
    <t>西城区宣武门内大街4号
楼11层1118</t>
  </si>
  <si>
    <t>110102001005G
B00060F000106
16</t>
  </si>
  <si>
    <t>西城区宣武门内大街4号
楼8层813</t>
  </si>
  <si>
    <t>110102001005G
B00060F000105
18</t>
  </si>
  <si>
    <t>西城区宣武门内大街4号
楼11层1113</t>
  </si>
  <si>
    <t>110102001005G
B00060F000106
11</t>
  </si>
  <si>
    <t>西城区宣武门内大街4号
楼5层506</t>
  </si>
  <si>
    <t>110102001005G
B00060F000104
33</t>
  </si>
  <si>
    <t>西城区宣武门内大街4号
楼13层1328</t>
  </si>
  <si>
    <t>110102001005G
B00060F000106
88</t>
  </si>
  <si>
    <t>西城区宣武门内大街4号
楼9层924</t>
  </si>
  <si>
    <t>110102001005G
B00060F000105
60</t>
  </si>
  <si>
    <t>西城区宣武门内大街4号
楼11层1114</t>
  </si>
  <si>
    <t>110102001005G
B00060F000106
12</t>
  </si>
  <si>
    <t>西城区宣武门内大街4号
楼15层1523</t>
  </si>
  <si>
    <t>110102001005G
B00060F000107
45</t>
  </si>
  <si>
    <t>西城区宣武门内大街4号
楼5层520</t>
  </si>
  <si>
    <t>110102001005G
B00060F000104
47</t>
  </si>
  <si>
    <t>西城区宣武门内大街4号
楼12层1217</t>
  </si>
  <si>
    <t>110102001005G
B00060F000106
46</t>
  </si>
  <si>
    <t>西城区宣武门内大街4号
楼12层1228</t>
  </si>
  <si>
    <t>110102001005G
B00060F000106
57</t>
  </si>
  <si>
    <t>西城区宣武门内大街4号
楼8层830</t>
  </si>
  <si>
    <t>110102001005G
B00060F000105
35</t>
  </si>
  <si>
    <t>西城区宣武门内大街4号
楼9层927</t>
  </si>
  <si>
    <t>110102001005G
B00060F000105
63</t>
  </si>
  <si>
    <t>西城区宣武门内大街4号
楼10层1003</t>
  </si>
  <si>
    <t>110102001005G
B00060F000105
70</t>
  </si>
  <si>
    <t>西城区宣武门内大街4号
楼13层1307</t>
  </si>
  <si>
    <t>110102001005G
B00060F000106
67</t>
  </si>
  <si>
    <t>西城区宣武门内大街4号
楼5层710</t>
  </si>
  <si>
    <t>110102001005G
B00060F000104
89</t>
  </si>
  <si>
    <t>西城区宣武门内大街4号
楼13层1313</t>
  </si>
  <si>
    <t>110102001005G
B00060F000106
73</t>
  </si>
  <si>
    <t>西城区宣武门内大街4号
楼15层1511</t>
  </si>
  <si>
    <t>110102001005G
B00060F000107
33</t>
  </si>
  <si>
    <t>西城区宣武门内大街4号
楼5层514</t>
  </si>
  <si>
    <t>110102001005G
B00060F000104
41</t>
  </si>
  <si>
    <t>西城区宣武门内大街4号
楼-1层-102</t>
  </si>
  <si>
    <t>110102001005G
B00060F000103
93</t>
  </si>
  <si>
    <t>西城区宣武门内大街4号
楼5层504</t>
  </si>
  <si>
    <t>110102001005G
B00060F000104
31</t>
  </si>
  <si>
    <t>西城区宣武门内大街4号
楼10层1010</t>
  </si>
  <si>
    <t>110102001005G
B00060F000105
77</t>
  </si>
  <si>
    <t>西城区宣武门内大街4号
楼12层1202</t>
  </si>
  <si>
    <t>110102001005G
B00060F000106
31</t>
  </si>
  <si>
    <t>西城区宣武门内大街4号
楼14层1402</t>
  </si>
  <si>
    <t>110102001005G
B00060F000106
93</t>
  </si>
  <si>
    <t>西城区宣武门内大街4号
楼13层1316</t>
  </si>
  <si>
    <t>110102001005G
B00060F000106
76</t>
  </si>
  <si>
    <t>西城区宣武门内大街4号
楼13层1320</t>
  </si>
  <si>
    <t>110102001005G
B00060F000106
80</t>
  </si>
  <si>
    <t>西城区宣武门内大街4号
楼13层1326</t>
  </si>
  <si>
    <t>110102001005G
B00060F000106
86</t>
  </si>
  <si>
    <t>西城区宣武门内大街4号
楼5层722</t>
  </si>
  <si>
    <t>110102001005G
B00060F000105
01</t>
  </si>
  <si>
    <t>西城区宣武门内大街4号
楼13层1330</t>
  </si>
  <si>
    <t>110102001005G
B00060F000106
90</t>
  </si>
  <si>
    <t>西城区宣武门内大街4号
楼4层412</t>
  </si>
  <si>
    <t>110102001005G
B00060F000104
19</t>
  </si>
  <si>
    <t>西城区宣武门内大街4号
楼4层402</t>
  </si>
  <si>
    <t>110102001005G
B00060F000104
09</t>
  </si>
  <si>
    <t>西城区宣武门内大街4号
楼13层1318</t>
  </si>
  <si>
    <t>110102001005G
B00060F000106
78</t>
  </si>
  <si>
    <t>西城区宣武门内大街4号
楼5层606</t>
  </si>
  <si>
    <t>110102001005G
B00060F000104
59</t>
  </si>
  <si>
    <t>西城区宣武门内大街4号
楼10层1008</t>
  </si>
  <si>
    <t>110102001005G
B00060F000105
75</t>
  </si>
  <si>
    <t>西城区宣武门内大街4号
楼12层1231</t>
  </si>
  <si>
    <t>110102001005G
B00060F000106
60</t>
  </si>
  <si>
    <t>西城区宣武门内大街4号
楼10层1011</t>
  </si>
  <si>
    <t>110102001005G
B00060F000105
78</t>
  </si>
  <si>
    <t>西城区宣武门内大街4号
楼8层816</t>
  </si>
  <si>
    <t>110102001005G
B00060F000105
21</t>
  </si>
  <si>
    <t>西城区宣武门内大街4号
楼9层917</t>
  </si>
  <si>
    <t>110102001005G
B00060F000105
53</t>
  </si>
  <si>
    <t>西城区宣武门内大街4号
楼11层1107</t>
  </si>
  <si>
    <t>110102001005G
B00060F000106
05</t>
  </si>
  <si>
    <t>西城区宣武门内大街4号
楼11层1129</t>
  </si>
  <si>
    <t>110102001005G
B00060F000106
27</t>
  </si>
  <si>
    <t>西城区宣武门内大街4号
楼10层1002</t>
  </si>
  <si>
    <t>110102001005G
B00060F000105
69</t>
  </si>
  <si>
    <t>西城区宣武门内大街4号
楼8层829</t>
  </si>
  <si>
    <t>110102001005G
B00060F000105
34</t>
  </si>
  <si>
    <t>西城区宣武门内大街4号
楼14层1423</t>
  </si>
  <si>
    <t>110102001005G
B00060F000107
14</t>
  </si>
  <si>
    <t>西城区宣武门内大街4号
楼9层926</t>
  </si>
  <si>
    <t>110102001005G
B00060F000105
62</t>
  </si>
  <si>
    <t>西城区宣武门内大街4号
楼5层513</t>
  </si>
  <si>
    <t>110102001005G
B00060F000104
40</t>
  </si>
  <si>
    <t>西城区宣武门内大街4号
楼15层1529</t>
  </si>
  <si>
    <t>110102001005G
B00060F000107
51</t>
  </si>
  <si>
    <t>西城区宣武门内大街4号
楼10层1028</t>
  </si>
  <si>
    <t>110102001005G
B00060F000105
95</t>
  </si>
  <si>
    <t>西城区宣武门内大街4号
楼8层831</t>
  </si>
  <si>
    <t>110102001005G
B00060F000105
36</t>
  </si>
  <si>
    <t>西城区宣武门内大街4号
楼-1层-104</t>
  </si>
  <si>
    <t>110102001005G
B00060F000103
94</t>
  </si>
  <si>
    <t>西城区宣武门内大街4号
楼9层919</t>
  </si>
  <si>
    <t>110102001005G
B00060F000105
55</t>
  </si>
  <si>
    <t>西城区宣武门内大街4号
楼14层1412</t>
  </si>
  <si>
    <t>110102001005G
B00060F000107
03</t>
  </si>
  <si>
    <t>西城区宣武门内大街4号
楼16层1604</t>
  </si>
  <si>
    <t>110102001005G
B00060F000107
57</t>
  </si>
  <si>
    <t>西城区宣武门内大街4号
楼16层1619</t>
  </si>
  <si>
    <t>110102001005G
B00060F000107
72</t>
  </si>
  <si>
    <t>西城区宣武门内大街4号
楼9层907</t>
  </si>
  <si>
    <t>110102001005G
B00060F000105
43</t>
  </si>
  <si>
    <t>西城区宣武门内大街4号
楼5层726</t>
  </si>
  <si>
    <t>110102001005G
B00060F000105
05</t>
  </si>
  <si>
    <t>西城区宣武门内大街4号
楼5层703</t>
  </si>
  <si>
    <t>110102001005G
B00060F000104
82</t>
  </si>
  <si>
    <t>西城区宣武门内大街4号
楼5层523</t>
  </si>
  <si>
    <t>110102001005G
B00060F000104
50</t>
  </si>
  <si>
    <t>西城区宣武门内大街4号
楼5层608</t>
  </si>
  <si>
    <t>110102001005G
B00060F000104
61</t>
  </si>
  <si>
    <t>西城区宣武门内大街4号
楼13层1315</t>
  </si>
  <si>
    <t>110102001005G
B00060F000106
75</t>
  </si>
  <si>
    <t>西城区宣武门内大街4号
楼14层1428</t>
  </si>
  <si>
    <t>110102001005G
B00060F000107
19</t>
  </si>
  <si>
    <t>西城区宣武门内大街4号
楼13层1306</t>
  </si>
  <si>
    <t>110102001005G
B00060F000106
66</t>
  </si>
  <si>
    <t>西城区宣武门内大街4号
楼15层1522</t>
  </si>
  <si>
    <t>110102001005G
B00060F000107
44</t>
  </si>
  <si>
    <t>西城区宣武门内大街4号
楼15层1504</t>
  </si>
  <si>
    <t>110102001005G
B00060F000107
26</t>
  </si>
  <si>
    <t>西城区宣武门内大街4号
楼15层1530</t>
  </si>
  <si>
    <t>110102001005G
B00060F000107
52</t>
  </si>
  <si>
    <t>西城区宣武门内大街4号
楼14层1420</t>
  </si>
  <si>
    <t>110102001005G
B00060F000107
11</t>
  </si>
  <si>
    <t>西城区宣武门内大街4号
楼15层1518</t>
  </si>
  <si>
    <t>110102001005G
B00060F000107
40</t>
  </si>
  <si>
    <t>西城区宣武门内大街4号
楼10层1013</t>
  </si>
  <si>
    <t>110102001005G
B00060F000105
80</t>
  </si>
  <si>
    <t>西城区宣武门内大街4号
楼8层811</t>
  </si>
  <si>
    <t>110102001005G
B00060F000105
16</t>
  </si>
  <si>
    <t>西城区宣武门内大街4号
楼5层720</t>
  </si>
  <si>
    <t>110102001005G
B00060F000104
99</t>
  </si>
  <si>
    <t>西城区宣武门内大街4号
楼5层704</t>
  </si>
  <si>
    <t>110102001005G
B00060F000104
83</t>
  </si>
  <si>
    <t>西城区宣武门内大街4号
楼5层511</t>
  </si>
  <si>
    <t>110102001005G
B00060F000104
38</t>
  </si>
  <si>
    <t>西城区宣武门内大街4号
楼5层702</t>
  </si>
  <si>
    <t>110102001005G
B00060F000104
81</t>
  </si>
  <si>
    <t>西城区宣武门内大街4号
楼15层1528</t>
  </si>
  <si>
    <t>110102001005G
B00060F000107
50</t>
  </si>
  <si>
    <t>西城区宣武门内大街4号
楼12层1207</t>
  </si>
  <si>
    <t>110102001005G
B00060F000106
36</t>
  </si>
  <si>
    <t>西城区宣武门内大街4号
楼8层808</t>
  </si>
  <si>
    <t>110102001005G
B00060F000105
13</t>
  </si>
  <si>
    <t>西城区宣武门内大街4号
楼10层1004</t>
  </si>
  <si>
    <t>110102001005G
B00060F000105
71</t>
  </si>
  <si>
    <t>西城区宣武门内大街4号
楼5层614</t>
  </si>
  <si>
    <t>110102001005G
B00060F000104
67</t>
  </si>
  <si>
    <t>西城区宣武门内大街4号
楼8层815</t>
  </si>
  <si>
    <t>110102001005G
B00060F000105
20</t>
  </si>
  <si>
    <t>西城区宣武门内大街4号
楼14层1403</t>
  </si>
  <si>
    <t>110102001005G
B00060F000106
94</t>
  </si>
  <si>
    <t>西城区宣武门内大街4号
楼4层411</t>
  </si>
  <si>
    <t>110102001005G
B00060F000104
18</t>
  </si>
  <si>
    <t>西城区宣武门内大街4号
楼10层1001</t>
  </si>
  <si>
    <t>110102001005G
B00060F000105
68</t>
  </si>
  <si>
    <t>西城区宣武门内大街4号
楼10层1025</t>
  </si>
  <si>
    <t>110102001005G
B00060F000105
92</t>
  </si>
  <si>
    <t>西城区宣武门内大街4号
楼5层604</t>
  </si>
  <si>
    <t>110102001005G
B00060F000104
57</t>
  </si>
  <si>
    <t>西城区宣武门内大街4号
楼15层1512</t>
  </si>
  <si>
    <t>110102001005G
B00060F000107
34</t>
  </si>
  <si>
    <t>西城区宣武门内大街4号
楼15层1525</t>
  </si>
  <si>
    <t>110102001005G
B00060F000107
47</t>
  </si>
  <si>
    <t>西城区宣武门内大街4号
楼9层914</t>
  </si>
  <si>
    <t>110102001005G
B00060F000105
50</t>
  </si>
  <si>
    <t>西城区宣武门内大街4号
楼11层1123</t>
  </si>
  <si>
    <t>110102001005G
B00060F000106
21</t>
  </si>
  <si>
    <t>西城区宣武门内大街4号
楼5层622</t>
  </si>
  <si>
    <t>110102001005G
B00060F000104
75</t>
  </si>
  <si>
    <t>西城区宣武门内大街4号
楼16层1603</t>
  </si>
  <si>
    <t>110102001005G
B00060F000107
56</t>
  </si>
  <si>
    <t>西城区宣武门内大街4号
楼16层1618</t>
  </si>
  <si>
    <t>110102001005G
B00060F000107
71</t>
  </si>
  <si>
    <t>西城区宣武门内大街4号
楼15层1526</t>
  </si>
  <si>
    <t>110102001005G
B00060F000107
48</t>
  </si>
  <si>
    <t>西城区宣武门内大街4号
楼12层1219</t>
  </si>
  <si>
    <t>110102001005G
B00060F000106
48</t>
  </si>
  <si>
    <t>西城区宣武门内大街4号
楼13层1331</t>
  </si>
  <si>
    <t>110102001005G
B00060F000106
91</t>
  </si>
  <si>
    <t>西城区宣武门内大街4号
楼8层805</t>
  </si>
  <si>
    <t>110102001005G
B00060F000105
10</t>
  </si>
  <si>
    <t>西城区宣武门内大街4号
楼12层1208</t>
  </si>
  <si>
    <t>110102001005G
B00060F000106
37</t>
  </si>
  <si>
    <t>西城区宣武门内大街4号
楼14层1406</t>
  </si>
  <si>
    <t>110102001005G
B00060F000106
97</t>
  </si>
  <si>
    <t>西城区宣武门内大街4号
楼5层706</t>
  </si>
  <si>
    <t>110102001005G
B00060F000104
85</t>
  </si>
  <si>
    <t>西城区宣武门内大街4号
楼12层1213</t>
  </si>
  <si>
    <t>110102001005G
B00060F000106
42</t>
  </si>
  <si>
    <t>西城区宣武门内大街4号
楼4层413</t>
  </si>
  <si>
    <t>110102001005G
B00060F000104
20</t>
  </si>
  <si>
    <t>西城区宣武门内大街4号
楼9层916</t>
  </si>
  <si>
    <t>110102001005G
B00060F000105
52</t>
  </si>
  <si>
    <t>西城区宣武门内大街4号
楼11层1130</t>
  </si>
  <si>
    <t>110102001005G
B00060F000106
28</t>
  </si>
  <si>
    <t>西城区宣武门内大街4号
楼13层1329</t>
  </si>
  <si>
    <t>110102001005G
B00060F000106
89</t>
  </si>
  <si>
    <t>西城区宣武门内大街4号
楼14层1411</t>
  </si>
  <si>
    <t>110102001005G
B00060F000107
02</t>
  </si>
  <si>
    <t>西城区宣武门内大街4号
楼4层408</t>
  </si>
  <si>
    <t>110102001005G
B00060F000104
15</t>
  </si>
  <si>
    <t>西城区宣武门内大街4号
楼14层1426</t>
  </si>
  <si>
    <t>110102001005G
B00060F000107
17</t>
  </si>
  <si>
    <t>西城区宣武门内大街4号
楼8层823</t>
  </si>
  <si>
    <t>110102001005G
B00060F000105
28</t>
  </si>
  <si>
    <t>西城区宣武门内大街4号
楼16层1625</t>
  </si>
  <si>
    <t>110102001005G
B00060F000107
78</t>
  </si>
  <si>
    <t>西城区宣武门内大街4号
楼11层1111</t>
  </si>
  <si>
    <t>110102001005G
B00060F000106
09</t>
  </si>
  <si>
    <t>西城区宣武门内大街4号
楼12层1229</t>
  </si>
  <si>
    <t>110102001005G
B00060F000106
58</t>
  </si>
  <si>
    <t>西城区宣武门内大街4号
楼13层1319</t>
  </si>
  <si>
    <t>110102001005G
B00060F000106
79</t>
  </si>
  <si>
    <t>西城区宣武门内大街4号
楼4层410</t>
  </si>
  <si>
    <t>110102001005G
B00060F000104
17</t>
  </si>
  <si>
    <t>西城区宣武门内大街4号
楼8层814</t>
  </si>
  <si>
    <t>110102001005G
B00060F000105
19</t>
  </si>
  <si>
    <t>西城区宣武门内大街4号
楼-1层-107</t>
  </si>
  <si>
    <t>110102001005G
B00060F000103
95</t>
  </si>
  <si>
    <t>西城区宣武门内大街4号
楼15层1524</t>
  </si>
  <si>
    <t>110102001005G
B00060F000107
46</t>
  </si>
  <si>
    <t>西城区宣武门内大街4号
楼9层930</t>
  </si>
  <si>
    <t>110102001005G
B00060F000105
66</t>
  </si>
  <si>
    <t>西城区宣武门内大街4号
楼11层1110</t>
  </si>
  <si>
    <t>110102001005G
B00060F000106
08</t>
  </si>
  <si>
    <t>西城区宣武门内大街4号
楼11层1128</t>
  </si>
  <si>
    <t>110102001005G
B00060F000106
26</t>
  </si>
  <si>
    <t>西城区宣武门内大街4号
楼12层1212</t>
  </si>
  <si>
    <t>110102001005G
B00060F000106
41</t>
  </si>
  <si>
    <t>西城区宣武门内大街4号
楼5层625</t>
  </si>
  <si>
    <t>110102001005G
B00060F000104
78</t>
  </si>
  <si>
    <t>西城区宣武门内大街4号
楼16层1601</t>
  </si>
  <si>
    <t>110102001005G
B00060F000107
54</t>
  </si>
  <si>
    <t>西城区宣武门内大街4号
楼14层1430</t>
  </si>
  <si>
    <t>110102001005G
B00060F000107
21</t>
  </si>
  <si>
    <t>西城区宣武门内大街4号
楼5层516</t>
  </si>
  <si>
    <t>110102001005G
B00060F000104
43</t>
  </si>
  <si>
    <t>西城区宣武门内大街4号
楼10层1022</t>
  </si>
  <si>
    <t>110102001005G
B00060F000105
89</t>
  </si>
  <si>
    <t>西城区宣武门内大街4号
楼16层1613</t>
  </si>
  <si>
    <t>110102001005G
B00060F000107
66</t>
  </si>
  <si>
    <t>西城区宣武门内大街4号
楼12层1224</t>
  </si>
  <si>
    <t>110102001005G
B00060F000106
53</t>
  </si>
  <si>
    <t>西城区宣武门内大街4号
楼5层607</t>
  </si>
  <si>
    <t>110102001005G
B00060F000104
60</t>
  </si>
  <si>
    <t>西城区宣武门内大街4号
楼9层923</t>
  </si>
  <si>
    <t>110102001005G
B00060F000105
59</t>
  </si>
  <si>
    <t>西城区宣武门内大街4号
楼15层1521</t>
  </si>
  <si>
    <t>110102001005G
B00060F000107
43</t>
  </si>
  <si>
    <t>西城区宣武门内大街4号
楼11层1103</t>
  </si>
  <si>
    <t>110102001005G
B00060F000106
01</t>
  </si>
  <si>
    <t>西城区宣武门内大街4号
楼9层909</t>
  </si>
  <si>
    <t>110102001005G
B00060F000105
45</t>
  </si>
  <si>
    <t>西城区宣武门内大街4号
楼14层1424</t>
  </si>
  <si>
    <t>110102001005G
B00060F000107
15</t>
  </si>
  <si>
    <t>西城区宣武门内大街4号
楼13层1308</t>
  </si>
  <si>
    <t>110102001005G
B00060F000106
68</t>
  </si>
  <si>
    <t>西城区宣武门内大街4号
楼16层1617</t>
  </si>
  <si>
    <t>110102001005G
B00060F000107
70</t>
  </si>
  <si>
    <t>西城区宣武门内大街4号
楼4层418</t>
  </si>
  <si>
    <t>110102001005G
B00060F000104
25</t>
  </si>
  <si>
    <t>西城区宣武门内大街4号
楼8层825</t>
  </si>
  <si>
    <t>110102001005G
B00060F000105
30</t>
  </si>
  <si>
    <t>西城区宣武门内大街4号
楼8层806</t>
  </si>
  <si>
    <t>110102001005G
B00060F000105
11</t>
  </si>
  <si>
    <t>西城区宣武门内大街4号
楼5层508</t>
  </si>
  <si>
    <t>110102001005G
B00060F000104
35</t>
  </si>
  <si>
    <t>西城区宣武门内大街4号
楼12层1210</t>
  </si>
  <si>
    <t>110102001005G
B00060F000106
39</t>
  </si>
  <si>
    <t>西城区宣武门内大街4号
楼11层1115</t>
  </si>
  <si>
    <t>110102001005G
B00060F000106
13</t>
  </si>
  <si>
    <t>西城区宣武门内大街4号
楼9层920</t>
  </si>
  <si>
    <t>110102001005G
B00060F000105
56</t>
  </si>
  <si>
    <t>西城区宣武门内大街4号
楼9层925</t>
  </si>
  <si>
    <t>110102001005G
B00060F000105
61</t>
  </si>
  <si>
    <t>西城区宣武门内大街4号
楼12层1206</t>
  </si>
  <si>
    <t>110102001005G
B00060F000106
35</t>
  </si>
  <si>
    <t>西城区宣武门内大街4号
楼10层1015</t>
  </si>
  <si>
    <t>110102001005G
B00060F000105
82</t>
  </si>
  <si>
    <t>西城区宣武门内大街4号
楼10层1016</t>
  </si>
  <si>
    <t>110102001005G
B00060F000105
83</t>
  </si>
  <si>
    <t>西城区宣武门内大街4号
楼15层1516</t>
  </si>
  <si>
    <t>110102001005G
B00060F000107
38</t>
  </si>
  <si>
    <t>西城区宣武门内大街4号
楼8层821</t>
  </si>
  <si>
    <t>110102001005G
B00060F000105
26</t>
  </si>
  <si>
    <t>西城区宣武门内大街4号
楼13层1317</t>
  </si>
  <si>
    <t>110102001005G
B00060F000106
77</t>
  </si>
  <si>
    <t>西城区宣武门内大街4号
楼10层1030</t>
  </si>
  <si>
    <t>110102001005G
B00060F000105
97</t>
  </si>
  <si>
    <t>西城区宣武门内大街4号
楼11层1131</t>
  </si>
  <si>
    <t>110102001005G
B00060F000106
29</t>
  </si>
  <si>
    <t>西城区宣武门内大街4号
楼14层1419</t>
  </si>
  <si>
    <t>110102001005G
B00060F000107
10</t>
  </si>
  <si>
    <t>西城区宣武门内大街4号
楼4层403</t>
  </si>
  <si>
    <t>110102001005G
B00060F000104
10</t>
  </si>
  <si>
    <t>西城区宣武门内大街4号
楼5层519</t>
  </si>
  <si>
    <t>110102001005G
B00060F000104
46</t>
  </si>
  <si>
    <t>西城区宣武门内大街4号
楼5层525</t>
  </si>
  <si>
    <t>110102001005G
B00060F000104
52</t>
  </si>
  <si>
    <t>西城区宣武门内大街4号
楼15层1502</t>
  </si>
  <si>
    <t>110102001005G
B00060F000107
24</t>
  </si>
  <si>
    <t>西城区宣武门内大街4号
楼4层404</t>
  </si>
  <si>
    <t>110102001005G
B00060F000104
11</t>
  </si>
  <si>
    <t>西城区宣武门内大街4号
楼5层724</t>
  </si>
  <si>
    <t>110102001005G
B00060F000105
03</t>
  </si>
  <si>
    <t>西城区宣武门内大街4号
楼8层820</t>
  </si>
  <si>
    <t>110102001005G
B00060F000105
25</t>
  </si>
  <si>
    <t>西城区宣武门内大街4号
楼16层1611</t>
  </si>
  <si>
    <t>110102001005G
B00060F000107
64</t>
  </si>
  <si>
    <t>西城区宣武门内大街4号
楼14层1414</t>
  </si>
  <si>
    <t>110102001005G
B00060F000107
05</t>
  </si>
  <si>
    <t>西城区宣武门内大街4号
楼5层707</t>
  </si>
  <si>
    <t>110102001005G
B00060F000104
86</t>
  </si>
  <si>
    <t>西城区宣武门内大街4号
楼5层507</t>
  </si>
  <si>
    <t>110102001005G
B00060F000104
34</t>
  </si>
  <si>
    <t>西城区宣武门内大街4号
楼8层807</t>
  </si>
  <si>
    <t>110102001005G
B00060F000105
12</t>
  </si>
  <si>
    <t>西城区宣武门内大街4号
楼8层826</t>
  </si>
  <si>
    <t>110102001005G
B00060F000105
31</t>
  </si>
  <si>
    <t>西城区宣武门内大街4号
楼5层715</t>
  </si>
  <si>
    <t>110102001005G
B00060F000104
94</t>
  </si>
  <si>
    <t>西城区宣武门内大街4号
楼5层725</t>
  </si>
  <si>
    <t>110102001005G
B00060F000105
04</t>
  </si>
  <si>
    <t>西城区宣武门内大街4号
楼12层1227</t>
  </si>
  <si>
    <t>110102001005G
B00060F000106
56</t>
  </si>
  <si>
    <t>西城区宣武门内大街4号
楼15层1509</t>
  </si>
  <si>
    <t>110102001005G
B00060F000107
31</t>
  </si>
  <si>
    <t>西城区宣武门内大街4号
楼13层1312</t>
  </si>
  <si>
    <t>110102001005G
B00060F000106
72</t>
  </si>
  <si>
    <t>西城区宣武门内大街4号
楼8层804</t>
  </si>
  <si>
    <t>110102001005G
B00060F000105
09</t>
  </si>
  <si>
    <t>西城区宣武门内大街4号
楼5层718</t>
  </si>
  <si>
    <t>110102001005G
B00060F000104
97</t>
  </si>
  <si>
    <t>西城区宣武门内大街4号
楼10层1031</t>
  </si>
  <si>
    <t>110102001005G
B00060F000105
98</t>
  </si>
  <si>
    <t>西城区宣武门内大街4号
楼13层1311</t>
  </si>
  <si>
    <t>110102001005G
B00060F000106
71</t>
  </si>
  <si>
    <t>西城区宣武门内大街4号
楼8层824</t>
  </si>
  <si>
    <t>110102001005G
B00060F000105
29</t>
  </si>
  <si>
    <t>西城区宣武门内大街4号
楼9层904</t>
  </si>
  <si>
    <t>110102001005G
B00060F000105
40</t>
  </si>
  <si>
    <t>西城区宣武门内大街4号
楼12层1211</t>
  </si>
  <si>
    <t>110102001005G
B00060F000106
40</t>
  </si>
  <si>
    <t>西城区宣武门内大街4号
楼5层615</t>
  </si>
  <si>
    <t>110102001005G
B00060F000104
68</t>
  </si>
  <si>
    <t>西城区宣武门内大街4号
楼4层414</t>
  </si>
  <si>
    <t>110102001005G
B00060F000104
21</t>
  </si>
  <si>
    <t>西城区宣武门内大街4号
楼13层1314</t>
  </si>
  <si>
    <t>110102001005G
B00060F000106
74</t>
  </si>
  <si>
    <t>西城区宣武门内大街4号
楼8层827</t>
  </si>
  <si>
    <t>110102001005G
B00060F000105
32</t>
  </si>
  <si>
    <t>西城区宣武门内大街4号
楼10层1029</t>
  </si>
  <si>
    <t>110102001005G
B00060F000105
96</t>
  </si>
  <si>
    <t>西城区宣武门内大街4号
楼12层1204</t>
  </si>
  <si>
    <t>110102001005G
B00060F000106
33</t>
  </si>
  <si>
    <t>西城区宣武门内大街4号
楼10层1006</t>
  </si>
  <si>
    <t>110102001005G
B00060F000105
73</t>
  </si>
  <si>
    <t>西城区宣武门内大街4号
楼16层1612</t>
  </si>
  <si>
    <t>110102001005G
B00060F000107
65</t>
  </si>
  <si>
    <t>西城区宣武门内大街4号
楼9层901</t>
  </si>
  <si>
    <t>110102001005G
B00060F000105
37</t>
  </si>
  <si>
    <t>西城区宣武门内大街4号
楼16层1623</t>
  </si>
  <si>
    <t>110102001005G
B00060F000107
76</t>
  </si>
  <si>
    <t>西城区宣武门内大街4号
楼1层102</t>
  </si>
  <si>
    <t>110102001005G
B00060F000104
03</t>
  </si>
  <si>
    <t>西城区宣武门内大街4号
楼10层1026</t>
  </si>
  <si>
    <t>110102001005G
B00060F000105
93</t>
  </si>
  <si>
    <t>西城区宣武门内大街4号
楼9层903</t>
  </si>
  <si>
    <t>110102001005G
B00060F000105
39</t>
  </si>
  <si>
    <t>西城区宣武门内大街4号
楼5层512</t>
  </si>
  <si>
    <t>110102001005G
B00060F000104
39</t>
  </si>
  <si>
    <t>西城区宣武门内大街4号
楼5层503</t>
  </si>
  <si>
    <t>110102001005G
B00060F000104
30</t>
  </si>
  <si>
    <t>西城区宣武门内大街4号
楼5层620</t>
  </si>
  <si>
    <t>110102001005G
B00060F000104
73</t>
  </si>
  <si>
    <t>西城区宣武门内大街4号
楼15层1508</t>
  </si>
  <si>
    <t>110102001005G
B00060F000107
30</t>
  </si>
  <si>
    <t>西城区宣武门内大街4号
楼10层1027</t>
  </si>
  <si>
    <t>110102001005G
B00060F000105
94</t>
  </si>
  <si>
    <t>西城区宣武门内大街4号
楼16层1621</t>
  </si>
  <si>
    <t>110102001005G
B00060F000107
74</t>
  </si>
  <si>
    <t>西城区宣武门内大街4号
楼8层802</t>
  </si>
  <si>
    <t>110102001005G
B00060F000105
07</t>
  </si>
  <si>
    <t>西城区宣武门内大街4号
楼13层1323</t>
  </si>
  <si>
    <t>110102001005G
B00060F000106
83</t>
  </si>
  <si>
    <t>西城区宣武门内大街4号
楼13层1303</t>
  </si>
  <si>
    <t>110102001005G
B00060F000106
63</t>
  </si>
  <si>
    <t>西城区宣武门内大街4号
楼5层711</t>
  </si>
  <si>
    <t>110102001005G
B00060F000104
90</t>
  </si>
  <si>
    <t>西城区宣武门内大街4号
楼11层1119</t>
  </si>
  <si>
    <t>110102001005G
B00060F000106
17</t>
  </si>
  <si>
    <t>西城区宣武门内大街4号
楼5层524</t>
  </si>
  <si>
    <t>110102001005G
B00060F000104
51</t>
  </si>
  <si>
    <t>西城区宣武门内大街4号
楼9层921</t>
  </si>
  <si>
    <t>110102001005G
B00060F000105
57</t>
  </si>
  <si>
    <t>西城区宣武门内大街4号
楼4层419</t>
  </si>
  <si>
    <t>110102001005G
B00060F000104
26</t>
  </si>
  <si>
    <t>西城区宣武门内大街4号
楼14层1421</t>
  </si>
  <si>
    <t>110102001005G
B00060F000107
12</t>
  </si>
  <si>
    <t>西城区宣武门内大街4号
楼14层1431</t>
  </si>
  <si>
    <t>110102001005G
B00060F000107
22</t>
  </si>
  <si>
    <t>西城区宣武门内大街4号
楼4层415</t>
  </si>
  <si>
    <t>110102001005G
B00060F000104
22</t>
  </si>
  <si>
    <t>西城区宣武门内大街4号
楼15层1501</t>
  </si>
  <si>
    <t>110102001005G
B00060F000107
23</t>
  </si>
  <si>
    <t>西城区宣武门内大街4号
楼1层101</t>
  </si>
  <si>
    <t>110102001005G
B00060F000104
02</t>
  </si>
  <si>
    <t>西城区宣武门内大街4号
楼5层521</t>
  </si>
  <si>
    <t>110102001005G
B00060F000104
48</t>
  </si>
  <si>
    <t>西城区宣武门内大街4号
楼13层1302</t>
  </si>
  <si>
    <t>110102001005G
B00060F000106
62</t>
  </si>
  <si>
    <t>西城区宣武门内大街4号
楼16层1614</t>
  </si>
  <si>
    <t>110102001005G
B00060F000107
67</t>
  </si>
  <si>
    <t>西城区宣武门内大街4号
楼5层701</t>
  </si>
  <si>
    <t>110102001005G
B00060F000104
80</t>
  </si>
  <si>
    <t>西城区宣武门内大街4号
楼13层1304</t>
  </si>
  <si>
    <t>110102001005G
B00060F000106
64</t>
  </si>
  <si>
    <t>西城区宣武门内大街4号
楼4层409</t>
  </si>
  <si>
    <t>110102001005G
B00060F000104
16</t>
  </si>
  <si>
    <t>西城区宣武门内大街4号
楼2层201</t>
  </si>
  <si>
    <t>110102001005G
B00060F000104
06</t>
  </si>
  <si>
    <t>西城区宣武门内大街4号
楼11层1127</t>
  </si>
  <si>
    <t>110102001005G
B00060F000106
25</t>
  </si>
  <si>
    <t>西城区宣武门内大街4号
楼5层603</t>
  </si>
  <si>
    <t>110102001005G
B00060F000104
56</t>
  </si>
  <si>
    <t>西城区宣武门内大街4号
楼5层610</t>
  </si>
  <si>
    <t>110102001005G
B00060F000104
63</t>
  </si>
  <si>
    <t>西城区宣武门内大街4号
楼8层822</t>
  </si>
  <si>
    <t>110102001005G
B00060F000105
27</t>
  </si>
  <si>
    <t>西城区宣武门内大街4号
楼14层1410</t>
  </si>
  <si>
    <t>110102001005G
B00060F000107
01</t>
  </si>
  <si>
    <t>西城区宣武门内大街4号
楼12层1223</t>
  </si>
  <si>
    <t>110102001005G
B00060F000106
52</t>
  </si>
  <si>
    <t>西城区宣武门内大街4号
楼5层611</t>
  </si>
  <si>
    <t>110102001005G
B00060F000104
64</t>
  </si>
  <si>
    <t>西城区宣武门内大街4号
楼4层416</t>
  </si>
  <si>
    <t>110102001005G
B00060F000104
23</t>
  </si>
  <si>
    <t>西城区宣武门内大街4号
楼3层301</t>
  </si>
  <si>
    <t>110102001005G
B00060F000104
07</t>
  </si>
  <si>
    <t>西城区宣武门内大街4号
楼13层1301</t>
  </si>
  <si>
    <t>110102001005G
B00060F000106
61</t>
  </si>
  <si>
    <t>西城区宣武门内大街4号
楼10层1005</t>
  </si>
  <si>
    <t>110102001005G
B00060F000105
72</t>
  </si>
  <si>
    <t>西城区宣武门内大街4号
楼9层906</t>
  </si>
  <si>
    <t>110102001005G
B00060F000105
42</t>
  </si>
  <si>
    <t>西城区宣武门内大街4号
楼12层1226</t>
  </si>
  <si>
    <t>110102001005G
B00060F000106
55</t>
  </si>
  <si>
    <t>西城区宣武门内大街4号
楼9层922</t>
  </si>
  <si>
    <t>110102001005G
B00060F000105
58</t>
  </si>
  <si>
    <t>西城区宣武门内大街4号
楼15层1527</t>
  </si>
  <si>
    <t>110102001005G
B00060F000107
49</t>
  </si>
  <si>
    <t>西城区宣武门内大街4号
楼5层510</t>
  </si>
  <si>
    <t>110102001005G
B00060F000104
37</t>
  </si>
  <si>
    <t>西城区宣武门内大街4号
楼5层708</t>
  </si>
  <si>
    <t>110102001005G
B00060F000104
87</t>
  </si>
  <si>
    <t>西城区宣武门内大街4号
楼10层1024</t>
  </si>
  <si>
    <t>110102001005G
B00060F000105
91</t>
  </si>
  <si>
    <t>西城区宣武门内大街4号
楼16层1605</t>
  </si>
  <si>
    <t>110102001005G
B00060F000107
58</t>
  </si>
  <si>
    <t>西城区宣武门内大街4号
楼15层1519</t>
  </si>
  <si>
    <t>110102001005G
B00060F000107
41</t>
  </si>
  <si>
    <t>西城区宣武门内大街4号
楼15层1514</t>
  </si>
  <si>
    <t>110102001005G
B00060F000107
36</t>
  </si>
  <si>
    <t>西城区宣武门内大街4号
楼11层1112</t>
  </si>
  <si>
    <t>110102001005G
B00060F000106
10</t>
  </si>
  <si>
    <t>西城区宣武门内大街4号
楼10层1020</t>
  </si>
  <si>
    <t>110102001005G
B00060F000105
87</t>
  </si>
  <si>
    <t>西城区宣武门内大街4号
楼5层509</t>
  </si>
  <si>
    <t>110102001005G
B00060F000104
36</t>
  </si>
  <si>
    <t>西城区宣武门内大街4号
楼10层1019</t>
  </si>
  <si>
    <t>110102001005G
B00060F000105
86</t>
  </si>
  <si>
    <t>西城区宣武门内大街4号
楼12层1216</t>
  </si>
  <si>
    <t>110102001005G
B00060F000106
45</t>
  </si>
  <si>
    <t>西城区宣武门内大街4号
楼15层1531</t>
  </si>
  <si>
    <t>110102001005G
B00060F000107
53</t>
  </si>
  <si>
    <t>西城区宣武门内大街4号
楼11层1106</t>
  </si>
  <si>
    <t>110102001005G
B00060F000106
04</t>
  </si>
  <si>
    <t>西城区宣武门内大街4号
楼13层1310</t>
  </si>
  <si>
    <t>110102001005G
B00060F000106
70</t>
  </si>
  <si>
    <t>西城区宣武门内大街4号
楼10层1023</t>
  </si>
  <si>
    <t>110102001005G
B00060F000105
90</t>
  </si>
  <si>
    <t>西城区宣武门内大街4号
楼12层1225</t>
  </si>
  <si>
    <t>110102001005G
B00060F000106
54</t>
  </si>
  <si>
    <t>西城区宣武门内大街4号
楼9层913</t>
  </si>
  <si>
    <t>110102001005G
B00060F000105
49</t>
  </si>
  <si>
    <t>西城区宣武门内大街4号
楼5层505</t>
  </si>
  <si>
    <t>110102001005G
B00060F000104
32</t>
  </si>
  <si>
    <t>西城区宣武门内大街4号
楼12层1218</t>
  </si>
  <si>
    <t>110102001005G
B00060F000106
47</t>
  </si>
  <si>
    <t>西城区宣武门内大街4号
楼11层1117</t>
  </si>
  <si>
    <t>110102001005G
B00060F000106
15</t>
  </si>
  <si>
    <t>西城区宣武门内大街4号
楼12层1209</t>
  </si>
  <si>
    <t>110102001005G
B00060F000106
38</t>
  </si>
  <si>
    <t>西城区宣武门内大街4号
楼9层905</t>
  </si>
  <si>
    <t>110102001005G
B00060F000105
41</t>
  </si>
  <si>
    <t>西城区宣武门内大街4号
楼16层1615</t>
  </si>
  <si>
    <t>110102001005G
B00060F000107
68</t>
  </si>
  <si>
    <t>西城区宣武门内大街4号
楼9层908</t>
  </si>
  <si>
    <t>110102001005G
B00060F000105
44</t>
  </si>
  <si>
    <t>西城区宣武门内大街4号
楼16层1626</t>
  </si>
  <si>
    <t>110102001005G
B00060F000107
79</t>
  </si>
  <si>
    <t>西城区宣武门内大街4号
楼8层812</t>
  </si>
  <si>
    <t>110102001005G
B00060F000105
17</t>
  </si>
  <si>
    <t>西城区宣武门内大街4号
楼5层717</t>
  </si>
  <si>
    <t>110102001005G
B00060F000104
96</t>
  </si>
  <si>
    <t>西城区宣武门内大街4号
楼12层1201</t>
  </si>
  <si>
    <t>110102001005G
B00060F000106
30</t>
  </si>
  <si>
    <t>西城区宣武门内大街4号
楼5层605</t>
  </si>
  <si>
    <t>110102001005G
B00060F000104
58</t>
  </si>
  <si>
    <t>西城区宣武门内大街4号
楼5层518</t>
  </si>
  <si>
    <t>110102001005G
B00060F000104
45</t>
  </si>
  <si>
    <t>西城区宣武门内大街4号
楼9层931</t>
  </si>
  <si>
    <t>110102001005G
B00060F000105
67</t>
  </si>
  <si>
    <t>西城区宣武门内大街4号
楼5层709</t>
  </si>
  <si>
    <t>110102001005G
B00060F000104
88</t>
  </si>
  <si>
    <t>西城区宣武门内大街4号
楼15层1507</t>
  </si>
  <si>
    <t>110102001005G
B00060F000107
29</t>
  </si>
  <si>
    <t>西城区宣武门内大街4号
楼11层1120</t>
  </si>
  <si>
    <t>110102001005G
B00060F000106
18</t>
  </si>
  <si>
    <t>西城区宣武门内大街4号
楼5层623</t>
  </si>
  <si>
    <t>110102001005G
B00060F000104
76</t>
  </si>
  <si>
    <t>西城区宣武门内大街4号
楼14层1425</t>
  </si>
  <si>
    <t>110102001005G
B00060F000107
16</t>
  </si>
  <si>
    <t>西城区宣武门内大街4号
楼8层803</t>
  </si>
  <si>
    <t>110102001005G
B00060F000105
08</t>
  </si>
  <si>
    <t>西城区宣武门内大街4号
楼9层928</t>
  </si>
  <si>
    <t>110102001005G
B00060F000105
64</t>
  </si>
  <si>
    <t>西城区宣武门内大街4号
楼16层1622</t>
  </si>
  <si>
    <t>110102001005G
B00060F000107
75</t>
  </si>
  <si>
    <t>西城区宣武门内大街4号
楼5层522</t>
  </si>
  <si>
    <t>110102001005G
B00060F000104
49</t>
  </si>
  <si>
    <t>西城区宣武门内大街4号
楼11层1108</t>
  </si>
  <si>
    <t>110102001005G
B00060F000106
06</t>
  </si>
  <si>
    <t>西城区宣武门内大街4号
楼14层1429</t>
  </si>
  <si>
    <t>110102001005G
B00060F000107
20</t>
  </si>
  <si>
    <t>西城区宣武门内大街4号
楼9层912</t>
  </si>
  <si>
    <t>110102001005G
B00060F000105
48</t>
  </si>
  <si>
    <t>西城区宣武门内大街4号
楼1层111</t>
  </si>
  <si>
    <t>110102001005G
B00060F000104
04</t>
  </si>
  <si>
    <t>西城区宣武门内大街4号
楼14层1405</t>
  </si>
  <si>
    <t>110102001005G
B00060F000106
96</t>
  </si>
  <si>
    <t>西城区宣武门内大街4号
楼13层1309</t>
  </si>
  <si>
    <t>110102001005G
B00060F000106
69</t>
  </si>
  <si>
    <t>西城区宣武门内大街4号
楼4层417</t>
  </si>
  <si>
    <t>110102001005G
B00060F000104
24</t>
  </si>
  <si>
    <t>西城区宣武门内大街4号
楼12层1203</t>
  </si>
  <si>
    <t>110102001005G
B00060F000106
32</t>
  </si>
  <si>
    <t>西城区宣武门内大街4号
楼12层1214</t>
  </si>
  <si>
    <t>110102001005G
B00060F000106
43</t>
  </si>
  <si>
    <t>西城区宣武门内大街4号
楼14层1409</t>
  </si>
  <si>
    <t>110102001005G
B00060F000107
00</t>
  </si>
  <si>
    <t>西城区宣武门内大街4号
楼8层828</t>
  </si>
  <si>
    <t>110102001005G
B00060F000105
33</t>
  </si>
  <si>
    <t>西城区宣武门内大街4号
楼14层1417</t>
  </si>
  <si>
    <t>110102001005G
B00060F000107
08</t>
  </si>
  <si>
    <t>西城区宣武门内大街4号
楼10层1014</t>
  </si>
  <si>
    <t>110102001005G
B00060F000105
81</t>
  </si>
  <si>
    <t>西城区宣武门内大街4号
楼14层1401</t>
  </si>
  <si>
    <t>110102001005G
B00060F000106
92</t>
  </si>
  <si>
    <t>西城区宣武门内大街4号
楼9层910</t>
  </si>
  <si>
    <t>110102001005G
B00060F000105
46</t>
  </si>
  <si>
    <t>西城区宣武门内大街4号
楼16层1602</t>
  </si>
  <si>
    <t>110102001005G
B00060F000107
55</t>
  </si>
  <si>
    <t>西城区宣武门内大街4号
楼15层1515</t>
  </si>
  <si>
    <t>110102001005G
B00060F000107
37</t>
  </si>
  <si>
    <t>西城区宣武门内大街4号
楼15层1510</t>
  </si>
  <si>
    <t>110102001005G
B00060F000107
32</t>
  </si>
  <si>
    <t>西城区宣武门内大街4号
楼5层602</t>
  </si>
  <si>
    <t>110102001005G
B00060F000104
55</t>
  </si>
  <si>
    <t>西城区宣武门内大街4号
楼14层1413</t>
  </si>
  <si>
    <t>110102001005G
B00060F000107
04</t>
  </si>
  <si>
    <t>西城区宣武门内大街4号
楼14层1416</t>
  </si>
  <si>
    <t>110102001005G
B00060F000107
07</t>
  </si>
  <si>
    <t>西城区宣武门内大街4号
楼15层1506</t>
  </si>
  <si>
    <t>110102001005G
B00060F000107
28</t>
  </si>
  <si>
    <t>西城区宣武门内大街4号
楼4层420</t>
  </si>
  <si>
    <t>110102001005G
B00060F000104
27</t>
  </si>
  <si>
    <t>西城区宣武门内大街4号
楼5层624</t>
  </si>
  <si>
    <t>110102001005G
B00060F000104
77</t>
  </si>
  <si>
    <t>西城区宣武门内大街4号
楼5层621</t>
  </si>
  <si>
    <t>110102001005G
B00060F000104
74</t>
  </si>
  <si>
    <t>西城区宣武门内大街4号
楼9层915</t>
  </si>
  <si>
    <t>110102001005G
B00060F000105
51</t>
  </si>
  <si>
    <t>西城区宣武门内大街4号
楼5层612</t>
  </si>
  <si>
    <t>110102001005G
B00060F000104
65</t>
  </si>
  <si>
    <t>西城区宣武门内大街4号
楼11层1122</t>
  </si>
  <si>
    <t>110102001005G
B00060F000106
20</t>
  </si>
  <si>
    <t>西城区宣武门内大街4号
楼4层405</t>
  </si>
  <si>
    <t>110102001005G
B00060F000104
12</t>
  </si>
  <si>
    <t>序号</t>
  </si>
  <si>
    <t>权利人</t>
  </si>
  <si>
    <t>1</t>
  </si>
  <si>
    <t>北京华滨投资有限公司</t>
    <phoneticPr fontId="134" type="noConversion"/>
  </si>
  <si>
    <t>2</t>
  </si>
  <si>
    <t>北京华滨投资
有限公司</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</si>
  <si>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</si>
  <si>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</si>
  <si>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</si>
  <si>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</si>
  <si>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</si>
  <si>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</si>
  <si>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</si>
  <si>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</si>
  <si>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</si>
  <si>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</si>
  <si>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</si>
  <si>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</si>
  <si>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</si>
  <si>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</si>
  <si>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</si>
  <si>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</si>
  <si>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</si>
  <si>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</si>
  <si>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</si>
  <si>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</si>
  <si>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</si>
  <si>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</si>
  <si>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</si>
  <si>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</si>
  <si>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</si>
  <si>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</si>
  <si>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</si>
  <si>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</si>
  <si>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</si>
  <si>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</si>
  <si>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</si>
  <si>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</si>
  <si>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</si>
  <si>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</si>
  <si>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</si>
  <si>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</si>
  <si>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</si>
  <si>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</si>
  <si>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</si>
  <si>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</si>
  <si>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</si>
  <si>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</si>
  <si>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</si>
  <si>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</si>
  <si>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</si>
  <si>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</si>
  <si>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</si>
  <si>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</si>
  <si>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</si>
  <si>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</si>
  <si>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</si>
  <si>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</si>
  <si>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</si>
  <si>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</si>
  <si>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</si>
  <si>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</si>
  <si>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</si>
  <si>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</si>
  <si>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</si>
  <si>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</si>
  <si>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</si>
  <si>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</si>
  <si>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</si>
  <si>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</si>
  <si>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</si>
  <si>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</si>
  <si>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</si>
  <si>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</si>
  <si>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</si>
  <si>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</si>
  <si>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</si>
  <si>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</si>
  <si>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</si>
  <si>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</si>
  <si>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</si>
  <si>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</si>
  <si>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</si>
  <si>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</si>
  <si>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</si>
  <si>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</si>
  <si>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</si>
  <si>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</si>
  <si>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</si>
  <si>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</si>
  <si>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</si>
  <si>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</si>
  <si>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</si>
  <si>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</si>
  <si>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</si>
  <si>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</si>
  <si>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</si>
  <si>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</si>
  <si>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</si>
  <si>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</si>
  <si>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</si>
  <si>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</si>
  <si>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</si>
  <si>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</si>
  <si>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</si>
  <si>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</si>
  <si>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</si>
  <si>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</si>
  <si>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</si>
  <si>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</si>
  <si>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</si>
  <si>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</si>
  <si>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</si>
  <si>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</si>
  <si>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</si>
  <si>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</si>
  <si>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</si>
  <si>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</si>
  <si>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</si>
  <si>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</si>
  <si>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</si>
  <si>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</si>
  <si>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</si>
  <si>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</si>
  <si>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</si>
  <si>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</si>
  <si>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</si>
  <si>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</si>
  <si>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</si>
  <si>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</si>
  <si>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</si>
  <si>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</si>
  <si>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</si>
  <si>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</si>
  <si>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</si>
  <si>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</si>
  <si>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</si>
  <si>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</si>
  <si>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</si>
  <si>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</si>
  <si>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</si>
  <si>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</si>
  <si>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</si>
  <si>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</si>
  <si>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</si>
  <si>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</si>
  <si>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</si>
  <si>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</si>
  <si>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</si>
  <si>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</si>
  <si>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</si>
  <si>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</si>
  <si>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</si>
  <si>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</si>
  <si>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</si>
  <si>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</si>
  <si>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</si>
  <si>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</si>
  <si>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</si>
  <si>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</si>
  <si>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</si>
  <si>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</si>
  <si>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</si>
  <si>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</si>
  <si>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</si>
  <si>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</si>
  <si>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</si>
  <si>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</si>
  <si>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</si>
  <si>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</si>
  <si>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</si>
  <si>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</si>
  <si>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</si>
  <si>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</si>
  <si>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</si>
  <si>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</si>
  <si>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</si>
  <si>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</si>
  <si>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</si>
  <si>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</si>
  <si>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</si>
  <si>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</si>
  <si>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</si>
  <si>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</si>
  <si>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</si>
  <si>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</si>
  <si>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</si>
  <si>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</si>
  <si>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</si>
  <si>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</si>
  <si>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</si>
  <si>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</si>
  <si>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</si>
  <si>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</si>
  <si>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</si>
  <si>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</si>
  <si>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</si>
  <si>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</si>
  <si>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</si>
  <si>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</si>
  <si>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</si>
  <si>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</si>
  <si>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</si>
  <si>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</si>
  <si>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</si>
  <si>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</si>
  <si>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</si>
  <si>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</si>
  <si>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</si>
  <si>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</si>
  <si>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</si>
  <si>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</si>
  <si>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</si>
  <si>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</si>
  <si>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</si>
  <si>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</si>
  <si>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</si>
  <si>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</si>
  <si>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</si>
  <si>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</si>
  <si>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</si>
  <si>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</si>
  <si>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</si>
  <si>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</si>
  <si>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</si>
  <si>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</si>
  <si>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</si>
  <si>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</si>
  <si>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</si>
  <si>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</si>
  <si>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</si>
  <si>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</si>
  <si>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</si>
  <si>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</si>
  <si>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</si>
  <si>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</si>
  <si>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</si>
  <si>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</si>
  <si>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</si>
  <si>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</si>
  <si>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</si>
  <si>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</si>
  <si>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</si>
  <si>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</si>
  <si>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</si>
  <si>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</si>
  <si>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</si>
  <si>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</si>
  <si>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</si>
  <si>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</si>
  <si>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</si>
  <si>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</si>
  <si>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</si>
  <si>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</si>
  <si>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</si>
  <si>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</si>
  <si>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</si>
  <si>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</si>
  <si>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</si>
  <si>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</si>
  <si>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</si>
  <si>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</si>
  <si>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</si>
  <si>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</si>
  <si>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</si>
  <si>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</si>
  <si>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</si>
  <si>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</si>
  <si>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</si>
  <si>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</si>
  <si>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</si>
  <si>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</si>
  <si>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</si>
  <si>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</si>
  <si>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</si>
  <si>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</si>
  <si>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</si>
  <si>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</si>
  <si>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</si>
  <si>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</si>
  <si>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</si>
  <si>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</si>
  <si>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</si>
  <si>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</si>
  <si>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</si>
  <si>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</si>
  <si>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</si>
  <si>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</si>
  <si>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</si>
  <si>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</si>
  <si>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</si>
  <si>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</si>
  <si>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</si>
  <si>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</si>
  <si>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</si>
  <si>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</si>
  <si>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</si>
  <si>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</si>
  <si>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</si>
  <si>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</si>
  <si>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</si>
  <si>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</si>
  <si>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</si>
  <si>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</si>
  <si>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</si>
  <si>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</si>
  <si>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</si>
  <si>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</si>
  <si>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</si>
  <si>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</si>
  <si>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</si>
  <si>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</si>
  <si>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</si>
  <si>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</si>
  <si>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</si>
  <si>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</si>
  <si>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</si>
  <si>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</si>
  <si>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</si>
  <si>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</si>
  <si>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</si>
  <si>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</si>
  <si>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</si>
  <si>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</si>
  <si>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</si>
  <si>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</si>
  <si>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</si>
  <si>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</si>
  <si>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</si>
  <si>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</si>
  <si>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</si>
  <si>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</si>
  <si>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</si>
  <si>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</si>
  <si>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</si>
  <si>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</si>
  <si>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</si>
  <si>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</si>
  <si>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</si>
  <si>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</si>
  <si>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</si>
  <si>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</si>
  <si>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</si>
  <si>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</si>
  <si>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</si>
  <si>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</si>
  <si>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</si>
  <si>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</si>
  <si>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</si>
  <si>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</si>
  <si>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</si>
  <si>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</si>
  <si>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</si>
  <si>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</si>
  <si>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</si>
  <si>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</si>
  <si>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</si>
  <si>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</si>
  <si>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</si>
  <si>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</si>
  <si>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</si>
  <si>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</si>
  <si>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</si>
  <si>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</si>
  <si>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</si>
  <si>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</si>
  <si>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</si>
  <si>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</si>
  <si>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</si>
  <si>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</si>
  <si>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</si>
  <si>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</si>
  <si>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</si>
  <si>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</si>
  <si>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</si>
  <si>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</si>
  <si>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</si>
  <si>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</si>
  <si>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</si>
  <si>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</si>
  <si>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</si>
  <si>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</si>
  <si>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</si>
  <si>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</si>
  <si>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是</t>
  </si>
  <si>
    <t>成新度</t>
  </si>
  <si>
    <t>Ⅰ—01</t>
  </si>
  <si>
    <t>自定义容积率</t>
  </si>
  <si>
    <t>不临65条商业街</t>
  </si>
  <si>
    <t>与级别开发程度一致</t>
  </si>
  <si>
    <t>较好</t>
  </si>
  <si>
    <t>好</t>
  </si>
  <si>
    <t>未包含在土地购买价格中</t>
  </si>
  <si>
    <t>全部缴纳</t>
  </si>
  <si>
    <t>已包含在土地取得成本中</t>
  </si>
  <si>
    <t>其他收入</t>
    <phoneticPr fontId="247" type="noConversion"/>
  </si>
  <si>
    <t>外租区收入</t>
    <phoneticPr fontId="247" type="noConversion"/>
  </si>
  <si>
    <t>年收入（万元）</t>
    <phoneticPr fontId="247" type="noConversion"/>
  </si>
  <si>
    <t>名称</t>
    <phoneticPr fontId="247" type="noConversion"/>
  </si>
  <si>
    <t>其他</t>
    <phoneticPr fontId="247" type="noConversion"/>
  </si>
  <si>
    <r>
      <t>普通会议室共</t>
    </r>
    <r>
      <rPr>
        <u/>
        <sz val="9"/>
        <color theme="1"/>
        <rFont val="宋体"/>
        <family val="3"/>
        <charset val="134"/>
        <scheme val="minor"/>
      </rPr>
      <t>4</t>
    </r>
    <r>
      <rPr>
        <sz val="9"/>
        <color theme="1"/>
        <rFont val="宋体"/>
        <family val="3"/>
        <charset val="134"/>
        <scheme val="minor"/>
      </rPr>
      <t>个，会议室租金按平均</t>
    </r>
    <r>
      <rPr>
        <u/>
        <sz val="9"/>
        <color theme="1"/>
        <rFont val="宋体"/>
        <family val="3"/>
        <charset val="134"/>
        <scheme val="minor"/>
      </rPr>
      <t>8500</t>
    </r>
    <r>
      <rPr>
        <sz val="9"/>
        <color theme="1"/>
        <rFont val="宋体"/>
        <family val="3"/>
        <charset val="134"/>
        <scheme val="minor"/>
      </rPr>
      <t>元/日计，一年设有365日，使用率</t>
    </r>
    <r>
      <rPr>
        <u/>
        <sz val="9"/>
        <color theme="1"/>
        <rFont val="宋体"/>
        <family val="3"/>
        <charset val="134"/>
        <scheme val="minor"/>
      </rPr>
      <t>40%</t>
    </r>
    <r>
      <rPr>
        <sz val="9"/>
        <color theme="1"/>
        <rFont val="宋体"/>
        <family val="3"/>
        <charset val="134"/>
        <scheme val="minor"/>
      </rPr>
      <t>。</t>
    </r>
    <phoneticPr fontId="247" type="noConversion"/>
  </si>
  <si>
    <t>普通会议室</t>
    <phoneticPr fontId="247" type="noConversion"/>
  </si>
  <si>
    <r>
      <t>大会议室共1个，会议室租金按平均</t>
    </r>
    <r>
      <rPr>
        <u/>
        <sz val="9"/>
        <color theme="1"/>
        <rFont val="宋体"/>
        <family val="3"/>
        <charset val="134"/>
        <scheme val="minor"/>
      </rPr>
      <t>29000</t>
    </r>
    <r>
      <rPr>
        <sz val="9"/>
        <color theme="1"/>
        <rFont val="宋体"/>
        <family val="3"/>
        <charset val="134"/>
        <scheme val="minor"/>
      </rPr>
      <t>元/日计，一年设有365日，使用率</t>
    </r>
    <r>
      <rPr>
        <u/>
        <sz val="9"/>
        <color theme="1"/>
        <rFont val="宋体"/>
        <family val="3"/>
        <charset val="134"/>
        <scheme val="minor"/>
      </rPr>
      <t>33%</t>
    </r>
    <r>
      <rPr>
        <sz val="9"/>
        <color theme="1"/>
        <rFont val="宋体"/>
        <family val="3"/>
        <charset val="134"/>
        <scheme val="minor"/>
      </rPr>
      <t>。</t>
    </r>
    <phoneticPr fontId="247" type="noConversion"/>
  </si>
  <si>
    <t>大会议室</t>
    <phoneticPr fontId="247" type="noConversion"/>
  </si>
  <si>
    <r>
      <t>餐位数为</t>
    </r>
    <r>
      <rPr>
        <u/>
        <sz val="9"/>
        <color theme="1"/>
        <rFont val="宋体"/>
        <family val="3"/>
        <charset val="134"/>
        <scheme val="minor"/>
      </rPr>
      <t>140</t>
    </r>
    <r>
      <rPr>
        <sz val="9"/>
        <color theme="1"/>
        <rFont val="宋体"/>
        <family val="3"/>
        <charset val="134"/>
        <scheme val="minor"/>
      </rPr>
      <t>个，人均餐额为</t>
    </r>
    <r>
      <rPr>
        <u/>
        <sz val="9"/>
        <color theme="1"/>
        <rFont val="宋体"/>
        <family val="3"/>
        <charset val="134"/>
        <scheme val="minor"/>
      </rPr>
      <t>135</t>
    </r>
    <r>
      <rPr>
        <sz val="9"/>
        <color theme="1"/>
        <rFont val="宋体"/>
        <family val="3"/>
        <charset val="134"/>
        <scheme val="minor"/>
      </rPr>
      <t>元，每日平均</t>
    </r>
    <r>
      <rPr>
        <u/>
        <sz val="9"/>
        <color theme="1"/>
        <rFont val="宋体"/>
        <family val="3"/>
        <charset val="134"/>
        <scheme val="minor"/>
      </rPr>
      <t>3</t>
    </r>
    <r>
      <rPr>
        <sz val="9"/>
        <color theme="1"/>
        <rFont val="宋体"/>
        <family val="3"/>
        <charset val="134"/>
        <scheme val="minor"/>
      </rPr>
      <t>餐，上座率</t>
    </r>
    <r>
      <rPr>
        <u/>
        <sz val="9"/>
        <color theme="1"/>
        <rFont val="宋体"/>
        <family val="3"/>
        <charset val="134"/>
        <scheme val="minor"/>
      </rPr>
      <t>46%</t>
    </r>
    <r>
      <rPr>
        <sz val="9"/>
        <color theme="1"/>
        <rFont val="宋体"/>
        <family val="3"/>
        <charset val="134"/>
        <scheme val="minor"/>
      </rPr>
      <t>。</t>
    </r>
    <phoneticPr fontId="247" type="noConversion"/>
  </si>
  <si>
    <t>自助餐厅及大堂吧</t>
    <phoneticPr fontId="247" type="noConversion"/>
  </si>
  <si>
    <t>二、酒店自营房产收益情况说明：</t>
    <phoneticPr fontId="247" type="noConversion"/>
  </si>
  <si>
    <t>总统套间</t>
    <phoneticPr fontId="247" type="noConversion"/>
  </si>
  <si>
    <t>豪华商务套间</t>
    <phoneticPr fontId="247" type="noConversion"/>
  </si>
  <si>
    <t>商务套间</t>
    <phoneticPr fontId="247" type="noConversion"/>
  </si>
  <si>
    <t>商务标准间</t>
    <phoneticPr fontId="247" type="noConversion"/>
  </si>
  <si>
    <t>豪华套间</t>
    <phoneticPr fontId="247" type="noConversion"/>
  </si>
  <si>
    <t>套间</t>
    <phoneticPr fontId="247" type="noConversion"/>
  </si>
  <si>
    <t>标准间</t>
    <phoneticPr fontId="247" type="noConversion"/>
  </si>
  <si>
    <t>房屋空置率</t>
    <phoneticPr fontId="247" type="noConversion"/>
  </si>
  <si>
    <t>套数（套）</t>
    <phoneticPr fontId="247" type="noConversion"/>
  </si>
  <si>
    <t>房价（元/日、套）</t>
    <phoneticPr fontId="247" type="noConversion"/>
  </si>
  <si>
    <t>房间类型</t>
    <phoneticPr fontId="247" type="noConversion"/>
  </si>
  <si>
    <t>一、酒店情况说明：</t>
    <phoneticPr fontId="247" type="noConversion"/>
  </si>
  <si>
    <t>酒店收益情况说明</t>
    <phoneticPr fontId="247" type="noConversion"/>
  </si>
  <si>
    <t>标准间</t>
    <phoneticPr fontId="3" type="noConversion"/>
  </si>
  <si>
    <t>套房</t>
    <phoneticPr fontId="3" type="noConversion"/>
  </si>
  <si>
    <t>商务标准件</t>
    <phoneticPr fontId="3" type="noConversion"/>
  </si>
  <si>
    <t>商务套间</t>
    <phoneticPr fontId="3" type="noConversion"/>
  </si>
  <si>
    <t>豪华商务套间</t>
    <phoneticPr fontId="3" type="noConversion"/>
  </si>
  <si>
    <t>自助餐厅及大堂吧</t>
    <phoneticPr fontId="3" type="noConversion"/>
  </si>
  <si>
    <t>大会议室</t>
    <phoneticPr fontId="3" type="noConversion"/>
  </si>
  <si>
    <t>普通会议室</t>
    <phoneticPr fontId="3" type="noConversion"/>
  </si>
  <si>
    <t>钢混</t>
  </si>
  <si>
    <t>非生产用房</t>
  </si>
  <si>
    <t>否</t>
  </si>
  <si>
    <r>
      <t>2</t>
    </r>
    <r>
      <rPr>
        <sz val="10"/>
        <color indexed="8"/>
        <rFont val="宋体"/>
        <family val="3"/>
        <charset val="134"/>
      </rPr>
      <t>号楼</t>
    </r>
    <phoneticPr fontId="3" type="noConversion"/>
  </si>
  <si>
    <t>收益法</t>
  </si>
  <si>
    <t>押一</t>
  </si>
  <si>
    <t>成本法</t>
  </si>
  <si>
    <t>收益法-酒店模型</t>
  </si>
  <si>
    <t>酒店</t>
  </si>
  <si>
    <t>酒店</t>
    <phoneticPr fontId="7" type="noConversion"/>
  </si>
  <si>
    <t>组织层级</t>
  </si>
  <si>
    <t>利润中心</t>
  </si>
  <si>
    <t>专项内容</t>
  </si>
  <si>
    <t>专项类别</t>
  </si>
  <si>
    <t>成本中心</t>
  </si>
  <si>
    <t>WBS元素</t>
  </si>
  <si>
    <t>客商组织层级</t>
  </si>
  <si>
    <t>职工薪酬性质</t>
  </si>
  <si>
    <t>功能范围</t>
  </si>
  <si>
    <t>业务性质</t>
  </si>
  <si>
    <t>会计年度</t>
  </si>
  <si>
    <t>过账日期</t>
  </si>
  <si>
    <t>抬头摘要</t>
  </si>
  <si>
    <t>会计科目</t>
  </si>
  <si>
    <t>科目描述</t>
  </si>
  <si>
    <t>凭证编号</t>
  </si>
  <si>
    <t>借方金额（本位币）</t>
  </si>
  <si>
    <t>税及税率</t>
  </si>
  <si>
    <t>贷方金额（本位币）</t>
  </si>
  <si>
    <t>共享申请单号</t>
  </si>
  <si>
    <t>归档凭证号</t>
  </si>
  <si>
    <t>总账客户</t>
  </si>
  <si>
    <t>总账供应商</t>
  </si>
  <si>
    <t>现金流量项目</t>
  </si>
  <si>
    <t>贷方数量</t>
  </si>
  <si>
    <t>借方数量</t>
  </si>
  <si>
    <t>项目描述</t>
  </si>
  <si>
    <t>项目</t>
  </si>
  <si>
    <t>供应商</t>
  </si>
  <si>
    <t>20_产权二级单位外集团内单位</t>
  </si>
  <si>
    <t/>
  </si>
  <si>
    <t>0</t>
  </si>
  <si>
    <t>62_地产物业</t>
  </si>
  <si>
    <t>2025</t>
  </si>
  <si>
    <t>2025年1月20日酒店收入</t>
  </si>
  <si>
    <t>6001161501</t>
  </si>
  <si>
    <t>主营业务收入-酒店物业培训-外租单位-租金</t>
  </si>
  <si>
    <t>0100000509</t>
  </si>
  <si>
    <t>SQ-12FU202501210004</t>
  </si>
  <si>
    <t>转账12FU20250100274</t>
  </si>
  <si>
    <t>0001028998_中国华电集团有限公司经济技术咨询分公司</t>
  </si>
  <si>
    <t>40_集团系统外单位</t>
  </si>
  <si>
    <t>0001009008_北京寿康保健技术开发有限公司</t>
  </si>
  <si>
    <t>0001023500_瑞幸咖啡（北京）有限公司</t>
  </si>
  <si>
    <t>0001023504_北京东尊酒业有限公司</t>
  </si>
  <si>
    <t>0001038927_绿缘良品（北京）科技有限公司</t>
  </si>
  <si>
    <t>0001032431_中国华电集团碳资产运营有限公司</t>
  </si>
  <si>
    <t>0001078392_北京四月天文化旅游发展有限公司</t>
  </si>
  <si>
    <t>0001082789_江仙雅居（北京）餐饮管理有限公司</t>
  </si>
  <si>
    <t>2025年2月20日酒店收入</t>
  </si>
  <si>
    <t>0100001168</t>
  </si>
  <si>
    <t>SQ-12FU202502210006</t>
  </si>
  <si>
    <t>转账12FU20250200308</t>
  </si>
  <si>
    <t>0001023898_北京经易家肴餐饮有限公司</t>
  </si>
  <si>
    <t>2025年3月25日酒店收入</t>
  </si>
  <si>
    <t>0100001991</t>
  </si>
  <si>
    <t>SQ-12FU202503260001</t>
  </si>
  <si>
    <t>转账12FU20250300418</t>
  </si>
  <si>
    <t>2025年4月16日酒店收入</t>
  </si>
  <si>
    <t>0100002554</t>
  </si>
  <si>
    <t>SQ-12FU202504170030</t>
  </si>
  <si>
    <t>转账12FU20250400316</t>
  </si>
  <si>
    <t>2025年4月22日酒店收入</t>
  </si>
  <si>
    <t>0100002723</t>
  </si>
  <si>
    <t>SQ-12FU202504230002</t>
  </si>
  <si>
    <t>转账12FU20250400405</t>
  </si>
  <si>
    <t>2025年5月22日酒店收入</t>
  </si>
  <si>
    <t>0100003413</t>
  </si>
  <si>
    <t>SQ-12FU202505230002</t>
  </si>
  <si>
    <t>转账12FU20250500373</t>
  </si>
  <si>
    <t>12FU010000_北京华滨投资有限公司华滨国际大酒店</t>
  </si>
  <si>
    <t>2025年6月25日酒店收入</t>
  </si>
  <si>
    <t>0100004188</t>
  </si>
  <si>
    <t>SQ-12FU202506260006</t>
  </si>
  <si>
    <t>转账12FU20250600388</t>
  </si>
  <si>
    <t>总价</t>
  </si>
  <si>
    <t>成本比率</t>
  </si>
  <si>
    <t>直线</t>
    <phoneticPr fontId="3" type="noConversion"/>
  </si>
  <si>
    <t>观察</t>
    <phoneticPr fontId="3" type="noConversion"/>
  </si>
  <si>
    <t>综合</t>
    <phoneticPr fontId="3" type="noConversion"/>
  </si>
  <si>
    <r>
      <rPr>
        <sz val="11"/>
        <color theme="1"/>
        <rFont val="宋体"/>
        <family val="2"/>
        <charset val="134"/>
      </rPr>
      <t>四星级酒店</t>
    </r>
    <phoneticPr fontId="247" type="noConversion"/>
  </si>
  <si>
    <t>高层</t>
    <phoneticPr fontId="247" type="noConversion"/>
  </si>
  <si>
    <r>
      <rPr>
        <sz val="11"/>
        <color theme="1"/>
        <rFont val="宋体"/>
        <family val="2"/>
        <charset val="134"/>
      </rPr>
      <t>项目类型</t>
    </r>
    <phoneticPr fontId="247" type="noConversion"/>
  </si>
  <si>
    <r>
      <rPr>
        <sz val="11"/>
        <color theme="1"/>
        <rFont val="宋体"/>
        <family val="2"/>
        <charset val="134"/>
      </rPr>
      <t>建筑类型</t>
    </r>
    <phoneticPr fontId="247" type="noConversion"/>
  </si>
  <si>
    <r>
      <rPr>
        <i/>
        <sz val="9"/>
        <color theme="1"/>
        <rFont val="宋体"/>
        <family val="3"/>
        <charset val="134"/>
      </rPr>
      <t>地上</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</si>
  <si>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</si>
  <si>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</si>
  <si>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</si>
  <si>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</si>
  <si>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</si>
  <si>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</si>
  <si>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</si>
  <si>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</si>
  <si>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占比</t>
    <phoneticPr fontId="247" type="noConversion"/>
  </si>
  <si>
    <t>主体</t>
    <phoneticPr fontId="247" type="noConversion"/>
  </si>
  <si>
    <t>装修</t>
    <phoneticPr fontId="247" type="noConversion"/>
  </si>
  <si>
    <t>设备</t>
    <phoneticPr fontId="24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</si>
</sst>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宋体"/>
      <family val="2"/>
      <charset val="134"/>
      <scheme val="minor"/>
    </font>
    <font>
      <u/>
      <sz val="9"/>
      <color theme="1"/>
      <name val="宋体"/>
      <family val="3"/>
      <charset val="134"/>
      <scheme val="minor"/>
    </font>
    <font>
      <sz val="9"/>
      <color theme="1"/>
      <name val="宋体"/>
      <family val="2"/>
      <charset val="134"/>
      <scheme val="minor"/>
    </font>
    <font>
      <b/>
      <sz val="18"/>
      <color theme="1"/>
      <name val="宋体"/>
      <family val="3"/>
      <charset val="134"/>
      <scheme val="major"/>
    </font>
    <font>
      <sz val="11"/>
      <color rgb="FFFF0000"/>
      <name val="宋体"/>
      <family val="3"/>
      <charset val="134"/>
      <scheme val="minor"/>
    </font>
    <font>
      <sz val="11"/>
      <name val="宋体"/>
      <family val="3"/>
      <charset val="134"/>
      <scheme val="minor"/>
    </font>
    <font>
      <sz val="11"/>
      <color theme="1"/>
      <name val="宋体"/>
      <family val="2"/>
      <charset val="134"/>
    </font>
    <font>
      <i/>
      <sz val="9"/>
      <color theme="1"/>
      <name val="Arial"/>
      <family val="2"/>
    </font>
    <font>
      <i/>
      <sz val="9"/>
      <color theme="1"/>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000000"/>
      </left>
      <right style="thin">
        <color rgb="FF000000"/>
      </right>
      <top style="thin">
        <color rgb="FF000000"/>
      </top>
      <bottom style="thin">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lignment vertical="center"/>
    </xf>
    <xf numFmtId="0" fontId="36" fillId="0" borderId="0">
      <alignment vertical="center"/>
    </xf>
  </cellStyleXfs>
  <cellXfs count="35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0" fillId="0" borderId="176" xfId="0" applyBorder="1" applyAlignment="1">
      <alignment horizontal="left" vertical="center" wrapText="1"/>
    </xf>
    <xf numFmtId="0" fontId="0" fillId="0" borderId="176" xfId="0" applyBorder="1" applyAlignment="1">
      <alignment horizontal="left" vertical="center"/>
    </xf>
    <xf numFmtId="0" fontId="271" fillId="0" borderId="0" xfId="19">
      <alignment vertical="center"/>
    </xf>
    <xf numFmtId="197" fontId="271" fillId="0" borderId="0" xfId="19" applyNumberFormat="1">
      <alignment vertical="center"/>
    </xf>
    <xf numFmtId="0" fontId="246" fillId="0" borderId="7" xfId="19" applyFont="1" applyBorder="1">
      <alignment vertical="center"/>
    </xf>
    <xf numFmtId="0" fontId="246" fillId="0" borderId="1" xfId="19" applyFont="1" applyBorder="1" applyAlignment="1">
      <alignment horizontal="center" vertical="center"/>
    </xf>
    <xf numFmtId="0" fontId="246" fillId="0" borderId="1" xfId="19" applyFont="1" applyBorder="1">
      <alignment vertical="center"/>
    </xf>
    <xf numFmtId="0" fontId="246" fillId="0" borderId="5" xfId="19" applyFont="1" applyBorder="1" applyAlignment="1">
      <alignment horizontal="center" vertical="center"/>
    </xf>
    <xf numFmtId="0" fontId="246" fillId="0" borderId="2" xfId="19" applyFont="1" applyBorder="1">
      <alignment vertical="center"/>
    </xf>
    <xf numFmtId="0" fontId="246" fillId="0" borderId="2" xfId="19" applyFont="1" applyBorder="1" applyAlignment="1">
      <alignment horizontal="center" vertical="center"/>
    </xf>
    <xf numFmtId="0" fontId="246" fillId="0" borderId="60" xfId="19" applyFont="1" applyBorder="1">
      <alignment vertical="center"/>
    </xf>
    <xf numFmtId="0" fontId="246" fillId="0" borderId="3" xfId="19" applyFont="1" applyBorder="1">
      <alignment vertical="center"/>
    </xf>
    <xf numFmtId="0" fontId="246" fillId="0" borderId="54" xfId="19" applyFont="1" applyBorder="1">
      <alignment vertical="center"/>
    </xf>
    <xf numFmtId="0" fontId="246" fillId="0" borderId="5" xfId="19" applyFont="1" applyBorder="1">
      <alignment vertical="center"/>
    </xf>
    <xf numFmtId="0" fontId="246" fillId="0" borderId="58" xfId="19" applyFont="1" applyBorder="1">
      <alignment vertical="center"/>
    </xf>
    <xf numFmtId="0" fontId="246" fillId="0" borderId="35" xfId="19" applyFont="1" applyBorder="1">
      <alignment vertical="center"/>
    </xf>
    <xf numFmtId="0" fontId="246" fillId="0" borderId="0" xfId="19" applyFont="1">
      <alignment vertical="center"/>
    </xf>
    <xf numFmtId="0" fontId="246" fillId="0" borderId="22" xfId="19" applyFont="1" applyBorder="1">
      <alignment vertical="center"/>
    </xf>
    <xf numFmtId="0" fontId="246" fillId="0" borderId="36" xfId="19" applyFont="1" applyBorder="1">
      <alignment vertical="center"/>
    </xf>
    <xf numFmtId="0" fontId="246" fillId="0" borderId="46" xfId="19" applyFont="1" applyBorder="1">
      <alignment vertical="center"/>
    </xf>
    <xf numFmtId="0" fontId="274" fillId="0" borderId="0" xfId="19" applyFont="1">
      <alignment vertical="center"/>
    </xf>
    <xf numFmtId="197" fontId="274" fillId="0" borderId="0" xfId="19" applyNumberFormat="1" applyFont="1">
      <alignment vertical="center"/>
    </xf>
    <xf numFmtId="0" fontId="19" fillId="0" borderId="5" xfId="4" applyFont="1" applyBorder="1" applyAlignment="1" applyProtection="1">
      <alignment vertical="center"/>
      <protection locked="0"/>
    </xf>
    <xf numFmtId="0" fontId="53" fillId="22" borderId="1" xfId="20" applyFont="1" applyFill="1" applyBorder="1" applyAlignment="1">
      <alignment horizontal="left" vertical="center"/>
    </xf>
    <xf numFmtId="0" fontId="53" fillId="0" borderId="0" xfId="20" applyFont="1" applyAlignment="1">
      <alignment horizontal="left" vertical="center"/>
    </xf>
    <xf numFmtId="14" fontId="53" fillId="0" borderId="0" xfId="20" applyNumberFormat="1" applyFont="1" applyAlignment="1">
      <alignment horizontal="left" vertical="center"/>
    </xf>
    <xf numFmtId="1" fontId="53" fillId="0" borderId="0" xfId="20" applyNumberFormat="1" applyFont="1" applyAlignment="1">
      <alignment horizontal="left" vertical="center"/>
    </xf>
    <xf numFmtId="2" fontId="53" fillId="0" borderId="0" xfId="20" applyNumberFormat="1" applyFont="1" applyAlignment="1">
      <alignment horizontal="left" vertical="center"/>
    </xf>
    <xf numFmtId="0" fontId="53" fillId="2" borderId="1" xfId="20" applyFont="1" applyFill="1" applyBorder="1" applyAlignment="1">
      <alignment horizontal="left" vertical="center"/>
    </xf>
    <xf numFmtId="2" fontId="53" fillId="2" borderId="1" xfId="20" applyNumberFormat="1" applyFont="1" applyFill="1" applyBorder="1" applyAlignment="1">
      <alignment horizontal="left" vertical="center"/>
    </xf>
    <xf numFmtId="1" fontId="53" fillId="2" borderId="1" xfId="20" applyNumberFormat="1" applyFont="1" applyFill="1" applyBorder="1" applyAlignment="1">
      <alignment horizontal="left" vertical="center"/>
    </xf>
    <xf numFmtId="0" fontId="77" fillId="12" borderId="0" xfId="0" applyFont="1" applyFill="1" applyProtection="1">
      <alignment vertical="center"/>
      <protection locked="0"/>
    </xf>
    <xf numFmtId="0" fontId="95" fillId="5" borderId="1" xfId="0" applyFont="1" applyFill="1" applyBorder="1" applyAlignment="1">
      <alignment horizontal="left" vertical="center"/>
    </xf>
    <xf numFmtId="0" fontId="95" fillId="0" borderId="1" xfId="0" quotePrefix="1" applyFont="1" applyBorder="1" applyAlignment="1">
      <alignment horizontal="left" vertical="center"/>
    </xf>
    <xf numFmtId="0" fontId="0" fillId="0" borderId="1" xfId="0" applyBorder="1" applyAlignment="1">
      <alignment horizontal="left" vertical="center"/>
    </xf>
    <xf numFmtId="0" fontId="95" fillId="0" borderId="13" xfId="0" quotePrefix="1" applyFont="1" applyBorder="1" applyAlignment="1">
      <alignment horizontal="left" vertical="center"/>
    </xf>
    <xf numFmtId="0" fontId="0" fillId="0" borderId="13" xfId="0" applyBorder="1" applyAlignment="1">
      <alignment horizontal="left" vertical="center"/>
    </xf>
    <xf numFmtId="0" fontId="95" fillId="0" borderId="2" xfId="0" applyFont="1" applyBorder="1" applyAlignment="1">
      <alignment horizontal="left" vertical="center"/>
    </xf>
    <xf numFmtId="0" fontId="0" fillId="0" borderId="2" xfId="0" applyBorder="1" applyAlignment="1">
      <alignment horizontal="left" vertical="center"/>
    </xf>
    <xf numFmtId="0" fontId="275" fillId="5" borderId="1" xfId="0" quotePrefix="1" applyFont="1" applyFill="1" applyBorder="1" applyAlignment="1">
      <alignment horizontal="left" vertical="center"/>
    </xf>
    <xf numFmtId="0" fontId="275" fillId="5" borderId="1" xfId="0" applyFont="1" applyFill="1" applyBorder="1" applyAlignment="1">
      <alignment horizontal="left" vertical="center"/>
    </xf>
    <xf numFmtId="0" fontId="276" fillId="0" borderId="1" xfId="0" quotePrefix="1" applyFont="1" applyBorder="1" applyAlignment="1">
      <alignment horizontal="left" vertical="center"/>
    </xf>
    <xf numFmtId="0" fontId="276" fillId="0" borderId="1" xfId="0" applyFont="1" applyBorder="1" applyAlignment="1">
      <alignment horizontal="left" vertical="center"/>
    </xf>
    <xf numFmtId="0" fontId="96" fillId="0" borderId="1" xfId="0" applyFont="1" applyBorder="1" applyAlignment="1">
      <alignment horizontal="left" vertical="center"/>
    </xf>
    <xf numFmtId="0" fontId="98" fillId="0" borderId="0" xfId="0" applyFont="1" applyAlignment="1">
      <alignmen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181" fontId="246" fillId="0" borderId="5" xfId="19" applyNumberFormat="1" applyFont="1" applyBorder="1" applyAlignment="1">
      <alignment horizontal="center" vertical="center"/>
    </xf>
    <xf numFmtId="181" fontId="246" fillId="0" borderId="3" xfId="19" applyNumberFormat="1" applyFont="1" applyBorder="1" applyAlignment="1">
      <alignment horizontal="center" vertical="center"/>
    </xf>
    <xf numFmtId="0" fontId="246" fillId="0" borderId="5" xfId="19" applyFont="1" applyBorder="1" applyAlignment="1">
      <alignment horizontal="center" vertical="center"/>
    </xf>
    <xf numFmtId="0" fontId="246" fillId="0" borderId="3" xfId="19" applyFont="1" applyBorder="1" applyAlignment="1">
      <alignment horizontal="center" vertical="center"/>
    </xf>
    <xf numFmtId="0" fontId="246" fillId="0" borderId="46" xfId="19" applyFont="1" applyBorder="1" applyAlignment="1">
      <alignment horizontal="center" vertical="center"/>
    </xf>
    <xf numFmtId="0" fontId="246" fillId="0" borderId="22" xfId="19" applyFont="1" applyBorder="1" applyAlignment="1">
      <alignment horizontal="center" vertical="center"/>
    </xf>
    <xf numFmtId="0" fontId="246" fillId="0" borderId="4" xfId="19" applyFont="1" applyBorder="1" applyAlignment="1">
      <alignment horizontal="center" vertical="center"/>
    </xf>
    <xf numFmtId="0" fontId="246" fillId="0" borderId="7" xfId="19" applyFont="1" applyBorder="1" applyAlignment="1">
      <alignment horizontal="center" vertical="center"/>
    </xf>
    <xf numFmtId="0" fontId="246" fillId="0" borderId="58" xfId="19" applyFont="1" applyBorder="1" applyAlignment="1">
      <alignment horizontal="center" vertical="center"/>
    </xf>
    <xf numFmtId="0" fontId="246" fillId="0" borderId="35" xfId="19" applyFont="1" applyBorder="1" applyAlignment="1">
      <alignment horizontal="center" vertical="center"/>
    </xf>
    <xf numFmtId="0" fontId="274" fillId="0" borderId="0" xfId="19" applyFont="1" applyAlignment="1">
      <alignment horizontal="center" vertical="center"/>
    </xf>
    <xf numFmtId="0" fontId="273" fillId="0" borderId="0" xfId="19" applyFont="1" applyAlignment="1">
      <alignment horizontal="left" vertical="center"/>
    </xf>
    <xf numFmtId="0" fontId="246" fillId="0" borderId="5" xfId="19" applyFont="1" applyBorder="1" applyAlignment="1">
      <alignment horizontal="center" vertical="center" wrapText="1"/>
    </xf>
    <xf numFmtId="0" fontId="246" fillId="0" borderId="54" xfId="19" applyFont="1" applyBorder="1" applyAlignment="1">
      <alignment horizontal="center" vertical="center" wrapText="1"/>
    </xf>
    <xf numFmtId="0" fontId="246" fillId="0" borderId="3" xfId="19" applyFont="1" applyBorder="1" applyAlignment="1">
      <alignment horizontal="center" vertical="center" wrapText="1"/>
    </xf>
    <xf numFmtId="0" fontId="246" fillId="0" borderId="1" xfId="19" applyFont="1" applyBorder="1" applyAlignment="1">
      <alignment horizontal="center" vertical="center"/>
    </xf>
    <xf numFmtId="0" fontId="246" fillId="0" borderId="13" xfId="19" applyFont="1" applyBorder="1" applyAlignment="1">
      <alignment horizontal="center" vertical="center"/>
    </xf>
    <xf numFmtId="0" fontId="246" fillId="0" borderId="15" xfId="19" applyFont="1" applyBorder="1" applyAlignment="1">
      <alignment horizontal="center" vertical="center"/>
    </xf>
    <xf numFmtId="0" fontId="246" fillId="0" borderId="2" xfId="19" applyFont="1" applyBorder="1" applyAlignment="1">
      <alignment horizontal="center"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8" fillId="23" borderId="0" xfId="0" applyFont="1" applyFill="1" applyAlignment="1">
      <alignment horizontal="left" vertical="center" wrapText="1"/>
    </xf>
    <xf numFmtId="0" fontId="277" fillId="23" borderId="0" xfId="0" applyFont="1" applyFill="1" applyAlignment="1">
      <alignment horizontal="left" vertical="center" wrapText="1"/>
    </xf>
    <xf numFmtId="0" fontId="278" fillId="23" borderId="0" xfId="0" applyFont="1" applyFill="1" applyAlignment="1">
      <alignment horizontal="right" vertical="center" wrapText="1"/>
    </xf>
    <xf numFmtId="0" fontId="98" fillId="24" borderId="0" xfId="0" applyFont="1" applyFill="1" applyAlignment="1">
      <alignment horizontal="left" vertical="center" wrapText="1"/>
    </xf>
    <xf numFmtId="0" fontId="98" fillId="25" borderId="0" xfId="0" applyFont="1" applyFill="1" applyAlignment="1">
      <alignment horizontal="left" vertical="center" wrapText="1"/>
    </xf>
    <xf numFmtId="0" fontId="98" fillId="26" borderId="0" xfId="0" applyFont="1" applyFill="1" applyAlignment="1">
      <alignment horizontal="left" vertical="center" wrapText="1"/>
    </xf>
    <xf numFmtId="0" fontId="98" fillId="27" borderId="0" xfId="0" applyFont="1" applyFill="1" applyAlignment="1">
      <alignment horizontal="left" vertical="center" wrapText="1"/>
    </xf>
    <xf numFmtId="0" fontId="98" fillId="0" borderId="0" xfId="0" applyFont="1" applyAlignment="1">
      <alignment horizontal="left" vertical="center" wrapText="1"/>
    </xf>
    <xf numFmtId="181" fontId="98" fillId="0" borderId="0" xfId="17" applyNumberFormat="1" applyFont="1" applyAlignment="1">
      <alignment horizontal="left" vertical="center" wrapText="1"/>
    </xf>
    <xf numFmtId="0" fontId="98" fillId="0" borderId="0" xfId="0" applyFont="1" applyAlignment="1">
      <alignment horizontal="left" vertical="center" wrapText="1"/>
    </xf>
    <xf numFmtId="0" fontId="278" fillId="0" borderId="0" xfId="0" applyFont="1" applyAlignment="1">
      <alignment horizontal="right" vertical="center" wrapText="1"/>
    </xf>
    <xf numFmtId="0" fontId="98" fillId="0" borderId="0" xfId="0" applyFont="1" applyAlignment="1">
      <alignment horizontal="center" vertical="center" wrapText="1"/>
    </xf>
    <xf numFmtId="0" fontId="114" fillId="24" borderId="0" xfId="0" applyFont="1" applyFill="1" applyAlignment="1">
      <alignment horizontal="left" vertical="center" wrapText="1"/>
    </xf>
    <xf numFmtId="0" fontId="98" fillId="24" borderId="0" xfId="0" applyFont="1" applyFill="1" applyAlignment="1">
      <alignment horizontal="left" vertical="center" wrapText="1"/>
    </xf>
    <xf numFmtId="0" fontId="98" fillId="25" borderId="0" xfId="0" applyFont="1" applyFill="1" applyAlignment="1">
      <alignment vertical="center" wrapText="1"/>
    </xf>
    <xf numFmtId="0" fontId="98" fillId="26" borderId="0" xfId="0" applyFont="1" applyFill="1" applyAlignment="1">
      <alignment horizontal="left" vertical="center" wrapText="1"/>
    </xf>
    <xf numFmtId="0" fontId="98" fillId="27" borderId="0" xfId="0" applyFont="1" applyFill="1" applyAlignment="1">
      <alignment horizontal="left" vertical="center" wrapText="1"/>
    </xf>
    <xf numFmtId="0" fontId="114" fillId="0" borderId="0" xfId="0" applyFont="1" applyAlignment="1">
      <alignment horizontal="left" vertical="center" wrapText="1"/>
    </xf>
  </cellXfs>
  <cellStyles count="21">
    <cellStyle name="百分比" xfId="17" builtinId="5"/>
    <cellStyle name="百分比 2" xfId="14" xr:uid="{00000000-0005-0000-0000-000001000000}"/>
    <cellStyle name="常规" xfId="0" builtinId="0"/>
    <cellStyle name="常规 10" xfId="19" xr:uid="{08A90834-4442-44FA-BAC5-76EC11E7528E}"/>
    <cellStyle name="常规 11" xfId="18" xr:uid="{00000000-0005-0000-0000-000003000000}"/>
    <cellStyle name="常规 12" xfId="20" xr:uid="{3CC4F17E-EE9A-4B1A-BCFD-4089A13ED9F6}"/>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png"/><Relationship Id="rId7" Type="http://schemas.openxmlformats.org/officeDocument/2006/relationships/image" Target="../media/image10.jpe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e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95250</xdr:colOff>
      <xdr:row>0</xdr:row>
      <xdr:rowOff>0</xdr:rowOff>
    </xdr:from>
    <xdr:to>
      <xdr:col>18</xdr:col>
      <xdr:colOff>541926</xdr:colOff>
      <xdr:row>3</xdr:row>
      <xdr:rowOff>28293</xdr:rowOff>
    </xdr:to>
    <xdr:pic>
      <xdr:nvPicPr>
        <xdr:cNvPr id="2" name="图片 1">
          <a:extLst>
            <a:ext uri="{FF2B5EF4-FFF2-40B4-BE49-F238E27FC236}">
              <a16:creationId xmlns:a16="http://schemas.microsoft.com/office/drawing/2014/main" id="{109E5F1B-E0AA-5792-B522-E6A94B19E607}"/>
            </a:ext>
          </a:extLst>
        </xdr:cNvPr>
        <xdr:cNvPicPr>
          <a:picLocks noChangeAspect="1"/>
        </xdr:cNvPicPr>
      </xdr:nvPicPr>
      <xdr:blipFill>
        <a:blip xmlns:r="http://schemas.openxmlformats.org/officeDocument/2006/relationships" r:embed="rId1"/>
        <a:stretch>
          <a:fillRect/>
        </a:stretch>
      </xdr:blipFill>
      <xdr:spPr>
        <a:xfrm>
          <a:off x="4895850" y="0"/>
          <a:ext cx="7990476" cy="2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61151</xdr:colOff>
      <xdr:row>110</xdr:row>
      <xdr:rowOff>132377</xdr:rowOff>
    </xdr:to>
    <xdr:grpSp>
      <xdr:nvGrpSpPr>
        <xdr:cNvPr id="7" name="组合 6">
          <a:extLst>
            <a:ext uri="{FF2B5EF4-FFF2-40B4-BE49-F238E27FC236}">
              <a16:creationId xmlns:a16="http://schemas.microsoft.com/office/drawing/2014/main" id="{A927B18D-6EDC-0BE0-7552-AC781EB712F5}"/>
            </a:ext>
          </a:extLst>
        </xdr:cNvPr>
        <xdr:cNvGrpSpPr/>
      </xdr:nvGrpSpPr>
      <xdr:grpSpPr>
        <a:xfrm>
          <a:off x="0" y="0"/>
          <a:ext cx="8947416" cy="18622083"/>
          <a:chOff x="0" y="0"/>
          <a:chExt cx="8976551" cy="18991877"/>
        </a:xfrm>
      </xdr:grpSpPr>
      <xdr:pic>
        <xdr:nvPicPr>
          <xdr:cNvPr id="2" name="图片 1">
            <a:extLst>
              <a:ext uri="{FF2B5EF4-FFF2-40B4-BE49-F238E27FC236}">
                <a16:creationId xmlns:a16="http://schemas.microsoft.com/office/drawing/2014/main" id="{31B00BD7-1771-75E6-A388-CFD428BB2C7F}"/>
              </a:ext>
            </a:extLst>
          </xdr:cNvPr>
          <xdr:cNvPicPr>
            <a:picLocks noChangeAspect="1"/>
          </xdr:cNvPicPr>
        </xdr:nvPicPr>
        <xdr:blipFill>
          <a:blip xmlns:r="http://schemas.openxmlformats.org/officeDocument/2006/relationships" r:embed="rId1"/>
          <a:stretch>
            <a:fillRect/>
          </a:stretch>
        </xdr:blipFill>
        <xdr:spPr>
          <a:xfrm>
            <a:off x="0" y="0"/>
            <a:ext cx="8896350" cy="3207268"/>
          </a:xfrm>
          <a:prstGeom prst="rect">
            <a:avLst/>
          </a:prstGeom>
        </xdr:spPr>
      </xdr:pic>
      <xdr:pic>
        <xdr:nvPicPr>
          <xdr:cNvPr id="3" name="图片 2">
            <a:extLst>
              <a:ext uri="{FF2B5EF4-FFF2-40B4-BE49-F238E27FC236}">
                <a16:creationId xmlns:a16="http://schemas.microsoft.com/office/drawing/2014/main" id="{D64192B3-323D-BD06-761B-316F08328C01}"/>
              </a:ext>
            </a:extLst>
          </xdr:cNvPr>
          <xdr:cNvPicPr>
            <a:picLocks noChangeAspect="1"/>
          </xdr:cNvPicPr>
        </xdr:nvPicPr>
        <xdr:blipFill>
          <a:blip xmlns:r="http://schemas.openxmlformats.org/officeDocument/2006/relationships" r:embed="rId2"/>
          <a:stretch>
            <a:fillRect/>
          </a:stretch>
        </xdr:blipFill>
        <xdr:spPr>
          <a:xfrm>
            <a:off x="0" y="3190875"/>
            <a:ext cx="8976551" cy="3228476"/>
          </a:xfrm>
          <a:prstGeom prst="rect">
            <a:avLst/>
          </a:prstGeom>
        </xdr:spPr>
      </xdr:pic>
      <xdr:pic>
        <xdr:nvPicPr>
          <xdr:cNvPr id="4" name="图片 3">
            <a:extLst>
              <a:ext uri="{FF2B5EF4-FFF2-40B4-BE49-F238E27FC236}">
                <a16:creationId xmlns:a16="http://schemas.microsoft.com/office/drawing/2014/main" id="{79EB7CE7-55BA-0C07-1128-508ACBF39291}"/>
              </a:ext>
            </a:extLst>
          </xdr:cNvPr>
          <xdr:cNvPicPr>
            <a:picLocks noChangeAspect="1"/>
          </xdr:cNvPicPr>
        </xdr:nvPicPr>
        <xdr:blipFill>
          <a:blip xmlns:r="http://schemas.openxmlformats.org/officeDocument/2006/relationships" r:embed="rId3"/>
          <a:stretch>
            <a:fillRect/>
          </a:stretch>
        </xdr:blipFill>
        <xdr:spPr>
          <a:xfrm>
            <a:off x="0" y="6399379"/>
            <a:ext cx="8886825" cy="3163240"/>
          </a:xfrm>
          <a:prstGeom prst="rect">
            <a:avLst/>
          </a:prstGeom>
        </xdr:spPr>
      </xdr:pic>
      <xdr:pic>
        <xdr:nvPicPr>
          <xdr:cNvPr id="5" name="图片 4">
            <a:extLst>
              <a:ext uri="{FF2B5EF4-FFF2-40B4-BE49-F238E27FC236}">
                <a16:creationId xmlns:a16="http://schemas.microsoft.com/office/drawing/2014/main" id="{E4E8F6EB-2AA7-7176-96D7-D488AC4A810E}"/>
              </a:ext>
            </a:extLst>
          </xdr:cNvPr>
          <xdr:cNvPicPr>
            <a:picLocks noChangeAspect="1"/>
          </xdr:cNvPicPr>
        </xdr:nvPicPr>
        <xdr:blipFill>
          <a:blip xmlns:r="http://schemas.openxmlformats.org/officeDocument/2006/relationships" r:embed="rId4"/>
          <a:stretch>
            <a:fillRect/>
          </a:stretch>
        </xdr:blipFill>
        <xdr:spPr>
          <a:xfrm>
            <a:off x="0" y="9547534"/>
            <a:ext cx="8858250" cy="3110705"/>
          </a:xfrm>
          <a:prstGeom prst="rect">
            <a:avLst/>
          </a:prstGeom>
        </xdr:spPr>
      </xdr:pic>
      <xdr:pic>
        <xdr:nvPicPr>
          <xdr:cNvPr id="6" name="图片 5">
            <a:extLst>
              <a:ext uri="{FF2B5EF4-FFF2-40B4-BE49-F238E27FC236}">
                <a16:creationId xmlns:a16="http://schemas.microsoft.com/office/drawing/2014/main" id="{AF4D680A-269C-F7A3-C4EA-AC3810093C75}"/>
              </a:ext>
            </a:extLst>
          </xdr:cNvPr>
          <xdr:cNvPicPr>
            <a:picLocks noChangeAspect="1"/>
          </xdr:cNvPicPr>
        </xdr:nvPicPr>
        <xdr:blipFill>
          <a:blip xmlns:r="http://schemas.openxmlformats.org/officeDocument/2006/relationships" r:embed="rId5"/>
          <a:stretch>
            <a:fillRect/>
          </a:stretch>
        </xdr:blipFill>
        <xdr:spPr>
          <a:xfrm>
            <a:off x="0" y="12639675"/>
            <a:ext cx="8941288" cy="6352202"/>
          </a:xfrm>
          <a:prstGeom prst="rect">
            <a:avLst/>
          </a:prstGeom>
        </xdr:spPr>
      </xdr:pic>
    </xdr:grpSp>
    <xdr:clientData/>
  </xdr:twoCellAnchor>
  <xdr:twoCellAnchor editAs="oneCell">
    <xdr:from>
      <xdr:col>18</xdr:col>
      <xdr:colOff>638175</xdr:colOff>
      <xdr:row>28</xdr:row>
      <xdr:rowOff>76200</xdr:rowOff>
    </xdr:from>
    <xdr:to>
      <xdr:col>27</xdr:col>
      <xdr:colOff>238124</xdr:colOff>
      <xdr:row>50</xdr:row>
      <xdr:rowOff>152399</xdr:rowOff>
    </xdr:to>
    <xdr:pic>
      <xdr:nvPicPr>
        <xdr:cNvPr id="8" name="图片 7">
          <a:extLst>
            <a:ext uri="{FF2B5EF4-FFF2-40B4-BE49-F238E27FC236}">
              <a16:creationId xmlns:a16="http://schemas.microsoft.com/office/drawing/2014/main" id="{AE0CB073-4C39-FF4A-A123-32E9F38394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982575" y="5410200"/>
          <a:ext cx="5772149" cy="4267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647700</xdr:colOff>
      <xdr:row>22</xdr:row>
      <xdr:rowOff>114300</xdr:rowOff>
    </xdr:from>
    <xdr:to>
      <xdr:col>18</xdr:col>
      <xdr:colOff>647700</xdr:colOff>
      <xdr:row>54</xdr:row>
      <xdr:rowOff>102229</xdr:rowOff>
    </xdr:to>
    <xdr:pic>
      <xdr:nvPicPr>
        <xdr:cNvPr id="10" name="图片 9">
          <a:extLst>
            <a:ext uri="{FF2B5EF4-FFF2-40B4-BE49-F238E27FC236}">
              <a16:creationId xmlns:a16="http://schemas.microsoft.com/office/drawing/2014/main" id="{EDB3A7F9-9247-BE51-B5DE-A6EC4C3CF23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77300" y="4305300"/>
          <a:ext cx="4114800" cy="6083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571501</xdr:colOff>
      <xdr:row>0</xdr:row>
      <xdr:rowOff>0</xdr:rowOff>
    </xdr:from>
    <xdr:to>
      <xdr:col>22</xdr:col>
      <xdr:colOff>170813</xdr:colOff>
      <xdr:row>28</xdr:row>
      <xdr:rowOff>38100</xdr:rowOff>
    </xdr:to>
    <xdr:pic>
      <xdr:nvPicPr>
        <xdr:cNvPr id="11" name="图片 10">
          <a:extLst>
            <a:ext uri="{FF2B5EF4-FFF2-40B4-BE49-F238E27FC236}">
              <a16:creationId xmlns:a16="http://schemas.microsoft.com/office/drawing/2014/main" id="{08E0B051-8C1C-F937-0AC8-60BDCF15F10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801101" y="0"/>
          <a:ext cx="6457312" cy="537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152401</xdr:colOff>
      <xdr:row>0</xdr:row>
      <xdr:rowOff>0</xdr:rowOff>
    </xdr:from>
    <xdr:to>
      <xdr:col>31</xdr:col>
      <xdr:colOff>437513</xdr:colOff>
      <xdr:row>28</xdr:row>
      <xdr:rowOff>38100</xdr:rowOff>
    </xdr:to>
    <xdr:pic>
      <xdr:nvPicPr>
        <xdr:cNvPr id="12" name="图片 11">
          <a:extLst>
            <a:ext uri="{FF2B5EF4-FFF2-40B4-BE49-F238E27FC236}">
              <a16:creationId xmlns:a16="http://schemas.microsoft.com/office/drawing/2014/main" id="{529022A9-FAFD-E32C-A607-24D5B05A982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240001" y="0"/>
          <a:ext cx="6457312" cy="537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560261</xdr:colOff>
      <xdr:row>28</xdr:row>
      <xdr:rowOff>62256</xdr:rowOff>
    </xdr:to>
    <xdr:pic>
      <xdr:nvPicPr>
        <xdr:cNvPr id="2" name="图片 1">
          <a:extLst>
            <a:ext uri="{FF2B5EF4-FFF2-40B4-BE49-F238E27FC236}">
              <a16:creationId xmlns:a16="http://schemas.microsoft.com/office/drawing/2014/main" id="{02976AC3-2DE9-E2FD-BBD5-8E15C25457F9}"/>
            </a:ext>
          </a:extLst>
        </xdr:cNvPr>
        <xdr:cNvPicPr>
          <a:picLocks noChangeAspect="1"/>
        </xdr:cNvPicPr>
      </xdr:nvPicPr>
      <xdr:blipFill>
        <a:blip xmlns:r="http://schemas.openxmlformats.org/officeDocument/2006/relationships" r:embed="rId1"/>
        <a:stretch>
          <a:fillRect/>
        </a:stretch>
      </xdr:blipFill>
      <xdr:spPr>
        <a:xfrm>
          <a:off x="0" y="0"/>
          <a:ext cx="9475661" cy="4862856"/>
        </a:xfrm>
        <a:prstGeom prst="rect">
          <a:avLst/>
        </a:prstGeom>
      </xdr:spPr>
    </xdr:pic>
    <xdr:clientData/>
  </xdr:twoCellAnchor>
  <xdr:twoCellAnchor>
    <xdr:from>
      <xdr:col>7</xdr:col>
      <xdr:colOff>590550</xdr:colOff>
      <xdr:row>16</xdr:row>
      <xdr:rowOff>114300</xdr:rowOff>
    </xdr:from>
    <xdr:to>
      <xdr:col>8</xdr:col>
      <xdr:colOff>247650</xdr:colOff>
      <xdr:row>18</xdr:row>
      <xdr:rowOff>123825</xdr:rowOff>
    </xdr:to>
    <xdr:sp macro="" textlink="">
      <xdr:nvSpPr>
        <xdr:cNvPr id="3" name="星形: 五角 2">
          <a:extLst>
            <a:ext uri="{FF2B5EF4-FFF2-40B4-BE49-F238E27FC236}">
              <a16:creationId xmlns:a16="http://schemas.microsoft.com/office/drawing/2014/main" id="{8FBEBC0F-78D1-CB30-9E94-E3EED331EE04}"/>
            </a:ext>
          </a:extLst>
        </xdr:cNvPr>
        <xdr:cNvSpPr/>
      </xdr:nvSpPr>
      <xdr:spPr>
        <a:xfrm>
          <a:off x="5391150" y="2857500"/>
          <a:ext cx="342900" cy="352425"/>
        </a:xfrm>
        <a:prstGeom prst="star5">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29</xdr:row>
      <xdr:rowOff>28575</xdr:rowOff>
    </xdr:from>
    <xdr:to>
      <xdr:col>5</xdr:col>
      <xdr:colOff>466238</xdr:colOff>
      <xdr:row>35</xdr:row>
      <xdr:rowOff>142732</xdr:rowOff>
    </xdr:to>
    <xdr:pic>
      <xdr:nvPicPr>
        <xdr:cNvPr id="4" name="图片 3">
          <a:extLst>
            <a:ext uri="{FF2B5EF4-FFF2-40B4-BE49-F238E27FC236}">
              <a16:creationId xmlns:a16="http://schemas.microsoft.com/office/drawing/2014/main" id="{54784222-6F52-7DA0-E465-A2B5EE366828}"/>
            </a:ext>
          </a:extLst>
        </xdr:cNvPr>
        <xdr:cNvPicPr>
          <a:picLocks noChangeAspect="1"/>
        </xdr:cNvPicPr>
      </xdr:nvPicPr>
      <xdr:blipFill>
        <a:blip xmlns:r="http://schemas.openxmlformats.org/officeDocument/2006/relationships" r:embed="rId2"/>
        <a:stretch>
          <a:fillRect/>
        </a:stretch>
      </xdr:blipFill>
      <xdr:spPr>
        <a:xfrm>
          <a:off x="0" y="5000625"/>
          <a:ext cx="3895238" cy="1142857"/>
        </a:xfrm>
        <a:prstGeom prst="rect">
          <a:avLst/>
        </a:prstGeom>
      </xdr:spPr>
    </xdr:pic>
    <xdr:clientData/>
  </xdr:twoCellAnchor>
  <xdr:twoCellAnchor editAs="oneCell">
    <xdr:from>
      <xdr:col>0</xdr:col>
      <xdr:colOff>0</xdr:colOff>
      <xdr:row>35</xdr:row>
      <xdr:rowOff>95250</xdr:rowOff>
    </xdr:from>
    <xdr:to>
      <xdr:col>5</xdr:col>
      <xdr:colOff>590048</xdr:colOff>
      <xdr:row>55</xdr:row>
      <xdr:rowOff>151964</xdr:rowOff>
    </xdr:to>
    <xdr:pic>
      <xdr:nvPicPr>
        <xdr:cNvPr id="5" name="图片 4">
          <a:extLst>
            <a:ext uri="{FF2B5EF4-FFF2-40B4-BE49-F238E27FC236}">
              <a16:creationId xmlns:a16="http://schemas.microsoft.com/office/drawing/2014/main" id="{E9AA1F04-D3F2-C58B-C731-37ECEEAC702A}"/>
            </a:ext>
          </a:extLst>
        </xdr:cNvPr>
        <xdr:cNvPicPr>
          <a:picLocks noChangeAspect="1"/>
        </xdr:cNvPicPr>
      </xdr:nvPicPr>
      <xdr:blipFill>
        <a:blip xmlns:r="http://schemas.openxmlformats.org/officeDocument/2006/relationships" r:embed="rId3"/>
        <a:stretch>
          <a:fillRect/>
        </a:stretch>
      </xdr:blipFill>
      <xdr:spPr>
        <a:xfrm>
          <a:off x="0" y="6096000"/>
          <a:ext cx="4019048" cy="3485714"/>
        </a:xfrm>
        <a:prstGeom prst="rect">
          <a:avLst/>
        </a:prstGeom>
      </xdr:spPr>
    </xdr:pic>
    <xdr:clientData/>
  </xdr:twoCellAnchor>
  <xdr:twoCellAnchor editAs="oneCell">
    <xdr:from>
      <xdr:col>5</xdr:col>
      <xdr:colOff>476250</xdr:colOff>
      <xdr:row>29</xdr:row>
      <xdr:rowOff>19050</xdr:rowOff>
    </xdr:from>
    <xdr:to>
      <xdr:col>11</xdr:col>
      <xdr:colOff>313831</xdr:colOff>
      <xdr:row>49</xdr:row>
      <xdr:rowOff>75764</xdr:rowOff>
    </xdr:to>
    <xdr:pic>
      <xdr:nvPicPr>
        <xdr:cNvPr id="6" name="图片 5">
          <a:extLst>
            <a:ext uri="{FF2B5EF4-FFF2-40B4-BE49-F238E27FC236}">
              <a16:creationId xmlns:a16="http://schemas.microsoft.com/office/drawing/2014/main" id="{2A11E2E6-CB78-D596-CB95-712E8B67CB55}"/>
            </a:ext>
          </a:extLst>
        </xdr:cNvPr>
        <xdr:cNvPicPr>
          <a:picLocks noChangeAspect="1"/>
        </xdr:cNvPicPr>
      </xdr:nvPicPr>
      <xdr:blipFill>
        <a:blip xmlns:r="http://schemas.openxmlformats.org/officeDocument/2006/relationships" r:embed="rId4"/>
        <a:stretch>
          <a:fillRect/>
        </a:stretch>
      </xdr:blipFill>
      <xdr:spPr>
        <a:xfrm>
          <a:off x="3905250" y="4991100"/>
          <a:ext cx="3952381" cy="3485714"/>
        </a:xfrm>
        <a:prstGeom prst="rect">
          <a:avLst/>
        </a:prstGeom>
      </xdr:spPr>
    </xdr:pic>
    <xdr:clientData/>
  </xdr:twoCellAnchor>
  <xdr:twoCellAnchor editAs="oneCell">
    <xdr:from>
      <xdr:col>11</xdr:col>
      <xdr:colOff>66675</xdr:colOff>
      <xdr:row>29</xdr:row>
      <xdr:rowOff>66675</xdr:rowOff>
    </xdr:from>
    <xdr:to>
      <xdr:col>16</xdr:col>
      <xdr:colOff>618627</xdr:colOff>
      <xdr:row>50</xdr:row>
      <xdr:rowOff>9082</xdr:rowOff>
    </xdr:to>
    <xdr:pic>
      <xdr:nvPicPr>
        <xdr:cNvPr id="7" name="图片 6">
          <a:extLst>
            <a:ext uri="{FF2B5EF4-FFF2-40B4-BE49-F238E27FC236}">
              <a16:creationId xmlns:a16="http://schemas.microsoft.com/office/drawing/2014/main" id="{3CF4268C-E729-CB80-BB0E-AE8BC8F48595}"/>
            </a:ext>
          </a:extLst>
        </xdr:cNvPr>
        <xdr:cNvPicPr>
          <a:picLocks noChangeAspect="1"/>
        </xdr:cNvPicPr>
      </xdr:nvPicPr>
      <xdr:blipFill>
        <a:blip xmlns:r="http://schemas.openxmlformats.org/officeDocument/2006/relationships" r:embed="rId5"/>
        <a:stretch>
          <a:fillRect/>
        </a:stretch>
      </xdr:blipFill>
      <xdr:spPr>
        <a:xfrm>
          <a:off x="7610475" y="5038725"/>
          <a:ext cx="3980952" cy="3542857"/>
        </a:xfrm>
        <a:prstGeom prst="rect">
          <a:avLst/>
        </a:prstGeom>
      </xdr:spPr>
    </xdr:pic>
    <xdr:clientData/>
  </xdr:twoCellAnchor>
  <xdr:twoCellAnchor editAs="oneCell">
    <xdr:from>
      <xdr:col>15</xdr:col>
      <xdr:colOff>676275</xdr:colOff>
      <xdr:row>20</xdr:row>
      <xdr:rowOff>47625</xdr:rowOff>
    </xdr:from>
    <xdr:to>
      <xdr:col>21</xdr:col>
      <xdr:colOff>485284</xdr:colOff>
      <xdr:row>40</xdr:row>
      <xdr:rowOff>85292</xdr:rowOff>
    </xdr:to>
    <xdr:pic>
      <xdr:nvPicPr>
        <xdr:cNvPr id="8" name="图片 7">
          <a:extLst>
            <a:ext uri="{FF2B5EF4-FFF2-40B4-BE49-F238E27FC236}">
              <a16:creationId xmlns:a16="http://schemas.microsoft.com/office/drawing/2014/main" id="{6813E1DE-CCCC-ED24-49DF-92940934C5BF}"/>
            </a:ext>
          </a:extLst>
        </xdr:cNvPr>
        <xdr:cNvPicPr>
          <a:picLocks noChangeAspect="1"/>
        </xdr:cNvPicPr>
      </xdr:nvPicPr>
      <xdr:blipFill>
        <a:blip xmlns:r="http://schemas.openxmlformats.org/officeDocument/2006/relationships" r:embed="rId6"/>
        <a:stretch>
          <a:fillRect/>
        </a:stretch>
      </xdr:blipFill>
      <xdr:spPr>
        <a:xfrm>
          <a:off x="10963275" y="3476625"/>
          <a:ext cx="3923809" cy="3466667"/>
        </a:xfrm>
        <a:prstGeom prst="rect">
          <a:avLst/>
        </a:prstGeom>
      </xdr:spPr>
    </xdr:pic>
    <xdr:clientData/>
  </xdr:twoCellAnchor>
  <xdr:twoCellAnchor editAs="oneCell">
    <xdr:from>
      <xdr:col>13</xdr:col>
      <xdr:colOff>457200</xdr:colOff>
      <xdr:row>0</xdr:row>
      <xdr:rowOff>0</xdr:rowOff>
    </xdr:from>
    <xdr:to>
      <xdr:col>19</xdr:col>
      <xdr:colOff>256686</xdr:colOff>
      <xdr:row>20</xdr:row>
      <xdr:rowOff>113857</xdr:rowOff>
    </xdr:to>
    <xdr:pic>
      <xdr:nvPicPr>
        <xdr:cNvPr id="9" name="图片 8">
          <a:extLst>
            <a:ext uri="{FF2B5EF4-FFF2-40B4-BE49-F238E27FC236}">
              <a16:creationId xmlns:a16="http://schemas.microsoft.com/office/drawing/2014/main" id="{F8C93385-3CE9-678A-FBD6-788A7881CAAC}"/>
            </a:ext>
          </a:extLst>
        </xdr:cNvPr>
        <xdr:cNvPicPr>
          <a:picLocks noChangeAspect="1"/>
        </xdr:cNvPicPr>
      </xdr:nvPicPr>
      <xdr:blipFill>
        <a:blip xmlns:r="http://schemas.openxmlformats.org/officeDocument/2006/relationships" r:embed="rId7"/>
        <a:stretch>
          <a:fillRect/>
        </a:stretch>
      </xdr:blipFill>
      <xdr:spPr>
        <a:xfrm>
          <a:off x="9372600" y="0"/>
          <a:ext cx="3914286" cy="3542857"/>
        </a:xfrm>
        <a:prstGeom prst="rect">
          <a:avLst/>
        </a:prstGeom>
      </xdr:spPr>
    </xdr:pic>
    <xdr:clientData/>
  </xdr:twoCellAnchor>
  <xdr:twoCellAnchor editAs="oneCell">
    <xdr:from>
      <xdr:col>0</xdr:col>
      <xdr:colOff>0</xdr:colOff>
      <xdr:row>56</xdr:row>
      <xdr:rowOff>152400</xdr:rowOff>
    </xdr:from>
    <xdr:to>
      <xdr:col>13</xdr:col>
      <xdr:colOff>646505</xdr:colOff>
      <xdr:row>87</xdr:row>
      <xdr:rowOff>142212</xdr:rowOff>
    </xdr:to>
    <xdr:pic>
      <xdr:nvPicPr>
        <xdr:cNvPr id="10" name="图片 9">
          <a:extLst>
            <a:ext uri="{FF2B5EF4-FFF2-40B4-BE49-F238E27FC236}">
              <a16:creationId xmlns:a16="http://schemas.microsoft.com/office/drawing/2014/main" id="{BFAF483F-35F3-9454-4C92-9C6783C1C40A}"/>
            </a:ext>
          </a:extLst>
        </xdr:cNvPr>
        <xdr:cNvPicPr>
          <a:picLocks noChangeAspect="1"/>
        </xdr:cNvPicPr>
      </xdr:nvPicPr>
      <xdr:blipFill>
        <a:blip xmlns:r="http://schemas.openxmlformats.org/officeDocument/2006/relationships" r:embed="rId8"/>
        <a:stretch>
          <a:fillRect/>
        </a:stretch>
      </xdr:blipFill>
      <xdr:spPr>
        <a:xfrm>
          <a:off x="0" y="9753600"/>
          <a:ext cx="9561905" cy="5304762"/>
        </a:xfrm>
        <a:prstGeom prst="rect">
          <a:avLst/>
        </a:prstGeom>
      </xdr:spPr>
    </xdr:pic>
    <xdr:clientData/>
  </xdr:twoCellAnchor>
  <xdr:twoCellAnchor editAs="oneCell">
    <xdr:from>
      <xdr:col>0</xdr:col>
      <xdr:colOff>0</xdr:colOff>
      <xdr:row>85</xdr:row>
      <xdr:rowOff>133350</xdr:rowOff>
    </xdr:from>
    <xdr:to>
      <xdr:col>5</xdr:col>
      <xdr:colOff>504333</xdr:colOff>
      <xdr:row>112</xdr:row>
      <xdr:rowOff>142295</xdr:rowOff>
    </xdr:to>
    <xdr:pic>
      <xdr:nvPicPr>
        <xdr:cNvPr id="11" name="图片 10">
          <a:extLst>
            <a:ext uri="{FF2B5EF4-FFF2-40B4-BE49-F238E27FC236}">
              <a16:creationId xmlns:a16="http://schemas.microsoft.com/office/drawing/2014/main" id="{82182707-A87B-69EB-C204-8B80051E84FA}"/>
            </a:ext>
          </a:extLst>
        </xdr:cNvPr>
        <xdr:cNvPicPr>
          <a:picLocks noChangeAspect="1"/>
        </xdr:cNvPicPr>
      </xdr:nvPicPr>
      <xdr:blipFill>
        <a:blip xmlns:r="http://schemas.openxmlformats.org/officeDocument/2006/relationships" r:embed="rId9"/>
        <a:stretch>
          <a:fillRect/>
        </a:stretch>
      </xdr:blipFill>
      <xdr:spPr>
        <a:xfrm>
          <a:off x="0" y="14706600"/>
          <a:ext cx="3933333" cy="4638095"/>
        </a:xfrm>
        <a:prstGeom prst="rect">
          <a:avLst/>
        </a:prstGeom>
      </xdr:spPr>
    </xdr:pic>
    <xdr:clientData/>
  </xdr:twoCellAnchor>
  <xdr:twoCellAnchor editAs="oneCell">
    <xdr:from>
      <xdr:col>5</xdr:col>
      <xdr:colOff>542925</xdr:colOff>
      <xdr:row>87</xdr:row>
      <xdr:rowOff>142875</xdr:rowOff>
    </xdr:from>
    <xdr:to>
      <xdr:col>11</xdr:col>
      <xdr:colOff>275744</xdr:colOff>
      <xdr:row>115</xdr:row>
      <xdr:rowOff>56561</xdr:rowOff>
    </xdr:to>
    <xdr:pic>
      <xdr:nvPicPr>
        <xdr:cNvPr id="12" name="图片 11">
          <a:extLst>
            <a:ext uri="{FF2B5EF4-FFF2-40B4-BE49-F238E27FC236}">
              <a16:creationId xmlns:a16="http://schemas.microsoft.com/office/drawing/2014/main" id="{0A79E45F-635D-DF79-153A-04B0E3E177AD}"/>
            </a:ext>
          </a:extLst>
        </xdr:cNvPr>
        <xdr:cNvPicPr>
          <a:picLocks noChangeAspect="1"/>
        </xdr:cNvPicPr>
      </xdr:nvPicPr>
      <xdr:blipFill>
        <a:blip xmlns:r="http://schemas.openxmlformats.org/officeDocument/2006/relationships" r:embed="rId10"/>
        <a:stretch>
          <a:fillRect/>
        </a:stretch>
      </xdr:blipFill>
      <xdr:spPr>
        <a:xfrm>
          <a:off x="3971925" y="15059025"/>
          <a:ext cx="3847619"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估价对象为北京市房地产，为所有。根据《国有土地使用证》[]，估价对象（分摊）出让国有建设用地使用权面积为0平方米，建筑面积为52990.34平方米。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估价对象为北京市房地产,属开发建设的，该项目尚在开发建设中。根据《国有土地使用证》[]，估价对象（分摊）出让国有建设用地使用权面积为0平方米，规划建筑面积为52990.34平方米。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2025年7月24日</v>
      </c>
    </row>
    <row r="13" spans="1:2">
      <c r="A13" s="1118" t="s">
        <v>529</v>
      </c>
      <c r="B13" s="1119" t="str">
        <f>'预评函-1'!A18</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180495</v>
      </c>
    </row>
    <row r="21" spans="1:2">
      <c r="A21" s="1118" t="s">
        <v>537</v>
      </c>
      <c r="B21" s="1119">
        <f ca="1">'预评函-2'!D7</f>
        <v>34062</v>
      </c>
    </row>
    <row r="22" spans="1:2">
      <c r="A22" s="1118" t="s">
        <v>538</v>
      </c>
      <c r="B22" s="1119" t="str">
        <f ca="1">'预评函-2'!D6</f>
        <v>壹拾捌亿零肆佰玖拾伍万元整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180495</v>
      </c>
    </row>
    <row r="31" spans="1:2">
      <c r="A31" s="1118" t="s">
        <v>576</v>
      </c>
      <c r="B31" s="1119">
        <f ca="1">'预评函-2'!D15</f>
        <v>34062</v>
      </c>
    </row>
    <row r="32" spans="1:2">
      <c r="A32" s="1118" t="s">
        <v>543</v>
      </c>
      <c r="B32" s="1119" t="str">
        <f ca="1">'预评函-2'!D14</f>
        <v>壹拾捌亿零肆佰玖拾伍万元整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52990.34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136815</v>
      </c>
    </row>
    <row r="48" spans="1:2">
      <c r="A48" s="1118" t="s">
        <v>549</v>
      </c>
      <c r="B48" s="1119">
        <f ca="1">'预评函-3'!E4</f>
        <v>25819</v>
      </c>
    </row>
    <row r="49" spans="1:2">
      <c r="A49" s="1118" t="s">
        <v>550</v>
      </c>
      <c r="B49" s="1119" t="str">
        <f ca="1">'预评函-3'!D5</f>
        <v>壹拾叁亿陆仟捌佰壹拾伍万元整</v>
      </c>
    </row>
    <row r="50" spans="1:2">
      <c r="A50" s="1118" t="s">
        <v>574</v>
      </c>
      <c r="B50" s="1119" t="str">
        <f>'预评函-3'!F2</f>
        <v>在建建筑物价值</v>
      </c>
    </row>
    <row r="51" spans="1:2">
      <c r="A51" s="1118" t="s">
        <v>551</v>
      </c>
      <c r="B51" s="1119">
        <f ca="1">'预评函-3'!F4</f>
        <v>43680</v>
      </c>
    </row>
    <row r="52" spans="1:2">
      <c r="A52" s="1118" t="s">
        <v>552</v>
      </c>
      <c r="B52" s="1119">
        <f ca="1">'预评函-3'!G4</f>
        <v>8243</v>
      </c>
    </row>
    <row r="53" spans="1:2">
      <c r="A53" s="1118" t="s">
        <v>580</v>
      </c>
      <c r="B53" s="1119" t="str">
        <f ca="1">'预评函-3'!F5</f>
        <v>肆亿叁仟陆佰捌拾万元整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3330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3386</v>
      </c>
      <c r="AA1" s="1437" t="s">
        <v>3385</v>
      </c>
      <c r="AB1" s="1437" t="s">
        <v>3</v>
      </c>
    </row>
    <row r="2" spans="1:28">
      <c r="A2" s="1440" t="s">
        <v>19</v>
      </c>
      <c r="B2" s="1440" t="s">
        <v>993</v>
      </c>
      <c r="C2" s="1441" t="s">
        <v>315</v>
      </c>
      <c r="D2" s="1442" t="s">
        <v>994</v>
      </c>
      <c r="E2" s="1442" t="s">
        <v>995</v>
      </c>
      <c r="F2" s="1442" t="s">
        <v>996</v>
      </c>
      <c r="G2" s="1442">
        <v>20</v>
      </c>
      <c r="H2" s="1442" t="s">
        <v>996</v>
      </c>
      <c r="I2" s="1442" t="s">
        <v>3316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2418</v>
      </c>
      <c r="Y2" s="1444" t="s">
        <v>3393</v>
      </c>
      <c r="Z2" s="1444" t="s">
        <v>2431</v>
      </c>
      <c r="AA2" s="1444" t="s">
        <v>3394</v>
      </c>
      <c r="AB2" s="1444" t="s">
        <v>2458</v>
      </c>
    </row>
    <row r="3" spans="1:28">
      <c r="A3" s="1440" t="s">
        <v>1001</v>
      </c>
      <c r="B3" s="1443" t="s">
        <v>448</v>
      </c>
      <c r="C3" s="1441" t="s">
        <v>316</v>
      </c>
      <c r="D3" s="1442" t="s">
        <v>1002</v>
      </c>
      <c r="E3" s="1442" t="s">
        <v>13</v>
      </c>
      <c r="F3" s="1442" t="s">
        <v>1003</v>
      </c>
      <c r="G3" s="1442">
        <v>40</v>
      </c>
      <c r="H3" s="1442" t="s">
        <v>1003</v>
      </c>
      <c r="I3" s="1442" t="s">
        <v>3317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2420</v>
      </c>
      <c r="Z3" s="1444" t="s">
        <v>2433</v>
      </c>
      <c r="AB3" s="1444" t="s">
        <v>2460</v>
      </c>
    </row>
    <row r="4" spans="1:28">
      <c r="A4" s="1440" t="s">
        <v>1008</v>
      </c>
      <c r="B4" s="1440" t="s">
        <v>1009</v>
      </c>
      <c r="C4" s="1441" t="s">
        <v>317</v>
      </c>
      <c r="D4" s="1442" t="s">
        <v>389</v>
      </c>
      <c r="E4" s="1442" t="s">
        <v>1010</v>
      </c>
      <c r="F4" s="1442" t="s">
        <v>1011</v>
      </c>
      <c r="G4" s="1442">
        <v>50</v>
      </c>
      <c r="H4" s="1442" t="s">
        <v>1011</v>
      </c>
      <c r="I4" s="1442" t="s">
        <v>3318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2422</v>
      </c>
      <c r="Z4" s="1444" t="s">
        <v>2435</v>
      </c>
      <c r="AB4" s="1444" t="s">
        <v>2462</v>
      </c>
    </row>
    <row r="5" spans="1:28">
      <c r="A5" s="1440" t="s">
        <v>1014</v>
      </c>
      <c r="B5" s="1440" t="s">
        <v>1015</v>
      </c>
      <c r="C5" s="1441" t="s">
        <v>318</v>
      </c>
      <c r="F5" s="1442" t="s">
        <v>1016</v>
      </c>
      <c r="G5" s="1442">
        <v>70</v>
      </c>
      <c r="H5" s="1442" t="s">
        <v>1017</v>
      </c>
      <c r="I5" s="1442" t="s">
        <v>3319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2424</v>
      </c>
      <c r="Z5" s="1444" t="s">
        <v>2437</v>
      </c>
      <c r="AB5" s="1444" t="s">
        <v>3395</v>
      </c>
    </row>
    <row r="6" spans="1:28">
      <c r="A6" s="1440" t="s">
        <v>1020</v>
      </c>
      <c r="B6" s="1443" t="s">
        <v>449</v>
      </c>
      <c r="C6" s="1445" t="s">
        <v>24</v>
      </c>
      <c r="F6" s="1442" t="s">
        <v>1017</v>
      </c>
      <c r="H6" s="1442" t="s">
        <v>1021</v>
      </c>
      <c r="I6" s="1442" t="s">
        <v>3320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2426</v>
      </c>
      <c r="Z6" s="1444" t="s">
        <v>2439</v>
      </c>
      <c r="AB6" s="1444" t="s">
        <v>2465</v>
      </c>
    </row>
    <row r="7" spans="1:28">
      <c r="A7" s="1440" t="s">
        <v>1023</v>
      </c>
      <c r="B7" s="1443" t="s">
        <v>450</v>
      </c>
      <c r="C7" s="1441" t="s">
        <v>25</v>
      </c>
      <c r="F7" s="1442" t="s">
        <v>1024</v>
      </c>
      <c r="H7" s="1442" t="s">
        <v>1025</v>
      </c>
      <c r="I7" s="1442" t="s">
        <v>3321</v>
      </c>
      <c r="X7" s="1444" t="s">
        <v>2428</v>
      </c>
      <c r="Z7" s="1444" t="s">
        <v>2441</v>
      </c>
      <c r="AB7" s="1444" t="s">
        <v>2467</v>
      </c>
    </row>
    <row r="8" spans="1:28">
      <c r="A8" s="1440" t="s">
        <v>1026</v>
      </c>
      <c r="B8" s="1440" t="s">
        <v>1027</v>
      </c>
      <c r="C8" s="1441" t="s">
        <v>319</v>
      </c>
      <c r="F8" s="1442" t="s">
        <v>1028</v>
      </c>
      <c r="H8" s="1442" t="s">
        <v>2556</v>
      </c>
      <c r="I8" s="1442" t="s">
        <v>3322</v>
      </c>
      <c r="X8" s="1444" t="s">
        <v>3396</v>
      </c>
      <c r="Z8" s="1444" t="s">
        <v>2443</v>
      </c>
      <c r="AB8" s="1444" t="s">
        <v>2469</v>
      </c>
    </row>
    <row r="9" spans="1:28">
      <c r="A9" s="1440" t="s">
        <v>1029</v>
      </c>
      <c r="B9" s="1440" t="s">
        <v>1030</v>
      </c>
      <c r="C9" s="1441" t="s">
        <v>320</v>
      </c>
      <c r="F9" s="1442" t="s">
        <v>1031</v>
      </c>
      <c r="H9" s="1442"/>
      <c r="I9" s="1444" t="s">
        <v>3323</v>
      </c>
      <c r="X9" s="1444" t="s">
        <v>3397</v>
      </c>
      <c r="Z9" s="1444" t="s">
        <v>2445</v>
      </c>
      <c r="AB9" s="1444" t="s">
        <v>2471</v>
      </c>
    </row>
    <row r="10" spans="1:28">
      <c r="A10" s="1440" t="s">
        <v>1032</v>
      </c>
      <c r="B10" s="1440" t="s">
        <v>1033</v>
      </c>
      <c r="C10" s="1441" t="s">
        <v>321</v>
      </c>
      <c r="F10" s="1442" t="s">
        <v>2557</v>
      </c>
      <c r="I10" s="1444" t="s">
        <v>3324</v>
      </c>
      <c r="Z10" s="1444" t="s">
        <v>2447</v>
      </c>
      <c r="AB10" s="1444" t="s">
        <v>2473</v>
      </c>
    </row>
    <row r="11" spans="1:28">
      <c r="A11" s="1440" t="s">
        <v>1034</v>
      </c>
      <c r="B11" s="1440" t="s">
        <v>1035</v>
      </c>
      <c r="C11" s="1441" t="s">
        <v>322</v>
      </c>
      <c r="F11" s="1442" t="s">
        <v>13</v>
      </c>
      <c r="I11" s="1444" t="s">
        <v>3325</v>
      </c>
      <c r="Z11" s="1444" t="s">
        <v>2449</v>
      </c>
      <c r="AB11" s="1444" t="s">
        <v>2475</v>
      </c>
    </row>
    <row r="12" spans="1:28">
      <c r="A12" s="1440" t="s">
        <v>1036</v>
      </c>
      <c r="B12" s="1440" t="s">
        <v>1037</v>
      </c>
      <c r="C12" s="1441" t="s">
        <v>323</v>
      </c>
      <c r="I12" s="1444" t="s">
        <v>3326</v>
      </c>
      <c r="Z12" s="1444" t="s">
        <v>2451</v>
      </c>
      <c r="AB12" s="1444" t="s">
        <v>2477</v>
      </c>
    </row>
    <row r="13" spans="1:28">
      <c r="A13" s="1440" t="s">
        <v>1038</v>
      </c>
      <c r="B13" s="1440" t="s">
        <v>1039</v>
      </c>
      <c r="C13" s="1441" t="s">
        <v>324</v>
      </c>
      <c r="I13" s="1444" t="s">
        <v>3327</v>
      </c>
      <c r="Z13" s="1444" t="s">
        <v>2453</v>
      </c>
    </row>
    <row r="14" spans="1:28">
      <c r="A14" s="1440" t="s">
        <v>1040</v>
      </c>
      <c r="B14" s="1440" t="s">
        <v>1041</v>
      </c>
      <c r="C14" s="1442" t="s">
        <v>13</v>
      </c>
      <c r="I14" s="1444" t="s">
        <v>3328</v>
      </c>
      <c r="Z14" s="1444" t="s">
        <v>2455</v>
      </c>
    </row>
    <row r="15" spans="1:28">
      <c r="A15" s="1440" t="s">
        <v>1042</v>
      </c>
      <c r="B15" s="1440" t="s">
        <v>1043</v>
      </c>
      <c r="C15" s="1441"/>
      <c r="I15" s="1444" t="s">
        <v>3329</v>
      </c>
    </row>
    <row r="16" spans="1:28">
      <c r="A16" s="1440" t="s">
        <v>1044</v>
      </c>
      <c r="B16" s="1440" t="s">
        <v>312</v>
      </c>
      <c r="C16" s="1441"/>
    </row>
    <row r="17" spans="1:3">
      <c r="A17" s="1440" t="s">
        <v>1045</v>
      </c>
      <c r="B17" s="1440" t="s">
        <v>2284</v>
      </c>
      <c r="C17" s="1441"/>
    </row>
    <row r="18" spans="1:3">
      <c r="A18" s="1440" t="s">
        <v>1046</v>
      </c>
      <c r="B18" s="1440" t="s">
        <v>2412</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56"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6"/>
      <c r="B54" s="1446" t="s">
        <v>385</v>
      </c>
      <c r="C54" s="1444" t="s">
        <v>583</v>
      </c>
    </row>
    <row r="55" spans="1:4">
      <c r="A55" s="3256"/>
      <c r="B55" s="1446" t="s">
        <v>386</v>
      </c>
      <c r="C55" s="1444" t="s">
        <v>584</v>
      </c>
    </row>
    <row r="56" spans="1:4">
      <c r="A56" s="3256"/>
      <c r="B56" s="1446" t="s">
        <v>387</v>
      </c>
      <c r="C56" s="1444" t="s">
        <v>588</v>
      </c>
    </row>
    <row r="57" spans="1:4">
      <c r="A57" s="3256"/>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2479</v>
      </c>
      <c r="B1" s="2756"/>
      <c r="C1" s="2756"/>
      <c r="D1" s="2756"/>
      <c r="E1" s="2756"/>
      <c r="F1" s="2757"/>
      <c r="I1" s="3134" t="s">
        <v>2572</v>
      </c>
      <c r="J1" s="2782"/>
      <c r="K1" s="2782"/>
      <c r="L1" s="2782"/>
      <c r="M1" s="2782"/>
      <c r="N1" s="2967"/>
      <c r="O1" s="2967"/>
      <c r="P1" s="2967"/>
      <c r="Q1" s="2967"/>
      <c r="R1" s="2967"/>
    </row>
    <row r="2" spans="1:18">
      <c r="A2" s="2759"/>
      <c r="B2" s="2760"/>
      <c r="C2" s="2760"/>
      <c r="D2" s="2760"/>
      <c r="E2" s="2760"/>
      <c r="F2" s="2761"/>
      <c r="I2" s="3257" t="s">
        <v>2559</v>
      </c>
      <c r="J2" s="3257"/>
      <c r="K2" s="3257"/>
      <c r="L2" s="3257"/>
      <c r="M2" s="3257"/>
      <c r="N2" s="3257"/>
      <c r="O2" s="3257"/>
      <c r="P2" s="3257"/>
      <c r="Q2" s="3257"/>
      <c r="R2" s="3257"/>
    </row>
    <row r="3" spans="1:18">
      <c r="A3" s="2762" t="s">
        <v>2480</v>
      </c>
      <c r="B3" s="2763">
        <f>项目基本情况!D3</f>
        <v>45862</v>
      </c>
      <c r="C3" s="2765"/>
      <c r="D3" s="2765"/>
      <c r="E3" s="2765"/>
      <c r="F3" s="2761"/>
      <c r="I3" s="2777"/>
      <c r="J3" s="2777" t="s">
        <v>2563</v>
      </c>
      <c r="K3" s="2777" t="s">
        <v>2564</v>
      </c>
      <c r="L3" s="2777" t="s">
        <v>2565</v>
      </c>
      <c r="M3" s="2777" t="s">
        <v>2566</v>
      </c>
      <c r="N3" s="3135" t="s">
        <v>2567</v>
      </c>
      <c r="O3" s="3135" t="s">
        <v>2568</v>
      </c>
      <c r="P3" s="3135" t="s">
        <v>2569</v>
      </c>
      <c r="Q3" s="3135" t="s">
        <v>2570</v>
      </c>
      <c r="R3" s="3135" t="s">
        <v>2571</v>
      </c>
    </row>
    <row r="4" spans="1:18">
      <c r="A4" s="2762" t="s">
        <v>2481</v>
      </c>
      <c r="B4" s="2765" t="s">
        <v>2482</v>
      </c>
      <c r="C4" s="2765" t="s">
        <v>2483</v>
      </c>
      <c r="D4" s="2765" t="s">
        <v>2484</v>
      </c>
      <c r="E4" s="2765" t="s">
        <v>2485</v>
      </c>
      <c r="F4" s="2761"/>
      <c r="I4" s="2777" t="s">
        <v>2560</v>
      </c>
      <c r="J4" s="2777">
        <v>80</v>
      </c>
      <c r="K4" s="2777">
        <v>70</v>
      </c>
      <c r="L4" s="2777">
        <v>20</v>
      </c>
      <c r="M4" s="2777">
        <v>30</v>
      </c>
      <c r="N4" s="2765">
        <v>45</v>
      </c>
      <c r="O4" s="2765">
        <v>60</v>
      </c>
      <c r="P4" s="2765">
        <v>50</v>
      </c>
      <c r="Q4" s="2765">
        <v>20</v>
      </c>
      <c r="R4" s="2765">
        <v>375</v>
      </c>
    </row>
    <row r="5" spans="1:18">
      <c r="A5" s="2766">
        <v>40</v>
      </c>
      <c r="B5" s="2763">
        <v>46375</v>
      </c>
      <c r="C5" s="2765">
        <f>ROUNDDOWN(MIN((B5-B3)/365,A5),2)</f>
        <v>1.4</v>
      </c>
      <c r="D5" s="2767">
        <f>IF(ISERROR(ROUND(POWER(1+E5,A5-C5)*(POWER(1+E5,C5)-1)/(POWER(1+E5,A5)-1),3)),0,ROUND(POWER(1+E5,A5-C5)*(POWER(1+E5,C5)-1)/(POWER(1+E5,A5)-1),4))</f>
        <v>6.7500000000000004E-2</v>
      </c>
      <c r="E5" s="2768">
        <v>0.04</v>
      </c>
      <c r="F5" s="2761"/>
      <c r="I5" s="2777" t="s">
        <v>2561</v>
      </c>
      <c r="J5" s="2777">
        <v>70</v>
      </c>
      <c r="K5" s="2777">
        <v>60</v>
      </c>
      <c r="L5" s="2777">
        <v>15</v>
      </c>
      <c r="M5" s="2777">
        <v>25</v>
      </c>
      <c r="N5" s="2765">
        <v>40</v>
      </c>
      <c r="O5" s="2765">
        <v>50</v>
      </c>
      <c r="P5" s="2765">
        <v>40</v>
      </c>
      <c r="Q5" s="2765">
        <v>15</v>
      </c>
      <c r="R5" s="2765">
        <v>315</v>
      </c>
    </row>
    <row r="6" spans="1:18">
      <c r="A6" s="2766">
        <v>50</v>
      </c>
      <c r="B6" s="2763">
        <v>50028</v>
      </c>
      <c r="C6" s="2765">
        <f>ROUNDDOWN(MIN((B6-B3)/365,A6),2)</f>
        <v>11.41</v>
      </c>
      <c r="D6" s="2767">
        <f>IF(ISERROR(ROUND(POWER(1+E6,A6-C6)*(POWER(1+E6,C6)-1)/(POWER(1+E6,A6)-1),3)),0,ROUND(POWER(1+E6,A6-C6)*(POWER(1+E6,C6)-1)/(POWER(1+E6,A6)-1),4))</f>
        <v>0.4199</v>
      </c>
      <c r="E6" s="2768">
        <v>0.04</v>
      </c>
      <c r="F6" s="2761"/>
      <c r="I6" s="2777" t="s">
        <v>2562</v>
      </c>
      <c r="J6" s="2777">
        <v>60</v>
      </c>
      <c r="K6" s="2777">
        <v>50</v>
      </c>
      <c r="L6" s="2777">
        <v>10</v>
      </c>
      <c r="M6" s="2777">
        <v>20</v>
      </c>
      <c r="N6" s="2765">
        <v>35</v>
      </c>
      <c r="O6" s="2765">
        <v>40</v>
      </c>
      <c r="P6" s="2765">
        <v>30</v>
      </c>
      <c r="Q6" s="2765">
        <v>10</v>
      </c>
      <c r="R6" s="2765">
        <v>255</v>
      </c>
    </row>
    <row r="7" spans="1:18">
      <c r="A7" s="2766">
        <v>70</v>
      </c>
      <c r="B7" s="2763">
        <v>57333</v>
      </c>
      <c r="C7" s="2765">
        <f>ROUNDDOWN(MIN((B7-B3)/365,A7),2)</f>
        <v>31.42</v>
      </c>
      <c r="D7" s="2767">
        <f>IF(ISERROR(ROUND(POWER(1+E7,A7-C7)*(POWER(1+E7,C7)-1)/(POWER(1+E7,A7)-1),3)),0,ROUND(POWER(1+E7,A7-C7)*(POWER(1+E7,C7)-1)/(POWER(1+E7,A7)-1),4))</f>
        <v>0.75700000000000001</v>
      </c>
      <c r="E7" s="2768">
        <v>0.04</v>
      </c>
      <c r="F7" s="2761"/>
    </row>
    <row r="8" spans="1:18">
      <c r="A8" s="2759"/>
      <c r="B8" s="2760"/>
      <c r="C8" s="2760"/>
      <c r="D8" s="2760"/>
      <c r="E8" s="2760"/>
      <c r="F8" s="2761"/>
    </row>
    <row r="9" spans="1:18">
      <c r="A9" s="2762" t="s">
        <v>2486</v>
      </c>
      <c r="B9" s="2765"/>
      <c r="C9" s="2765"/>
      <c r="D9" s="2765"/>
      <c r="E9" s="2765"/>
      <c r="F9" s="2769"/>
    </row>
    <row r="10" spans="1:18">
      <c r="A10" s="2762" t="s">
        <v>2487</v>
      </c>
      <c r="B10" s="2765"/>
      <c r="C10" s="2765"/>
      <c r="D10" s="2765" t="s">
        <v>2485</v>
      </c>
      <c r="E10" s="2765"/>
      <c r="F10" s="2769" t="s">
        <v>2484</v>
      </c>
    </row>
    <row r="11" spans="1:18">
      <c r="A11" s="2762" t="s">
        <v>2488</v>
      </c>
      <c r="B11" s="2770">
        <v>70</v>
      </c>
      <c r="C11" s="2765" t="s">
        <v>2489</v>
      </c>
      <c r="D11" s="2770">
        <v>4.4999999999999998E-2</v>
      </c>
      <c r="E11" s="2765" t="s">
        <v>2490</v>
      </c>
      <c r="F11" s="2771">
        <f>ROUND(1-(1/(POWER(1+D11,B11))),4)</f>
        <v>0.95409999999999995</v>
      </c>
    </row>
    <row r="12" spans="1:18">
      <c r="A12" s="2762" t="s">
        <v>2491</v>
      </c>
      <c r="B12" s="2770">
        <v>40</v>
      </c>
      <c r="C12" s="2765" t="s">
        <v>2492</v>
      </c>
      <c r="D12" s="2770">
        <v>4.4999999999999998E-2</v>
      </c>
      <c r="E12" s="2765" t="s">
        <v>2493</v>
      </c>
      <c r="F12" s="2771">
        <f>ROUND(1-(1/(POWER(1+D12,B12))),4)</f>
        <v>0.82809999999999995</v>
      </c>
    </row>
    <row r="13" spans="1:18">
      <c r="A13" s="2762" t="s">
        <v>2494</v>
      </c>
      <c r="B13" s="2765"/>
      <c r="C13" s="2765"/>
      <c r="D13" s="2760"/>
      <c r="E13" s="2760"/>
      <c r="F13" s="2761"/>
    </row>
    <row r="14" spans="1:18">
      <c r="A14" s="2762" t="s">
        <v>2495</v>
      </c>
      <c r="B14" s="2770">
        <v>5000</v>
      </c>
      <c r="C14" s="2764"/>
      <c r="D14" s="2760"/>
      <c r="E14" s="2760"/>
      <c r="F14" s="2761"/>
    </row>
    <row r="15" spans="1:18">
      <c r="A15" s="2762" t="s">
        <v>2496</v>
      </c>
      <c r="B15" s="2765">
        <f>ROUND(B14*F12/F11,2)</f>
        <v>4339.6899999999996</v>
      </c>
      <c r="C15" s="2765">
        <f>ROUND(F12/F11,4)</f>
        <v>0.8679</v>
      </c>
      <c r="D15" s="2760"/>
      <c r="E15" s="2760"/>
      <c r="F15" s="2761"/>
    </row>
    <row r="16" spans="1:18">
      <c r="A16" s="2762" t="s">
        <v>2497</v>
      </c>
      <c r="B16" s="2765"/>
      <c r="C16" s="2765"/>
      <c r="D16" s="2760"/>
      <c r="E16" s="2760"/>
      <c r="F16" s="2761"/>
    </row>
    <row r="17" spans="1:14">
      <c r="A17" s="2762" t="s">
        <v>2496</v>
      </c>
      <c r="B17" s="2770">
        <v>4810</v>
      </c>
      <c r="C17" s="2764"/>
      <c r="D17" s="2760"/>
      <c r="E17" s="2760"/>
      <c r="F17" s="2761"/>
    </row>
    <row r="18" spans="1:14" ht="14.25" thickBot="1">
      <c r="A18" s="2772" t="s">
        <v>2495</v>
      </c>
      <c r="B18" s="2773">
        <f>ROUND(B17*F11/F12,2)</f>
        <v>5541.87</v>
      </c>
      <c r="C18" s="2773">
        <f>ROUND(F11/F12,4)</f>
        <v>1.1521999999999999</v>
      </c>
      <c r="D18" s="2774"/>
      <c r="E18" s="2774"/>
      <c r="F18" s="2775"/>
    </row>
    <row r="19" spans="1:14" ht="14.25" thickBot="1"/>
    <row r="20" spans="1:14" s="2808" customFormat="1" ht="14.25" thickTop="1">
      <c r="A20" s="2805" t="s">
        <v>2498</v>
      </c>
      <c r="B20" s="2806"/>
      <c r="C20" s="2806"/>
      <c r="D20" s="2806"/>
      <c r="E20" s="2806"/>
      <c r="F20" s="2806"/>
      <c r="G20" s="2807"/>
      <c r="I20" s="2809" t="s">
        <v>2543</v>
      </c>
      <c r="J20" s="2809" t="s">
        <v>2548</v>
      </c>
      <c r="K20" s="2809"/>
      <c r="L20" s="2809"/>
      <c r="M20" s="2809"/>
    </row>
    <row r="21" spans="1:14">
      <c r="A21" s="2776"/>
      <c r="B21" s="2777" t="s">
        <v>2499</v>
      </c>
      <c r="C21" s="2777" t="s">
        <v>2500</v>
      </c>
      <c r="D21" s="2777" t="s">
        <v>2501</v>
      </c>
      <c r="E21" s="2777" t="s">
        <v>2502</v>
      </c>
      <c r="F21" s="2777" t="s">
        <v>2503</v>
      </c>
      <c r="G21" s="2778" t="s">
        <v>2504</v>
      </c>
      <c r="I21" s="2799">
        <v>5</v>
      </c>
      <c r="J21" s="2799">
        <v>54.2</v>
      </c>
    </row>
    <row r="22" spans="1:14">
      <c r="A22" s="2776" t="s">
        <v>2505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2506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2546</v>
      </c>
      <c r="N23" s="3152" t="s">
        <v>2547</v>
      </c>
    </row>
    <row r="24" spans="1:14">
      <c r="A24" s="2776" t="s">
        <v>2507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2545</v>
      </c>
      <c r="N24" s="3152">
        <v>10</v>
      </c>
    </row>
    <row r="25" spans="1:14">
      <c r="A25" s="2776" t="s">
        <v>2508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2549</v>
      </c>
      <c r="N25" s="3152">
        <v>8</v>
      </c>
    </row>
    <row r="26" spans="1:14">
      <c r="A26" s="2781"/>
      <c r="B26" s="2782"/>
      <c r="C26" s="2782"/>
      <c r="D26" s="2782"/>
      <c r="E26" s="2782"/>
      <c r="F26" s="2782"/>
      <c r="G26" s="2783"/>
      <c r="I26" s="2799">
        <v>30</v>
      </c>
      <c r="J26" s="2799">
        <v>90.5</v>
      </c>
      <c r="K26" s="2799">
        <f t="shared" si="2"/>
        <v>4.2000000000000028</v>
      </c>
      <c r="L26" s="2799" t="s">
        <v>2550</v>
      </c>
      <c r="N26" s="3152">
        <v>5</v>
      </c>
    </row>
    <row r="27" spans="1:14">
      <c r="A27" s="2781" t="s">
        <v>2509</v>
      </c>
      <c r="B27" s="2782"/>
      <c r="C27" s="2782"/>
      <c r="D27" s="2782"/>
      <c r="E27" s="2782"/>
      <c r="F27" s="2782"/>
      <c r="G27" s="2783"/>
      <c r="I27" s="2799">
        <v>35</v>
      </c>
      <c r="J27" s="2799">
        <v>93.8</v>
      </c>
      <c r="K27" s="2799">
        <f t="shared" si="2"/>
        <v>3.2999999999999972</v>
      </c>
      <c r="L27" s="2799" t="s">
        <v>2551</v>
      </c>
      <c r="N27" s="3152">
        <v>3</v>
      </c>
    </row>
    <row r="28" spans="1:14">
      <c r="A28" s="2781" t="s">
        <v>2510</v>
      </c>
      <c r="B28" s="2782"/>
      <c r="C28" s="2782"/>
      <c r="D28" s="2782"/>
      <c r="E28" s="2782"/>
      <c r="F28" s="2782"/>
      <c r="G28" s="2783"/>
      <c r="I28" s="2799">
        <v>40</v>
      </c>
      <c r="J28" s="2799">
        <v>96.4</v>
      </c>
      <c r="K28" s="2799">
        <f t="shared" si="2"/>
        <v>2.6000000000000085</v>
      </c>
      <c r="L28" s="2799" t="s">
        <v>2552</v>
      </c>
      <c r="N28" s="3152">
        <v>2</v>
      </c>
    </row>
    <row r="29" spans="1:14">
      <c r="A29" s="2781" t="s">
        <v>2511</v>
      </c>
      <c r="B29" s="2782"/>
      <c r="C29" s="2782"/>
      <c r="D29" s="2782"/>
      <c r="E29" s="2782"/>
      <c r="F29" s="2782"/>
      <c r="G29" s="2783"/>
      <c r="I29" s="2799">
        <v>45</v>
      </c>
      <c r="J29" s="2799">
        <v>98.4</v>
      </c>
      <c r="K29" s="2799">
        <f t="shared" si="2"/>
        <v>2</v>
      </c>
    </row>
    <row r="30" spans="1:14">
      <c r="A30" s="2781" t="s">
        <v>2512</v>
      </c>
      <c r="B30" s="2782"/>
      <c r="C30" s="2782"/>
      <c r="D30" s="2782"/>
      <c r="E30" s="2782"/>
      <c r="F30" s="2782"/>
      <c r="G30" s="2783"/>
      <c r="I30" s="2799">
        <v>50</v>
      </c>
      <c r="J30" s="2799">
        <v>100</v>
      </c>
      <c r="K30" s="2799">
        <f t="shared" si="2"/>
        <v>1.5999999999999943</v>
      </c>
    </row>
    <row r="31" spans="1:14">
      <c r="A31" s="2781" t="s">
        <v>2513</v>
      </c>
      <c r="B31" s="2782"/>
      <c r="C31" s="2782"/>
      <c r="D31" s="2782"/>
      <c r="E31" s="2782"/>
      <c r="F31" s="2782"/>
      <c r="G31" s="2783"/>
      <c r="I31" s="2799" t="s">
        <v>2544</v>
      </c>
    </row>
    <row r="32" spans="1:14">
      <c r="A32" s="2781" t="s">
        <v>2514</v>
      </c>
      <c r="B32" s="2782"/>
      <c r="C32" s="2782"/>
      <c r="D32" s="2782"/>
      <c r="E32" s="2782"/>
      <c r="F32" s="2782"/>
      <c r="G32" s="2783"/>
    </row>
    <row r="33" spans="1:14">
      <c r="A33" s="2781" t="s">
        <v>2515</v>
      </c>
      <c r="B33" s="2782"/>
      <c r="C33" s="2782"/>
      <c r="D33" s="2782"/>
      <c r="E33" s="2782"/>
      <c r="F33" s="2782"/>
      <c r="G33" s="2783"/>
      <c r="I33" s="2799" t="s">
        <v>2543</v>
      </c>
      <c r="J33" s="2799" t="s">
        <v>2553</v>
      </c>
    </row>
    <row r="34" spans="1:14">
      <c r="A34" s="2781" t="s">
        <v>2516</v>
      </c>
      <c r="B34" s="2782"/>
      <c r="C34" s="2782"/>
      <c r="D34" s="2782"/>
      <c r="E34" s="2782"/>
      <c r="F34" s="2782"/>
      <c r="G34" s="2783"/>
      <c r="I34" s="2799">
        <v>5</v>
      </c>
      <c r="J34" s="2799">
        <v>55.1</v>
      </c>
    </row>
    <row r="35" spans="1:14">
      <c r="A35" s="2781" t="s">
        <v>2517</v>
      </c>
      <c r="B35" s="2782"/>
      <c r="C35" s="2782"/>
      <c r="D35" s="2782"/>
      <c r="E35" s="2782"/>
      <c r="F35" s="2782"/>
      <c r="G35" s="2783"/>
      <c r="I35" s="2799">
        <v>10</v>
      </c>
      <c r="J35" s="2799">
        <v>67</v>
      </c>
      <c r="K35" s="2799">
        <f>J35-J34</f>
        <v>11.899999999999999</v>
      </c>
    </row>
    <row r="36" spans="1:14">
      <c r="A36" s="2781" t="s">
        <v>2518</v>
      </c>
      <c r="B36" s="2782"/>
      <c r="C36" s="2782"/>
      <c r="D36" s="2782"/>
      <c r="E36" s="2782"/>
      <c r="F36" s="2782"/>
      <c r="G36" s="2783"/>
      <c r="I36" s="2799">
        <v>15</v>
      </c>
      <c r="J36" s="2799">
        <v>76.3</v>
      </c>
      <c r="K36" s="2799">
        <f t="shared" ref="K36:K41" si="3">J36-J35</f>
        <v>9.2999999999999972</v>
      </c>
      <c r="L36" s="2799" t="s">
        <v>2546</v>
      </c>
      <c r="N36" s="3152" t="s">
        <v>2547</v>
      </c>
    </row>
    <row r="37" spans="1:14">
      <c r="A37" s="2781" t="s">
        <v>2519</v>
      </c>
      <c r="B37" s="2782"/>
      <c r="C37" s="2782"/>
      <c r="D37" s="2782"/>
      <c r="E37" s="2782"/>
      <c r="F37" s="2782"/>
      <c r="G37" s="2783"/>
      <c r="I37" s="2799">
        <v>20</v>
      </c>
      <c r="J37" s="2799">
        <v>83.6</v>
      </c>
      <c r="K37" s="2799">
        <f t="shared" si="3"/>
        <v>7.2999999999999972</v>
      </c>
      <c r="L37" s="2799" t="s">
        <v>2545</v>
      </c>
      <c r="N37" s="3152">
        <v>10</v>
      </c>
    </row>
    <row r="38" spans="1:14">
      <c r="A38" s="2781" t="s">
        <v>2520</v>
      </c>
      <c r="B38" s="2782"/>
      <c r="C38" s="2782"/>
      <c r="D38" s="2782"/>
      <c r="E38" s="2782"/>
      <c r="F38" s="2782"/>
      <c r="G38" s="2783"/>
      <c r="I38" s="2799">
        <v>25</v>
      </c>
      <c r="J38" s="2799">
        <v>89.3</v>
      </c>
      <c r="K38" s="2799">
        <f t="shared" si="3"/>
        <v>5.7000000000000028</v>
      </c>
      <c r="L38" s="2799" t="s">
        <v>2549</v>
      </c>
      <c r="N38" s="3152">
        <v>8</v>
      </c>
    </row>
    <row r="39" spans="1:14">
      <c r="A39" s="2781"/>
      <c r="B39" s="2782"/>
      <c r="C39" s="2782"/>
      <c r="D39" s="2782"/>
      <c r="E39" s="2782"/>
      <c r="F39" s="2782"/>
      <c r="G39" s="2783"/>
      <c r="I39" s="2799">
        <v>30</v>
      </c>
      <c r="J39" s="2799">
        <v>93.8</v>
      </c>
      <c r="K39" s="2799">
        <f t="shared" si="3"/>
        <v>4.5</v>
      </c>
      <c r="L39" s="2799" t="s">
        <v>2550</v>
      </c>
      <c r="N39" s="3152">
        <v>6</v>
      </c>
    </row>
    <row r="40" spans="1:14">
      <c r="A40" s="2784" t="s">
        <v>2521</v>
      </c>
      <c r="B40" s="2785"/>
      <c r="C40" s="2785"/>
      <c r="D40" s="2785"/>
      <c r="E40" s="2785"/>
      <c r="F40" s="2785"/>
      <c r="G40" s="2786"/>
      <c r="I40" s="2799">
        <v>35</v>
      </c>
      <c r="J40" s="2799">
        <v>97.2</v>
      </c>
      <c r="K40" s="2799">
        <f t="shared" si="3"/>
        <v>3.4000000000000057</v>
      </c>
      <c r="L40" s="2799" t="s">
        <v>2551</v>
      </c>
      <c r="N40" s="3152">
        <v>3</v>
      </c>
    </row>
    <row r="41" spans="1:14">
      <c r="A41" s="2787" t="s">
        <v>2522</v>
      </c>
      <c r="B41" s="2788" t="s">
        <v>2523</v>
      </c>
      <c r="C41" s="2789" t="s">
        <v>2524</v>
      </c>
      <c r="D41" s="2789" t="s">
        <v>2525</v>
      </c>
      <c r="E41" s="2790"/>
      <c r="F41" s="2791"/>
      <c r="G41" s="2792"/>
      <c r="I41" s="2799">
        <v>40</v>
      </c>
      <c r="J41" s="2799">
        <v>100</v>
      </c>
      <c r="K41" s="2799">
        <f t="shared" si="3"/>
        <v>2.7999999999999972</v>
      </c>
    </row>
    <row r="42" spans="1:14">
      <c r="A42" s="2787" t="s">
        <v>2526</v>
      </c>
      <c r="B42" s="2788" t="s">
        <v>2527</v>
      </c>
      <c r="C42" s="2789" t="s">
        <v>2528</v>
      </c>
      <c r="D42" s="2793" t="s">
        <v>2529</v>
      </c>
      <c r="E42" s="2785" t="s">
        <v>2530</v>
      </c>
      <c r="F42" s="2785"/>
      <c r="G42" s="2786"/>
    </row>
    <row r="43" spans="1:14">
      <c r="A43" s="2787" t="s">
        <v>2531</v>
      </c>
      <c r="B43" s="2788" t="s">
        <v>2532</v>
      </c>
      <c r="C43" s="2789" t="s">
        <v>2533</v>
      </c>
      <c r="D43" s="2789" t="s">
        <v>2534</v>
      </c>
      <c r="E43" s="2790" t="s">
        <v>2535</v>
      </c>
      <c r="F43" s="2791"/>
      <c r="G43" s="2792"/>
      <c r="I43" s="2799" t="s">
        <v>2543</v>
      </c>
      <c r="J43" s="2799" t="s">
        <v>2554</v>
      </c>
    </row>
    <row r="44" spans="1:14">
      <c r="A44" s="2787" t="s">
        <v>2536</v>
      </c>
      <c r="B44" s="2788" t="s">
        <v>2537</v>
      </c>
      <c r="C44" s="2789" t="s">
        <v>2538</v>
      </c>
      <c r="D44" s="2793">
        <v>0.5</v>
      </c>
      <c r="E44" s="2790" t="s">
        <v>2539</v>
      </c>
      <c r="F44" s="2791"/>
      <c r="G44" s="2792"/>
      <c r="I44" s="2799">
        <v>30</v>
      </c>
      <c r="J44" s="2799">
        <v>81.7</v>
      </c>
    </row>
    <row r="45" spans="1:14" ht="14.25" thickBot="1">
      <c r="A45" s="2794" t="s">
        <v>2540</v>
      </c>
      <c r="B45" s="2795" t="s">
        <v>2527</v>
      </c>
      <c r="C45" s="2796" t="s">
        <v>2527</v>
      </c>
      <c r="D45" s="2796" t="s">
        <v>2541</v>
      </c>
      <c r="E45" s="2797" t="s">
        <v>2542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3366</v>
      </c>
    </row>
    <row r="50" spans="1:4">
      <c r="A50" s="3144" t="s">
        <v>3367</v>
      </c>
      <c r="B50" s="3144" t="s">
        <v>3368</v>
      </c>
      <c r="C50" s="3144" t="s">
        <v>3369</v>
      </c>
      <c r="D50" s="3144" t="s">
        <v>3370</v>
      </c>
    </row>
    <row r="51" spans="1:4">
      <c r="A51" s="3144" t="s">
        <v>3371</v>
      </c>
      <c r="B51" s="2764">
        <f>B52+B53</f>
        <v>15000</v>
      </c>
      <c r="C51" s="3145">
        <f>D51/B51</f>
        <v>2666.6666666666665</v>
      </c>
      <c r="D51" s="2764">
        <f>D52+D53</f>
        <v>40000000</v>
      </c>
    </row>
    <row r="52" spans="1:4">
      <c r="A52" s="3146" t="s">
        <v>3372</v>
      </c>
      <c r="B52" s="3147">
        <v>10000</v>
      </c>
      <c r="C52" s="3147">
        <v>1500</v>
      </c>
      <c r="D52" s="3148">
        <f>C52*B52</f>
        <v>15000000</v>
      </c>
    </row>
    <row r="53" spans="1:4">
      <c r="A53" s="3146" t="s">
        <v>3373</v>
      </c>
      <c r="B53" s="3147">
        <v>5000</v>
      </c>
      <c r="C53" s="3147">
        <v>5000</v>
      </c>
      <c r="D53" s="3148">
        <f>C53*B53</f>
        <v>25000000</v>
      </c>
    </row>
    <row r="54" spans="1:4">
      <c r="A54" s="3144" t="s">
        <v>3374</v>
      </c>
      <c r="B54" s="2764">
        <f>B51</f>
        <v>15000</v>
      </c>
      <c r="C54" s="2770">
        <v>700</v>
      </c>
      <c r="D54" s="2764">
        <f t="shared" ref="D54:D55" si="5">C54*B54</f>
        <v>10500000</v>
      </c>
    </row>
    <row r="55" spans="1:4">
      <c r="A55" s="3144" t="s">
        <v>3375</v>
      </c>
      <c r="B55" s="2764">
        <f>B51</f>
        <v>15000</v>
      </c>
      <c r="C55" s="2770">
        <v>1500</v>
      </c>
      <c r="D55" s="2764">
        <f t="shared" si="5"/>
        <v>22500000</v>
      </c>
    </row>
    <row r="56" spans="1:4">
      <c r="A56" s="3144" t="s">
        <v>3376</v>
      </c>
      <c r="B56" s="2764">
        <f>B51</f>
        <v>15000</v>
      </c>
      <c r="C56" s="3149">
        <f>C51+C54+C55</f>
        <v>4866.6666666666661</v>
      </c>
      <c r="D56" s="2764">
        <f>D51+D54+D55</f>
        <v>73000000</v>
      </c>
    </row>
    <row r="58" spans="1:4">
      <c r="A58" s="3144" t="s">
        <v>3377</v>
      </c>
      <c r="B58" s="3150">
        <v>0.05</v>
      </c>
      <c r="C58" s="2764">
        <f>C56*(1+B58)</f>
        <v>5110</v>
      </c>
      <c r="D58" s="2764">
        <f>D56*B58</f>
        <v>3650000</v>
      </c>
    </row>
    <row r="60" spans="1:4">
      <c r="A60" s="3144" t="s">
        <v>3378</v>
      </c>
      <c r="B60" s="2770">
        <v>3500</v>
      </c>
      <c r="C60" s="2770">
        <f>C53</f>
        <v>5000</v>
      </c>
      <c r="D60" s="2764">
        <f>C60*B60</f>
        <v>17500000</v>
      </c>
    </row>
    <row r="62" spans="1:4">
      <c r="A62" s="3144" t="s">
        <v>3379</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DC5C8-DFEA-405C-83A4-3A898E2C4575}">
  <dimension ref="A1:AC56"/>
  <sheetViews>
    <sheetView zoomScaleNormal="100" zoomScaleSheetLayoutView="100" workbookViewId="0">
      <selection activeCell="E20" sqref="E20"/>
    </sheetView>
  </sheetViews>
  <sheetFormatPr defaultColWidth="7.875" defaultRowHeight="12.75"/>
  <cols>
    <col min="1" max="1" width="14.875" style="3195" customWidth="1"/>
    <col min="2" max="2" width="26.25" style="3195" customWidth="1"/>
    <col min="3" max="5" width="5.25" style="3195" customWidth="1"/>
    <col min="6" max="6" width="6.125" style="3195" customWidth="1"/>
    <col min="7" max="7" width="14.875" style="3195" customWidth="1"/>
    <col min="8" max="8" width="7" style="3195" customWidth="1"/>
    <col min="9" max="9" width="5.25" style="3195" customWidth="1"/>
    <col min="10" max="10" width="7.875" style="3195" customWidth="1"/>
    <col min="11" max="11" width="5.25" style="3195" customWidth="1"/>
    <col min="12" max="12" width="14.875" style="3195" customWidth="1"/>
    <col min="13" max="13" width="14" style="3195" customWidth="1"/>
    <col min="14" max="14" width="10.5" style="3195" customWidth="1"/>
    <col min="15" max="15" width="20.125" style="3195" customWidth="1"/>
    <col min="16" max="16" width="10.5" style="3195" customWidth="1"/>
    <col min="17" max="17" width="9.625" style="3195" customWidth="1"/>
    <col min="18" max="18" width="5.25" style="3195" customWidth="1"/>
    <col min="19" max="19" width="9.625" style="3195" customWidth="1"/>
    <col min="20" max="20" width="18.375" style="3195" customWidth="1"/>
    <col min="21" max="21" width="16.625" style="3195" customWidth="1"/>
    <col min="22" max="22" width="28" style="3195" customWidth="1"/>
    <col min="23" max="23" width="6.125" style="3195" customWidth="1"/>
    <col min="24" max="24" width="7" style="3195" customWidth="1"/>
    <col min="25" max="26" width="6.125" style="3195" customWidth="1"/>
    <col min="27" max="27" width="5.25" style="3195" customWidth="1"/>
    <col min="28" max="28" width="3.5" style="3195" customWidth="1"/>
    <col min="29" max="29" width="4.375" style="3195" customWidth="1"/>
    <col min="30" max="256" width="7.875" style="3195"/>
    <col min="257" max="257" width="14.875" style="3195" customWidth="1"/>
    <col min="258" max="258" width="26.25" style="3195" customWidth="1"/>
    <col min="259" max="261" width="5.25" style="3195" customWidth="1"/>
    <col min="262" max="262" width="6.125" style="3195" customWidth="1"/>
    <col min="263" max="263" width="14.875" style="3195" customWidth="1"/>
    <col min="264" max="264" width="7" style="3195" customWidth="1"/>
    <col min="265" max="265" width="5.25" style="3195" customWidth="1"/>
    <col min="266" max="266" width="7.875" style="3195"/>
    <col min="267" max="267" width="5.25" style="3195" customWidth="1"/>
    <col min="268" max="268" width="14.875" style="3195" customWidth="1"/>
    <col min="269" max="269" width="14" style="3195" customWidth="1"/>
    <col min="270" max="270" width="10.5" style="3195" customWidth="1"/>
    <col min="271" max="271" width="20.125" style="3195" customWidth="1"/>
    <col min="272" max="272" width="10.5" style="3195" customWidth="1"/>
    <col min="273" max="273" width="9.625" style="3195" customWidth="1"/>
    <col min="274" max="274" width="5.25" style="3195" customWidth="1"/>
    <col min="275" max="275" width="9.625" style="3195" customWidth="1"/>
    <col min="276" max="276" width="18.375" style="3195" customWidth="1"/>
    <col min="277" max="277" width="16.625" style="3195" customWidth="1"/>
    <col min="278" max="278" width="28" style="3195" customWidth="1"/>
    <col min="279" max="279" width="6.125" style="3195" customWidth="1"/>
    <col min="280" max="280" width="7" style="3195" customWidth="1"/>
    <col min="281" max="282" width="6.125" style="3195" customWidth="1"/>
    <col min="283" max="283" width="5.25" style="3195" customWidth="1"/>
    <col min="284" max="284" width="3.5" style="3195" customWidth="1"/>
    <col min="285" max="285" width="4.375" style="3195" customWidth="1"/>
    <col min="286" max="512" width="7.875" style="3195"/>
    <col min="513" max="513" width="14.875" style="3195" customWidth="1"/>
    <col min="514" max="514" width="26.25" style="3195" customWidth="1"/>
    <col min="515" max="517" width="5.25" style="3195" customWidth="1"/>
    <col min="518" max="518" width="6.125" style="3195" customWidth="1"/>
    <col min="519" max="519" width="14.875" style="3195" customWidth="1"/>
    <col min="520" max="520" width="7" style="3195" customWidth="1"/>
    <col min="521" max="521" width="5.25" style="3195" customWidth="1"/>
    <col min="522" max="522" width="7.875" style="3195"/>
    <col min="523" max="523" width="5.25" style="3195" customWidth="1"/>
    <col min="524" max="524" width="14.875" style="3195" customWidth="1"/>
    <col min="525" max="525" width="14" style="3195" customWidth="1"/>
    <col min="526" max="526" width="10.5" style="3195" customWidth="1"/>
    <col min="527" max="527" width="20.125" style="3195" customWidth="1"/>
    <col min="528" max="528" width="10.5" style="3195" customWidth="1"/>
    <col min="529" max="529" width="9.625" style="3195" customWidth="1"/>
    <col min="530" max="530" width="5.25" style="3195" customWidth="1"/>
    <col min="531" max="531" width="9.625" style="3195" customWidth="1"/>
    <col min="532" max="532" width="18.375" style="3195" customWidth="1"/>
    <col min="533" max="533" width="16.625" style="3195" customWidth="1"/>
    <col min="534" max="534" width="28" style="3195" customWidth="1"/>
    <col min="535" max="535" width="6.125" style="3195" customWidth="1"/>
    <col min="536" max="536" width="7" style="3195" customWidth="1"/>
    <col min="537" max="538" width="6.125" style="3195" customWidth="1"/>
    <col min="539" max="539" width="5.25" style="3195" customWidth="1"/>
    <col min="540" max="540" width="3.5" style="3195" customWidth="1"/>
    <col min="541" max="541" width="4.375" style="3195" customWidth="1"/>
    <col min="542" max="768" width="7.875" style="3195"/>
    <col min="769" max="769" width="14.875" style="3195" customWidth="1"/>
    <col min="770" max="770" width="26.25" style="3195" customWidth="1"/>
    <col min="771" max="773" width="5.25" style="3195" customWidth="1"/>
    <col min="774" max="774" width="6.125" style="3195" customWidth="1"/>
    <col min="775" max="775" width="14.875" style="3195" customWidth="1"/>
    <col min="776" max="776" width="7" style="3195" customWidth="1"/>
    <col min="777" max="777" width="5.25" style="3195" customWidth="1"/>
    <col min="778" max="778" width="7.875" style="3195"/>
    <col min="779" max="779" width="5.25" style="3195" customWidth="1"/>
    <col min="780" max="780" width="14.875" style="3195" customWidth="1"/>
    <col min="781" max="781" width="14" style="3195" customWidth="1"/>
    <col min="782" max="782" width="10.5" style="3195" customWidth="1"/>
    <col min="783" max="783" width="20.125" style="3195" customWidth="1"/>
    <col min="784" max="784" width="10.5" style="3195" customWidth="1"/>
    <col min="785" max="785" width="9.625" style="3195" customWidth="1"/>
    <col min="786" max="786" width="5.25" style="3195" customWidth="1"/>
    <col min="787" max="787" width="9.625" style="3195" customWidth="1"/>
    <col min="788" max="788" width="18.375" style="3195" customWidth="1"/>
    <col min="789" max="789" width="16.625" style="3195" customWidth="1"/>
    <col min="790" max="790" width="28" style="3195" customWidth="1"/>
    <col min="791" max="791" width="6.125" style="3195" customWidth="1"/>
    <col min="792" max="792" width="7" style="3195" customWidth="1"/>
    <col min="793" max="794" width="6.125" style="3195" customWidth="1"/>
    <col min="795" max="795" width="5.25" style="3195" customWidth="1"/>
    <col min="796" max="796" width="3.5" style="3195" customWidth="1"/>
    <col min="797" max="797" width="4.375" style="3195" customWidth="1"/>
    <col min="798" max="1024" width="7.875" style="3195"/>
    <col min="1025" max="1025" width="14.875" style="3195" customWidth="1"/>
    <col min="1026" max="1026" width="26.25" style="3195" customWidth="1"/>
    <col min="1027" max="1029" width="5.25" style="3195" customWidth="1"/>
    <col min="1030" max="1030" width="6.125" style="3195" customWidth="1"/>
    <col min="1031" max="1031" width="14.875" style="3195" customWidth="1"/>
    <col min="1032" max="1032" width="7" style="3195" customWidth="1"/>
    <col min="1033" max="1033" width="5.25" style="3195" customWidth="1"/>
    <col min="1034" max="1034" width="7.875" style="3195"/>
    <col min="1035" max="1035" width="5.25" style="3195" customWidth="1"/>
    <col min="1036" max="1036" width="14.875" style="3195" customWidth="1"/>
    <col min="1037" max="1037" width="14" style="3195" customWidth="1"/>
    <col min="1038" max="1038" width="10.5" style="3195" customWidth="1"/>
    <col min="1039" max="1039" width="20.125" style="3195" customWidth="1"/>
    <col min="1040" max="1040" width="10.5" style="3195" customWidth="1"/>
    <col min="1041" max="1041" width="9.625" style="3195" customWidth="1"/>
    <col min="1042" max="1042" width="5.25" style="3195" customWidth="1"/>
    <col min="1043" max="1043" width="9.625" style="3195" customWidth="1"/>
    <col min="1044" max="1044" width="18.375" style="3195" customWidth="1"/>
    <col min="1045" max="1045" width="16.625" style="3195" customWidth="1"/>
    <col min="1046" max="1046" width="28" style="3195" customWidth="1"/>
    <col min="1047" max="1047" width="6.125" style="3195" customWidth="1"/>
    <col min="1048" max="1048" width="7" style="3195" customWidth="1"/>
    <col min="1049" max="1050" width="6.125" style="3195" customWidth="1"/>
    <col min="1051" max="1051" width="5.25" style="3195" customWidth="1"/>
    <col min="1052" max="1052" width="3.5" style="3195" customWidth="1"/>
    <col min="1053" max="1053" width="4.375" style="3195" customWidth="1"/>
    <col min="1054" max="1280" width="7.875" style="3195"/>
    <col min="1281" max="1281" width="14.875" style="3195" customWidth="1"/>
    <col min="1282" max="1282" width="26.25" style="3195" customWidth="1"/>
    <col min="1283" max="1285" width="5.25" style="3195" customWidth="1"/>
    <col min="1286" max="1286" width="6.125" style="3195" customWidth="1"/>
    <col min="1287" max="1287" width="14.875" style="3195" customWidth="1"/>
    <col min="1288" max="1288" width="7" style="3195" customWidth="1"/>
    <col min="1289" max="1289" width="5.25" style="3195" customWidth="1"/>
    <col min="1290" max="1290" width="7.875" style="3195"/>
    <col min="1291" max="1291" width="5.25" style="3195" customWidth="1"/>
    <col min="1292" max="1292" width="14.875" style="3195" customWidth="1"/>
    <col min="1293" max="1293" width="14" style="3195" customWidth="1"/>
    <col min="1294" max="1294" width="10.5" style="3195" customWidth="1"/>
    <col min="1295" max="1295" width="20.125" style="3195" customWidth="1"/>
    <col min="1296" max="1296" width="10.5" style="3195" customWidth="1"/>
    <col min="1297" max="1297" width="9.625" style="3195" customWidth="1"/>
    <col min="1298" max="1298" width="5.25" style="3195" customWidth="1"/>
    <col min="1299" max="1299" width="9.625" style="3195" customWidth="1"/>
    <col min="1300" max="1300" width="18.375" style="3195" customWidth="1"/>
    <col min="1301" max="1301" width="16.625" style="3195" customWidth="1"/>
    <col min="1302" max="1302" width="28" style="3195" customWidth="1"/>
    <col min="1303" max="1303" width="6.125" style="3195" customWidth="1"/>
    <col min="1304" max="1304" width="7" style="3195" customWidth="1"/>
    <col min="1305" max="1306" width="6.125" style="3195" customWidth="1"/>
    <col min="1307" max="1307" width="5.25" style="3195" customWidth="1"/>
    <col min="1308" max="1308" width="3.5" style="3195" customWidth="1"/>
    <col min="1309" max="1309" width="4.375" style="3195" customWidth="1"/>
    <col min="1310" max="1536" width="7.875" style="3195"/>
    <col min="1537" max="1537" width="14.875" style="3195" customWidth="1"/>
    <col min="1538" max="1538" width="26.25" style="3195" customWidth="1"/>
    <col min="1539" max="1541" width="5.25" style="3195" customWidth="1"/>
    <col min="1542" max="1542" width="6.125" style="3195" customWidth="1"/>
    <col min="1543" max="1543" width="14.875" style="3195" customWidth="1"/>
    <col min="1544" max="1544" width="7" style="3195" customWidth="1"/>
    <col min="1545" max="1545" width="5.25" style="3195" customWidth="1"/>
    <col min="1546" max="1546" width="7.875" style="3195"/>
    <col min="1547" max="1547" width="5.25" style="3195" customWidth="1"/>
    <col min="1548" max="1548" width="14.875" style="3195" customWidth="1"/>
    <col min="1549" max="1549" width="14" style="3195" customWidth="1"/>
    <col min="1550" max="1550" width="10.5" style="3195" customWidth="1"/>
    <col min="1551" max="1551" width="20.125" style="3195" customWidth="1"/>
    <col min="1552" max="1552" width="10.5" style="3195" customWidth="1"/>
    <col min="1553" max="1553" width="9.625" style="3195" customWidth="1"/>
    <col min="1554" max="1554" width="5.25" style="3195" customWidth="1"/>
    <col min="1555" max="1555" width="9.625" style="3195" customWidth="1"/>
    <col min="1556" max="1556" width="18.375" style="3195" customWidth="1"/>
    <col min="1557" max="1557" width="16.625" style="3195" customWidth="1"/>
    <col min="1558" max="1558" width="28" style="3195" customWidth="1"/>
    <col min="1559" max="1559" width="6.125" style="3195" customWidth="1"/>
    <col min="1560" max="1560" width="7" style="3195" customWidth="1"/>
    <col min="1561" max="1562" width="6.125" style="3195" customWidth="1"/>
    <col min="1563" max="1563" width="5.25" style="3195" customWidth="1"/>
    <col min="1564" max="1564" width="3.5" style="3195" customWidth="1"/>
    <col min="1565" max="1565" width="4.375" style="3195" customWidth="1"/>
    <col min="1566" max="1792" width="7.875" style="3195"/>
    <col min="1793" max="1793" width="14.875" style="3195" customWidth="1"/>
    <col min="1794" max="1794" width="26.25" style="3195" customWidth="1"/>
    <col min="1795" max="1797" width="5.25" style="3195" customWidth="1"/>
    <col min="1798" max="1798" width="6.125" style="3195" customWidth="1"/>
    <col min="1799" max="1799" width="14.875" style="3195" customWidth="1"/>
    <col min="1800" max="1800" width="7" style="3195" customWidth="1"/>
    <col min="1801" max="1801" width="5.25" style="3195" customWidth="1"/>
    <col min="1802" max="1802" width="7.875" style="3195"/>
    <col min="1803" max="1803" width="5.25" style="3195" customWidth="1"/>
    <col min="1804" max="1804" width="14.875" style="3195" customWidth="1"/>
    <col min="1805" max="1805" width="14" style="3195" customWidth="1"/>
    <col min="1806" max="1806" width="10.5" style="3195" customWidth="1"/>
    <col min="1807" max="1807" width="20.125" style="3195" customWidth="1"/>
    <col min="1808" max="1808" width="10.5" style="3195" customWidth="1"/>
    <col min="1809" max="1809" width="9.625" style="3195" customWidth="1"/>
    <col min="1810" max="1810" width="5.25" style="3195" customWidth="1"/>
    <col min="1811" max="1811" width="9.625" style="3195" customWidth="1"/>
    <col min="1812" max="1812" width="18.375" style="3195" customWidth="1"/>
    <col min="1813" max="1813" width="16.625" style="3195" customWidth="1"/>
    <col min="1814" max="1814" width="28" style="3195" customWidth="1"/>
    <col min="1815" max="1815" width="6.125" style="3195" customWidth="1"/>
    <col min="1816" max="1816" width="7" style="3195" customWidth="1"/>
    <col min="1817" max="1818" width="6.125" style="3195" customWidth="1"/>
    <col min="1819" max="1819" width="5.25" style="3195" customWidth="1"/>
    <col min="1820" max="1820" width="3.5" style="3195" customWidth="1"/>
    <col min="1821" max="1821" width="4.375" style="3195" customWidth="1"/>
    <col min="1822" max="2048" width="7.875" style="3195"/>
    <col min="2049" max="2049" width="14.875" style="3195" customWidth="1"/>
    <col min="2050" max="2050" width="26.25" style="3195" customWidth="1"/>
    <col min="2051" max="2053" width="5.25" style="3195" customWidth="1"/>
    <col min="2054" max="2054" width="6.125" style="3195" customWidth="1"/>
    <col min="2055" max="2055" width="14.875" style="3195" customWidth="1"/>
    <col min="2056" max="2056" width="7" style="3195" customWidth="1"/>
    <col min="2057" max="2057" width="5.25" style="3195" customWidth="1"/>
    <col min="2058" max="2058" width="7.875" style="3195"/>
    <col min="2059" max="2059" width="5.25" style="3195" customWidth="1"/>
    <col min="2060" max="2060" width="14.875" style="3195" customWidth="1"/>
    <col min="2061" max="2061" width="14" style="3195" customWidth="1"/>
    <col min="2062" max="2062" width="10.5" style="3195" customWidth="1"/>
    <col min="2063" max="2063" width="20.125" style="3195" customWidth="1"/>
    <col min="2064" max="2064" width="10.5" style="3195" customWidth="1"/>
    <col min="2065" max="2065" width="9.625" style="3195" customWidth="1"/>
    <col min="2066" max="2066" width="5.25" style="3195" customWidth="1"/>
    <col min="2067" max="2067" width="9.625" style="3195" customWidth="1"/>
    <col min="2068" max="2068" width="18.375" style="3195" customWidth="1"/>
    <col min="2069" max="2069" width="16.625" style="3195" customWidth="1"/>
    <col min="2070" max="2070" width="28" style="3195" customWidth="1"/>
    <col min="2071" max="2071" width="6.125" style="3195" customWidth="1"/>
    <col min="2072" max="2072" width="7" style="3195" customWidth="1"/>
    <col min="2073" max="2074" width="6.125" style="3195" customWidth="1"/>
    <col min="2075" max="2075" width="5.25" style="3195" customWidth="1"/>
    <col min="2076" max="2076" width="3.5" style="3195" customWidth="1"/>
    <col min="2077" max="2077" width="4.375" style="3195" customWidth="1"/>
    <col min="2078" max="2304" width="7.875" style="3195"/>
    <col min="2305" max="2305" width="14.875" style="3195" customWidth="1"/>
    <col min="2306" max="2306" width="26.25" style="3195" customWidth="1"/>
    <col min="2307" max="2309" width="5.25" style="3195" customWidth="1"/>
    <col min="2310" max="2310" width="6.125" style="3195" customWidth="1"/>
    <col min="2311" max="2311" width="14.875" style="3195" customWidth="1"/>
    <col min="2312" max="2312" width="7" style="3195" customWidth="1"/>
    <col min="2313" max="2313" width="5.25" style="3195" customWidth="1"/>
    <col min="2314" max="2314" width="7.875" style="3195"/>
    <col min="2315" max="2315" width="5.25" style="3195" customWidth="1"/>
    <col min="2316" max="2316" width="14.875" style="3195" customWidth="1"/>
    <col min="2317" max="2317" width="14" style="3195" customWidth="1"/>
    <col min="2318" max="2318" width="10.5" style="3195" customWidth="1"/>
    <col min="2319" max="2319" width="20.125" style="3195" customWidth="1"/>
    <col min="2320" max="2320" width="10.5" style="3195" customWidth="1"/>
    <col min="2321" max="2321" width="9.625" style="3195" customWidth="1"/>
    <col min="2322" max="2322" width="5.25" style="3195" customWidth="1"/>
    <col min="2323" max="2323" width="9.625" style="3195" customWidth="1"/>
    <col min="2324" max="2324" width="18.375" style="3195" customWidth="1"/>
    <col min="2325" max="2325" width="16.625" style="3195" customWidth="1"/>
    <col min="2326" max="2326" width="28" style="3195" customWidth="1"/>
    <col min="2327" max="2327" width="6.125" style="3195" customWidth="1"/>
    <col min="2328" max="2328" width="7" style="3195" customWidth="1"/>
    <col min="2329" max="2330" width="6.125" style="3195" customWidth="1"/>
    <col min="2331" max="2331" width="5.25" style="3195" customWidth="1"/>
    <col min="2332" max="2332" width="3.5" style="3195" customWidth="1"/>
    <col min="2333" max="2333" width="4.375" style="3195" customWidth="1"/>
    <col min="2334" max="2560" width="7.875" style="3195"/>
    <col min="2561" max="2561" width="14.875" style="3195" customWidth="1"/>
    <col min="2562" max="2562" width="26.25" style="3195" customWidth="1"/>
    <col min="2563" max="2565" width="5.25" style="3195" customWidth="1"/>
    <col min="2566" max="2566" width="6.125" style="3195" customWidth="1"/>
    <col min="2567" max="2567" width="14.875" style="3195" customWidth="1"/>
    <col min="2568" max="2568" width="7" style="3195" customWidth="1"/>
    <col min="2569" max="2569" width="5.25" style="3195" customWidth="1"/>
    <col min="2570" max="2570" width="7.875" style="3195"/>
    <col min="2571" max="2571" width="5.25" style="3195" customWidth="1"/>
    <col min="2572" max="2572" width="14.875" style="3195" customWidth="1"/>
    <col min="2573" max="2573" width="14" style="3195" customWidth="1"/>
    <col min="2574" max="2574" width="10.5" style="3195" customWidth="1"/>
    <col min="2575" max="2575" width="20.125" style="3195" customWidth="1"/>
    <col min="2576" max="2576" width="10.5" style="3195" customWidth="1"/>
    <col min="2577" max="2577" width="9.625" style="3195" customWidth="1"/>
    <col min="2578" max="2578" width="5.25" style="3195" customWidth="1"/>
    <col min="2579" max="2579" width="9.625" style="3195" customWidth="1"/>
    <col min="2580" max="2580" width="18.375" style="3195" customWidth="1"/>
    <col min="2581" max="2581" width="16.625" style="3195" customWidth="1"/>
    <col min="2582" max="2582" width="28" style="3195" customWidth="1"/>
    <col min="2583" max="2583" width="6.125" style="3195" customWidth="1"/>
    <col min="2584" max="2584" width="7" style="3195" customWidth="1"/>
    <col min="2585" max="2586" width="6.125" style="3195" customWidth="1"/>
    <col min="2587" max="2587" width="5.25" style="3195" customWidth="1"/>
    <col min="2588" max="2588" width="3.5" style="3195" customWidth="1"/>
    <col min="2589" max="2589" width="4.375" style="3195" customWidth="1"/>
    <col min="2590" max="2816" width="7.875" style="3195"/>
    <col min="2817" max="2817" width="14.875" style="3195" customWidth="1"/>
    <col min="2818" max="2818" width="26.25" style="3195" customWidth="1"/>
    <col min="2819" max="2821" width="5.25" style="3195" customWidth="1"/>
    <col min="2822" max="2822" width="6.125" style="3195" customWidth="1"/>
    <col min="2823" max="2823" width="14.875" style="3195" customWidth="1"/>
    <col min="2824" max="2824" width="7" style="3195" customWidth="1"/>
    <col min="2825" max="2825" width="5.25" style="3195" customWidth="1"/>
    <col min="2826" max="2826" width="7.875" style="3195"/>
    <col min="2827" max="2827" width="5.25" style="3195" customWidth="1"/>
    <col min="2828" max="2828" width="14.875" style="3195" customWidth="1"/>
    <col min="2829" max="2829" width="14" style="3195" customWidth="1"/>
    <col min="2830" max="2830" width="10.5" style="3195" customWidth="1"/>
    <col min="2831" max="2831" width="20.125" style="3195" customWidth="1"/>
    <col min="2832" max="2832" width="10.5" style="3195" customWidth="1"/>
    <col min="2833" max="2833" width="9.625" style="3195" customWidth="1"/>
    <col min="2834" max="2834" width="5.25" style="3195" customWidth="1"/>
    <col min="2835" max="2835" width="9.625" style="3195" customWidth="1"/>
    <col min="2836" max="2836" width="18.375" style="3195" customWidth="1"/>
    <col min="2837" max="2837" width="16.625" style="3195" customWidth="1"/>
    <col min="2838" max="2838" width="28" style="3195" customWidth="1"/>
    <col min="2839" max="2839" width="6.125" style="3195" customWidth="1"/>
    <col min="2840" max="2840" width="7" style="3195" customWidth="1"/>
    <col min="2841" max="2842" width="6.125" style="3195" customWidth="1"/>
    <col min="2843" max="2843" width="5.25" style="3195" customWidth="1"/>
    <col min="2844" max="2844" width="3.5" style="3195" customWidth="1"/>
    <col min="2845" max="2845" width="4.375" style="3195" customWidth="1"/>
    <col min="2846" max="3072" width="7.875" style="3195"/>
    <col min="3073" max="3073" width="14.875" style="3195" customWidth="1"/>
    <col min="3074" max="3074" width="26.25" style="3195" customWidth="1"/>
    <col min="3075" max="3077" width="5.25" style="3195" customWidth="1"/>
    <col min="3078" max="3078" width="6.125" style="3195" customWidth="1"/>
    <col min="3079" max="3079" width="14.875" style="3195" customWidth="1"/>
    <col min="3080" max="3080" width="7" style="3195" customWidth="1"/>
    <col min="3081" max="3081" width="5.25" style="3195" customWidth="1"/>
    <col min="3082" max="3082" width="7.875" style="3195"/>
    <col min="3083" max="3083" width="5.25" style="3195" customWidth="1"/>
    <col min="3084" max="3084" width="14.875" style="3195" customWidth="1"/>
    <col min="3085" max="3085" width="14" style="3195" customWidth="1"/>
    <col min="3086" max="3086" width="10.5" style="3195" customWidth="1"/>
    <col min="3087" max="3087" width="20.125" style="3195" customWidth="1"/>
    <col min="3088" max="3088" width="10.5" style="3195" customWidth="1"/>
    <col min="3089" max="3089" width="9.625" style="3195" customWidth="1"/>
    <col min="3090" max="3090" width="5.25" style="3195" customWidth="1"/>
    <col min="3091" max="3091" width="9.625" style="3195" customWidth="1"/>
    <col min="3092" max="3092" width="18.375" style="3195" customWidth="1"/>
    <col min="3093" max="3093" width="16.625" style="3195" customWidth="1"/>
    <col min="3094" max="3094" width="28" style="3195" customWidth="1"/>
    <col min="3095" max="3095" width="6.125" style="3195" customWidth="1"/>
    <col min="3096" max="3096" width="7" style="3195" customWidth="1"/>
    <col min="3097" max="3098" width="6.125" style="3195" customWidth="1"/>
    <col min="3099" max="3099" width="5.25" style="3195" customWidth="1"/>
    <col min="3100" max="3100" width="3.5" style="3195" customWidth="1"/>
    <col min="3101" max="3101" width="4.375" style="3195" customWidth="1"/>
    <col min="3102" max="3328" width="7.875" style="3195"/>
    <col min="3329" max="3329" width="14.875" style="3195" customWidth="1"/>
    <col min="3330" max="3330" width="26.25" style="3195" customWidth="1"/>
    <col min="3331" max="3333" width="5.25" style="3195" customWidth="1"/>
    <col min="3334" max="3334" width="6.125" style="3195" customWidth="1"/>
    <col min="3335" max="3335" width="14.875" style="3195" customWidth="1"/>
    <col min="3336" max="3336" width="7" style="3195" customWidth="1"/>
    <col min="3337" max="3337" width="5.25" style="3195" customWidth="1"/>
    <col min="3338" max="3338" width="7.875" style="3195"/>
    <col min="3339" max="3339" width="5.25" style="3195" customWidth="1"/>
    <col min="3340" max="3340" width="14.875" style="3195" customWidth="1"/>
    <col min="3341" max="3341" width="14" style="3195" customWidth="1"/>
    <col min="3342" max="3342" width="10.5" style="3195" customWidth="1"/>
    <col min="3343" max="3343" width="20.125" style="3195" customWidth="1"/>
    <col min="3344" max="3344" width="10.5" style="3195" customWidth="1"/>
    <col min="3345" max="3345" width="9.625" style="3195" customWidth="1"/>
    <col min="3346" max="3346" width="5.25" style="3195" customWidth="1"/>
    <col min="3347" max="3347" width="9.625" style="3195" customWidth="1"/>
    <col min="3348" max="3348" width="18.375" style="3195" customWidth="1"/>
    <col min="3349" max="3349" width="16.625" style="3195" customWidth="1"/>
    <col min="3350" max="3350" width="28" style="3195" customWidth="1"/>
    <col min="3351" max="3351" width="6.125" style="3195" customWidth="1"/>
    <col min="3352" max="3352" width="7" style="3195" customWidth="1"/>
    <col min="3353" max="3354" width="6.125" style="3195" customWidth="1"/>
    <col min="3355" max="3355" width="5.25" style="3195" customWidth="1"/>
    <col min="3356" max="3356" width="3.5" style="3195" customWidth="1"/>
    <col min="3357" max="3357" width="4.375" style="3195" customWidth="1"/>
    <col min="3358" max="3584" width="7.875" style="3195"/>
    <col min="3585" max="3585" width="14.875" style="3195" customWidth="1"/>
    <col min="3586" max="3586" width="26.25" style="3195" customWidth="1"/>
    <col min="3587" max="3589" width="5.25" style="3195" customWidth="1"/>
    <col min="3590" max="3590" width="6.125" style="3195" customWidth="1"/>
    <col min="3591" max="3591" width="14.875" style="3195" customWidth="1"/>
    <col min="3592" max="3592" width="7" style="3195" customWidth="1"/>
    <col min="3593" max="3593" width="5.25" style="3195" customWidth="1"/>
    <col min="3594" max="3594" width="7.875" style="3195"/>
    <col min="3595" max="3595" width="5.25" style="3195" customWidth="1"/>
    <col min="3596" max="3596" width="14.875" style="3195" customWidth="1"/>
    <col min="3597" max="3597" width="14" style="3195" customWidth="1"/>
    <col min="3598" max="3598" width="10.5" style="3195" customWidth="1"/>
    <col min="3599" max="3599" width="20.125" style="3195" customWidth="1"/>
    <col min="3600" max="3600" width="10.5" style="3195" customWidth="1"/>
    <col min="3601" max="3601" width="9.625" style="3195" customWidth="1"/>
    <col min="3602" max="3602" width="5.25" style="3195" customWidth="1"/>
    <col min="3603" max="3603" width="9.625" style="3195" customWidth="1"/>
    <col min="3604" max="3604" width="18.375" style="3195" customWidth="1"/>
    <col min="3605" max="3605" width="16.625" style="3195" customWidth="1"/>
    <col min="3606" max="3606" width="28" style="3195" customWidth="1"/>
    <col min="3607" max="3607" width="6.125" style="3195" customWidth="1"/>
    <col min="3608" max="3608" width="7" style="3195" customWidth="1"/>
    <col min="3609" max="3610" width="6.125" style="3195" customWidth="1"/>
    <col min="3611" max="3611" width="5.25" style="3195" customWidth="1"/>
    <col min="3612" max="3612" width="3.5" style="3195" customWidth="1"/>
    <col min="3613" max="3613" width="4.375" style="3195" customWidth="1"/>
    <col min="3614" max="3840" width="7.875" style="3195"/>
    <col min="3841" max="3841" width="14.875" style="3195" customWidth="1"/>
    <col min="3842" max="3842" width="26.25" style="3195" customWidth="1"/>
    <col min="3843" max="3845" width="5.25" style="3195" customWidth="1"/>
    <col min="3846" max="3846" width="6.125" style="3195" customWidth="1"/>
    <col min="3847" max="3847" width="14.875" style="3195" customWidth="1"/>
    <col min="3848" max="3848" width="7" style="3195" customWidth="1"/>
    <col min="3849" max="3849" width="5.25" style="3195" customWidth="1"/>
    <col min="3850" max="3850" width="7.875" style="3195"/>
    <col min="3851" max="3851" width="5.25" style="3195" customWidth="1"/>
    <col min="3852" max="3852" width="14.875" style="3195" customWidth="1"/>
    <col min="3853" max="3853" width="14" style="3195" customWidth="1"/>
    <col min="3854" max="3854" width="10.5" style="3195" customWidth="1"/>
    <col min="3855" max="3855" width="20.125" style="3195" customWidth="1"/>
    <col min="3856" max="3856" width="10.5" style="3195" customWidth="1"/>
    <col min="3857" max="3857" width="9.625" style="3195" customWidth="1"/>
    <col min="3858" max="3858" width="5.25" style="3195" customWidth="1"/>
    <col min="3859" max="3859" width="9.625" style="3195" customWidth="1"/>
    <col min="3860" max="3860" width="18.375" style="3195" customWidth="1"/>
    <col min="3861" max="3861" width="16.625" style="3195" customWidth="1"/>
    <col min="3862" max="3862" width="28" style="3195" customWidth="1"/>
    <col min="3863" max="3863" width="6.125" style="3195" customWidth="1"/>
    <col min="3864" max="3864" width="7" style="3195" customWidth="1"/>
    <col min="3865" max="3866" width="6.125" style="3195" customWidth="1"/>
    <col min="3867" max="3867" width="5.25" style="3195" customWidth="1"/>
    <col min="3868" max="3868" width="3.5" style="3195" customWidth="1"/>
    <col min="3869" max="3869" width="4.375" style="3195" customWidth="1"/>
    <col min="3870" max="4096" width="7.875" style="3195"/>
    <col min="4097" max="4097" width="14.875" style="3195" customWidth="1"/>
    <col min="4098" max="4098" width="26.25" style="3195" customWidth="1"/>
    <col min="4099" max="4101" width="5.25" style="3195" customWidth="1"/>
    <col min="4102" max="4102" width="6.125" style="3195" customWidth="1"/>
    <col min="4103" max="4103" width="14.875" style="3195" customWidth="1"/>
    <col min="4104" max="4104" width="7" style="3195" customWidth="1"/>
    <col min="4105" max="4105" width="5.25" style="3195" customWidth="1"/>
    <col min="4106" max="4106" width="7.875" style="3195"/>
    <col min="4107" max="4107" width="5.25" style="3195" customWidth="1"/>
    <col min="4108" max="4108" width="14.875" style="3195" customWidth="1"/>
    <col min="4109" max="4109" width="14" style="3195" customWidth="1"/>
    <col min="4110" max="4110" width="10.5" style="3195" customWidth="1"/>
    <col min="4111" max="4111" width="20.125" style="3195" customWidth="1"/>
    <col min="4112" max="4112" width="10.5" style="3195" customWidth="1"/>
    <col min="4113" max="4113" width="9.625" style="3195" customWidth="1"/>
    <col min="4114" max="4114" width="5.25" style="3195" customWidth="1"/>
    <col min="4115" max="4115" width="9.625" style="3195" customWidth="1"/>
    <col min="4116" max="4116" width="18.375" style="3195" customWidth="1"/>
    <col min="4117" max="4117" width="16.625" style="3195" customWidth="1"/>
    <col min="4118" max="4118" width="28" style="3195" customWidth="1"/>
    <col min="4119" max="4119" width="6.125" style="3195" customWidth="1"/>
    <col min="4120" max="4120" width="7" style="3195" customWidth="1"/>
    <col min="4121" max="4122" width="6.125" style="3195" customWidth="1"/>
    <col min="4123" max="4123" width="5.25" style="3195" customWidth="1"/>
    <col min="4124" max="4124" width="3.5" style="3195" customWidth="1"/>
    <col min="4125" max="4125" width="4.375" style="3195" customWidth="1"/>
    <col min="4126" max="4352" width="7.875" style="3195"/>
    <col min="4353" max="4353" width="14.875" style="3195" customWidth="1"/>
    <col min="4354" max="4354" width="26.25" style="3195" customWidth="1"/>
    <col min="4355" max="4357" width="5.25" style="3195" customWidth="1"/>
    <col min="4358" max="4358" width="6.125" style="3195" customWidth="1"/>
    <col min="4359" max="4359" width="14.875" style="3195" customWidth="1"/>
    <col min="4360" max="4360" width="7" style="3195" customWidth="1"/>
    <col min="4361" max="4361" width="5.25" style="3195" customWidth="1"/>
    <col min="4362" max="4362" width="7.875" style="3195"/>
    <col min="4363" max="4363" width="5.25" style="3195" customWidth="1"/>
    <col min="4364" max="4364" width="14.875" style="3195" customWidth="1"/>
    <col min="4365" max="4365" width="14" style="3195" customWidth="1"/>
    <col min="4366" max="4366" width="10.5" style="3195" customWidth="1"/>
    <col min="4367" max="4367" width="20.125" style="3195" customWidth="1"/>
    <col min="4368" max="4368" width="10.5" style="3195" customWidth="1"/>
    <col min="4369" max="4369" width="9.625" style="3195" customWidth="1"/>
    <col min="4370" max="4370" width="5.25" style="3195" customWidth="1"/>
    <col min="4371" max="4371" width="9.625" style="3195" customWidth="1"/>
    <col min="4372" max="4372" width="18.375" style="3195" customWidth="1"/>
    <col min="4373" max="4373" width="16.625" style="3195" customWidth="1"/>
    <col min="4374" max="4374" width="28" style="3195" customWidth="1"/>
    <col min="4375" max="4375" width="6.125" style="3195" customWidth="1"/>
    <col min="4376" max="4376" width="7" style="3195" customWidth="1"/>
    <col min="4377" max="4378" width="6.125" style="3195" customWidth="1"/>
    <col min="4379" max="4379" width="5.25" style="3195" customWidth="1"/>
    <col min="4380" max="4380" width="3.5" style="3195" customWidth="1"/>
    <col min="4381" max="4381" width="4.375" style="3195" customWidth="1"/>
    <col min="4382" max="4608" width="7.875" style="3195"/>
    <col min="4609" max="4609" width="14.875" style="3195" customWidth="1"/>
    <col min="4610" max="4610" width="26.25" style="3195" customWidth="1"/>
    <col min="4611" max="4613" width="5.25" style="3195" customWidth="1"/>
    <col min="4614" max="4614" width="6.125" style="3195" customWidth="1"/>
    <col min="4615" max="4615" width="14.875" style="3195" customWidth="1"/>
    <col min="4616" max="4616" width="7" style="3195" customWidth="1"/>
    <col min="4617" max="4617" width="5.25" style="3195" customWidth="1"/>
    <col min="4618" max="4618" width="7.875" style="3195"/>
    <col min="4619" max="4619" width="5.25" style="3195" customWidth="1"/>
    <col min="4620" max="4620" width="14.875" style="3195" customWidth="1"/>
    <col min="4621" max="4621" width="14" style="3195" customWidth="1"/>
    <col min="4622" max="4622" width="10.5" style="3195" customWidth="1"/>
    <col min="4623" max="4623" width="20.125" style="3195" customWidth="1"/>
    <col min="4624" max="4624" width="10.5" style="3195" customWidth="1"/>
    <col min="4625" max="4625" width="9.625" style="3195" customWidth="1"/>
    <col min="4626" max="4626" width="5.25" style="3195" customWidth="1"/>
    <col min="4627" max="4627" width="9.625" style="3195" customWidth="1"/>
    <col min="4628" max="4628" width="18.375" style="3195" customWidth="1"/>
    <col min="4629" max="4629" width="16.625" style="3195" customWidth="1"/>
    <col min="4630" max="4630" width="28" style="3195" customWidth="1"/>
    <col min="4631" max="4631" width="6.125" style="3195" customWidth="1"/>
    <col min="4632" max="4632" width="7" style="3195" customWidth="1"/>
    <col min="4633" max="4634" width="6.125" style="3195" customWidth="1"/>
    <col min="4635" max="4635" width="5.25" style="3195" customWidth="1"/>
    <col min="4636" max="4636" width="3.5" style="3195" customWidth="1"/>
    <col min="4637" max="4637" width="4.375" style="3195" customWidth="1"/>
    <col min="4638" max="4864" width="7.875" style="3195"/>
    <col min="4865" max="4865" width="14.875" style="3195" customWidth="1"/>
    <col min="4866" max="4866" width="26.25" style="3195" customWidth="1"/>
    <col min="4867" max="4869" width="5.25" style="3195" customWidth="1"/>
    <col min="4870" max="4870" width="6.125" style="3195" customWidth="1"/>
    <col min="4871" max="4871" width="14.875" style="3195" customWidth="1"/>
    <col min="4872" max="4872" width="7" style="3195" customWidth="1"/>
    <col min="4873" max="4873" width="5.25" style="3195" customWidth="1"/>
    <col min="4874" max="4874" width="7.875" style="3195"/>
    <col min="4875" max="4875" width="5.25" style="3195" customWidth="1"/>
    <col min="4876" max="4876" width="14.875" style="3195" customWidth="1"/>
    <col min="4877" max="4877" width="14" style="3195" customWidth="1"/>
    <col min="4878" max="4878" width="10.5" style="3195" customWidth="1"/>
    <col min="4879" max="4879" width="20.125" style="3195" customWidth="1"/>
    <col min="4880" max="4880" width="10.5" style="3195" customWidth="1"/>
    <col min="4881" max="4881" width="9.625" style="3195" customWidth="1"/>
    <col min="4882" max="4882" width="5.25" style="3195" customWidth="1"/>
    <col min="4883" max="4883" width="9.625" style="3195" customWidth="1"/>
    <col min="4884" max="4884" width="18.375" style="3195" customWidth="1"/>
    <col min="4885" max="4885" width="16.625" style="3195" customWidth="1"/>
    <col min="4886" max="4886" width="28" style="3195" customWidth="1"/>
    <col min="4887" max="4887" width="6.125" style="3195" customWidth="1"/>
    <col min="4888" max="4888" width="7" style="3195" customWidth="1"/>
    <col min="4889" max="4890" width="6.125" style="3195" customWidth="1"/>
    <col min="4891" max="4891" width="5.25" style="3195" customWidth="1"/>
    <col min="4892" max="4892" width="3.5" style="3195" customWidth="1"/>
    <col min="4893" max="4893" width="4.375" style="3195" customWidth="1"/>
    <col min="4894" max="5120" width="7.875" style="3195"/>
    <col min="5121" max="5121" width="14.875" style="3195" customWidth="1"/>
    <col min="5122" max="5122" width="26.25" style="3195" customWidth="1"/>
    <col min="5123" max="5125" width="5.25" style="3195" customWidth="1"/>
    <col min="5126" max="5126" width="6.125" style="3195" customWidth="1"/>
    <col min="5127" max="5127" width="14.875" style="3195" customWidth="1"/>
    <col min="5128" max="5128" width="7" style="3195" customWidth="1"/>
    <col min="5129" max="5129" width="5.25" style="3195" customWidth="1"/>
    <col min="5130" max="5130" width="7.875" style="3195"/>
    <col min="5131" max="5131" width="5.25" style="3195" customWidth="1"/>
    <col min="5132" max="5132" width="14.875" style="3195" customWidth="1"/>
    <col min="5133" max="5133" width="14" style="3195" customWidth="1"/>
    <col min="5134" max="5134" width="10.5" style="3195" customWidth="1"/>
    <col min="5135" max="5135" width="20.125" style="3195" customWidth="1"/>
    <col min="5136" max="5136" width="10.5" style="3195" customWidth="1"/>
    <col min="5137" max="5137" width="9.625" style="3195" customWidth="1"/>
    <col min="5138" max="5138" width="5.25" style="3195" customWidth="1"/>
    <col min="5139" max="5139" width="9.625" style="3195" customWidth="1"/>
    <col min="5140" max="5140" width="18.375" style="3195" customWidth="1"/>
    <col min="5141" max="5141" width="16.625" style="3195" customWidth="1"/>
    <col min="5142" max="5142" width="28" style="3195" customWidth="1"/>
    <col min="5143" max="5143" width="6.125" style="3195" customWidth="1"/>
    <col min="5144" max="5144" width="7" style="3195" customWidth="1"/>
    <col min="5145" max="5146" width="6.125" style="3195" customWidth="1"/>
    <col min="5147" max="5147" width="5.25" style="3195" customWidth="1"/>
    <col min="5148" max="5148" width="3.5" style="3195" customWidth="1"/>
    <col min="5149" max="5149" width="4.375" style="3195" customWidth="1"/>
    <col min="5150" max="5376" width="7.875" style="3195"/>
    <col min="5377" max="5377" width="14.875" style="3195" customWidth="1"/>
    <col min="5378" max="5378" width="26.25" style="3195" customWidth="1"/>
    <col min="5379" max="5381" width="5.25" style="3195" customWidth="1"/>
    <col min="5382" max="5382" width="6.125" style="3195" customWidth="1"/>
    <col min="5383" max="5383" width="14.875" style="3195" customWidth="1"/>
    <col min="5384" max="5384" width="7" style="3195" customWidth="1"/>
    <col min="5385" max="5385" width="5.25" style="3195" customWidth="1"/>
    <col min="5386" max="5386" width="7.875" style="3195"/>
    <col min="5387" max="5387" width="5.25" style="3195" customWidth="1"/>
    <col min="5388" max="5388" width="14.875" style="3195" customWidth="1"/>
    <col min="5389" max="5389" width="14" style="3195" customWidth="1"/>
    <col min="5390" max="5390" width="10.5" style="3195" customWidth="1"/>
    <col min="5391" max="5391" width="20.125" style="3195" customWidth="1"/>
    <col min="5392" max="5392" width="10.5" style="3195" customWidth="1"/>
    <col min="5393" max="5393" width="9.625" style="3195" customWidth="1"/>
    <col min="5394" max="5394" width="5.25" style="3195" customWidth="1"/>
    <col min="5395" max="5395" width="9.625" style="3195" customWidth="1"/>
    <col min="5396" max="5396" width="18.375" style="3195" customWidth="1"/>
    <col min="5397" max="5397" width="16.625" style="3195" customWidth="1"/>
    <col min="5398" max="5398" width="28" style="3195" customWidth="1"/>
    <col min="5399" max="5399" width="6.125" style="3195" customWidth="1"/>
    <col min="5400" max="5400" width="7" style="3195" customWidth="1"/>
    <col min="5401" max="5402" width="6.125" style="3195" customWidth="1"/>
    <col min="5403" max="5403" width="5.25" style="3195" customWidth="1"/>
    <col min="5404" max="5404" width="3.5" style="3195" customWidth="1"/>
    <col min="5405" max="5405" width="4.375" style="3195" customWidth="1"/>
    <col min="5406" max="5632" width="7.875" style="3195"/>
    <col min="5633" max="5633" width="14.875" style="3195" customWidth="1"/>
    <col min="5634" max="5634" width="26.25" style="3195" customWidth="1"/>
    <col min="5635" max="5637" width="5.25" style="3195" customWidth="1"/>
    <col min="5638" max="5638" width="6.125" style="3195" customWidth="1"/>
    <col min="5639" max="5639" width="14.875" style="3195" customWidth="1"/>
    <col min="5640" max="5640" width="7" style="3195" customWidth="1"/>
    <col min="5641" max="5641" width="5.25" style="3195" customWidth="1"/>
    <col min="5642" max="5642" width="7.875" style="3195"/>
    <col min="5643" max="5643" width="5.25" style="3195" customWidth="1"/>
    <col min="5644" max="5644" width="14.875" style="3195" customWidth="1"/>
    <col min="5645" max="5645" width="14" style="3195" customWidth="1"/>
    <col min="5646" max="5646" width="10.5" style="3195" customWidth="1"/>
    <col min="5647" max="5647" width="20.125" style="3195" customWidth="1"/>
    <col min="5648" max="5648" width="10.5" style="3195" customWidth="1"/>
    <col min="5649" max="5649" width="9.625" style="3195" customWidth="1"/>
    <col min="5650" max="5650" width="5.25" style="3195" customWidth="1"/>
    <col min="5651" max="5651" width="9.625" style="3195" customWidth="1"/>
    <col min="5652" max="5652" width="18.375" style="3195" customWidth="1"/>
    <col min="5653" max="5653" width="16.625" style="3195" customWidth="1"/>
    <col min="5654" max="5654" width="28" style="3195" customWidth="1"/>
    <col min="5655" max="5655" width="6.125" style="3195" customWidth="1"/>
    <col min="5656" max="5656" width="7" style="3195" customWidth="1"/>
    <col min="5657" max="5658" width="6.125" style="3195" customWidth="1"/>
    <col min="5659" max="5659" width="5.25" style="3195" customWidth="1"/>
    <col min="5660" max="5660" width="3.5" style="3195" customWidth="1"/>
    <col min="5661" max="5661" width="4.375" style="3195" customWidth="1"/>
    <col min="5662" max="5888" width="7.875" style="3195"/>
    <col min="5889" max="5889" width="14.875" style="3195" customWidth="1"/>
    <col min="5890" max="5890" width="26.25" style="3195" customWidth="1"/>
    <col min="5891" max="5893" width="5.25" style="3195" customWidth="1"/>
    <col min="5894" max="5894" width="6.125" style="3195" customWidth="1"/>
    <col min="5895" max="5895" width="14.875" style="3195" customWidth="1"/>
    <col min="5896" max="5896" width="7" style="3195" customWidth="1"/>
    <col min="5897" max="5897" width="5.25" style="3195" customWidth="1"/>
    <col min="5898" max="5898" width="7.875" style="3195"/>
    <col min="5899" max="5899" width="5.25" style="3195" customWidth="1"/>
    <col min="5900" max="5900" width="14.875" style="3195" customWidth="1"/>
    <col min="5901" max="5901" width="14" style="3195" customWidth="1"/>
    <col min="5902" max="5902" width="10.5" style="3195" customWidth="1"/>
    <col min="5903" max="5903" width="20.125" style="3195" customWidth="1"/>
    <col min="5904" max="5904" width="10.5" style="3195" customWidth="1"/>
    <col min="5905" max="5905" width="9.625" style="3195" customWidth="1"/>
    <col min="5906" max="5906" width="5.25" style="3195" customWidth="1"/>
    <col min="5907" max="5907" width="9.625" style="3195" customWidth="1"/>
    <col min="5908" max="5908" width="18.375" style="3195" customWidth="1"/>
    <col min="5909" max="5909" width="16.625" style="3195" customWidth="1"/>
    <col min="5910" max="5910" width="28" style="3195" customWidth="1"/>
    <col min="5911" max="5911" width="6.125" style="3195" customWidth="1"/>
    <col min="5912" max="5912" width="7" style="3195" customWidth="1"/>
    <col min="5913" max="5914" width="6.125" style="3195" customWidth="1"/>
    <col min="5915" max="5915" width="5.25" style="3195" customWidth="1"/>
    <col min="5916" max="5916" width="3.5" style="3195" customWidth="1"/>
    <col min="5917" max="5917" width="4.375" style="3195" customWidth="1"/>
    <col min="5918" max="6144" width="7.875" style="3195"/>
    <col min="6145" max="6145" width="14.875" style="3195" customWidth="1"/>
    <col min="6146" max="6146" width="26.25" style="3195" customWidth="1"/>
    <col min="6147" max="6149" width="5.25" style="3195" customWidth="1"/>
    <col min="6150" max="6150" width="6.125" style="3195" customWidth="1"/>
    <col min="6151" max="6151" width="14.875" style="3195" customWidth="1"/>
    <col min="6152" max="6152" width="7" style="3195" customWidth="1"/>
    <col min="6153" max="6153" width="5.25" style="3195" customWidth="1"/>
    <col min="6154" max="6154" width="7.875" style="3195"/>
    <col min="6155" max="6155" width="5.25" style="3195" customWidth="1"/>
    <col min="6156" max="6156" width="14.875" style="3195" customWidth="1"/>
    <col min="6157" max="6157" width="14" style="3195" customWidth="1"/>
    <col min="6158" max="6158" width="10.5" style="3195" customWidth="1"/>
    <col min="6159" max="6159" width="20.125" style="3195" customWidth="1"/>
    <col min="6160" max="6160" width="10.5" style="3195" customWidth="1"/>
    <col min="6161" max="6161" width="9.625" style="3195" customWidth="1"/>
    <col min="6162" max="6162" width="5.25" style="3195" customWidth="1"/>
    <col min="6163" max="6163" width="9.625" style="3195" customWidth="1"/>
    <col min="6164" max="6164" width="18.375" style="3195" customWidth="1"/>
    <col min="6165" max="6165" width="16.625" style="3195" customWidth="1"/>
    <col min="6166" max="6166" width="28" style="3195" customWidth="1"/>
    <col min="6167" max="6167" width="6.125" style="3195" customWidth="1"/>
    <col min="6168" max="6168" width="7" style="3195" customWidth="1"/>
    <col min="6169" max="6170" width="6.125" style="3195" customWidth="1"/>
    <col min="6171" max="6171" width="5.25" style="3195" customWidth="1"/>
    <col min="6172" max="6172" width="3.5" style="3195" customWidth="1"/>
    <col min="6173" max="6173" width="4.375" style="3195" customWidth="1"/>
    <col min="6174" max="6400" width="7.875" style="3195"/>
    <col min="6401" max="6401" width="14.875" style="3195" customWidth="1"/>
    <col min="6402" max="6402" width="26.25" style="3195" customWidth="1"/>
    <col min="6403" max="6405" width="5.25" style="3195" customWidth="1"/>
    <col min="6406" max="6406" width="6.125" style="3195" customWidth="1"/>
    <col min="6407" max="6407" width="14.875" style="3195" customWidth="1"/>
    <col min="6408" max="6408" width="7" style="3195" customWidth="1"/>
    <col min="6409" max="6409" width="5.25" style="3195" customWidth="1"/>
    <col min="6410" max="6410" width="7.875" style="3195"/>
    <col min="6411" max="6411" width="5.25" style="3195" customWidth="1"/>
    <col min="6412" max="6412" width="14.875" style="3195" customWidth="1"/>
    <col min="6413" max="6413" width="14" style="3195" customWidth="1"/>
    <col min="6414" max="6414" width="10.5" style="3195" customWidth="1"/>
    <col min="6415" max="6415" width="20.125" style="3195" customWidth="1"/>
    <col min="6416" max="6416" width="10.5" style="3195" customWidth="1"/>
    <col min="6417" max="6417" width="9.625" style="3195" customWidth="1"/>
    <col min="6418" max="6418" width="5.25" style="3195" customWidth="1"/>
    <col min="6419" max="6419" width="9.625" style="3195" customWidth="1"/>
    <col min="6420" max="6420" width="18.375" style="3195" customWidth="1"/>
    <col min="6421" max="6421" width="16.625" style="3195" customWidth="1"/>
    <col min="6422" max="6422" width="28" style="3195" customWidth="1"/>
    <col min="6423" max="6423" width="6.125" style="3195" customWidth="1"/>
    <col min="6424" max="6424" width="7" style="3195" customWidth="1"/>
    <col min="6425" max="6426" width="6.125" style="3195" customWidth="1"/>
    <col min="6427" max="6427" width="5.25" style="3195" customWidth="1"/>
    <col min="6428" max="6428" width="3.5" style="3195" customWidth="1"/>
    <col min="6429" max="6429" width="4.375" style="3195" customWidth="1"/>
    <col min="6430" max="6656" width="7.875" style="3195"/>
    <col min="6657" max="6657" width="14.875" style="3195" customWidth="1"/>
    <col min="6658" max="6658" width="26.25" style="3195" customWidth="1"/>
    <col min="6659" max="6661" width="5.25" style="3195" customWidth="1"/>
    <col min="6662" max="6662" width="6.125" style="3195" customWidth="1"/>
    <col min="6663" max="6663" width="14.875" style="3195" customWidth="1"/>
    <col min="6664" max="6664" width="7" style="3195" customWidth="1"/>
    <col min="6665" max="6665" width="5.25" style="3195" customWidth="1"/>
    <col min="6666" max="6666" width="7.875" style="3195"/>
    <col min="6667" max="6667" width="5.25" style="3195" customWidth="1"/>
    <col min="6668" max="6668" width="14.875" style="3195" customWidth="1"/>
    <col min="6669" max="6669" width="14" style="3195" customWidth="1"/>
    <col min="6670" max="6670" width="10.5" style="3195" customWidth="1"/>
    <col min="6671" max="6671" width="20.125" style="3195" customWidth="1"/>
    <col min="6672" max="6672" width="10.5" style="3195" customWidth="1"/>
    <col min="6673" max="6673" width="9.625" style="3195" customWidth="1"/>
    <col min="6674" max="6674" width="5.25" style="3195" customWidth="1"/>
    <col min="6675" max="6675" width="9.625" style="3195" customWidth="1"/>
    <col min="6676" max="6676" width="18.375" style="3195" customWidth="1"/>
    <col min="6677" max="6677" width="16.625" style="3195" customWidth="1"/>
    <col min="6678" max="6678" width="28" style="3195" customWidth="1"/>
    <col min="6679" max="6679" width="6.125" style="3195" customWidth="1"/>
    <col min="6680" max="6680" width="7" style="3195" customWidth="1"/>
    <col min="6681" max="6682" width="6.125" style="3195" customWidth="1"/>
    <col min="6683" max="6683" width="5.25" style="3195" customWidth="1"/>
    <col min="6684" max="6684" width="3.5" style="3195" customWidth="1"/>
    <col min="6685" max="6685" width="4.375" style="3195" customWidth="1"/>
    <col min="6686" max="6912" width="7.875" style="3195"/>
    <col min="6913" max="6913" width="14.875" style="3195" customWidth="1"/>
    <col min="6914" max="6914" width="26.25" style="3195" customWidth="1"/>
    <col min="6915" max="6917" width="5.25" style="3195" customWidth="1"/>
    <col min="6918" max="6918" width="6.125" style="3195" customWidth="1"/>
    <col min="6919" max="6919" width="14.875" style="3195" customWidth="1"/>
    <col min="6920" max="6920" width="7" style="3195" customWidth="1"/>
    <col min="6921" max="6921" width="5.25" style="3195" customWidth="1"/>
    <col min="6922" max="6922" width="7.875" style="3195"/>
    <col min="6923" max="6923" width="5.25" style="3195" customWidth="1"/>
    <col min="6924" max="6924" width="14.875" style="3195" customWidth="1"/>
    <col min="6925" max="6925" width="14" style="3195" customWidth="1"/>
    <col min="6926" max="6926" width="10.5" style="3195" customWidth="1"/>
    <col min="6927" max="6927" width="20.125" style="3195" customWidth="1"/>
    <col min="6928" max="6928" width="10.5" style="3195" customWidth="1"/>
    <col min="6929" max="6929" width="9.625" style="3195" customWidth="1"/>
    <col min="6930" max="6930" width="5.25" style="3195" customWidth="1"/>
    <col min="6931" max="6931" width="9.625" style="3195" customWidth="1"/>
    <col min="6932" max="6932" width="18.375" style="3195" customWidth="1"/>
    <col min="6933" max="6933" width="16.625" style="3195" customWidth="1"/>
    <col min="6934" max="6934" width="28" style="3195" customWidth="1"/>
    <col min="6935" max="6935" width="6.125" style="3195" customWidth="1"/>
    <col min="6936" max="6936" width="7" style="3195" customWidth="1"/>
    <col min="6937" max="6938" width="6.125" style="3195" customWidth="1"/>
    <col min="6939" max="6939" width="5.25" style="3195" customWidth="1"/>
    <col min="6940" max="6940" width="3.5" style="3195" customWidth="1"/>
    <col min="6941" max="6941" width="4.375" style="3195" customWidth="1"/>
    <col min="6942" max="7168" width="7.875" style="3195"/>
    <col min="7169" max="7169" width="14.875" style="3195" customWidth="1"/>
    <col min="7170" max="7170" width="26.25" style="3195" customWidth="1"/>
    <col min="7171" max="7173" width="5.25" style="3195" customWidth="1"/>
    <col min="7174" max="7174" width="6.125" style="3195" customWidth="1"/>
    <col min="7175" max="7175" width="14.875" style="3195" customWidth="1"/>
    <col min="7176" max="7176" width="7" style="3195" customWidth="1"/>
    <col min="7177" max="7177" width="5.25" style="3195" customWidth="1"/>
    <col min="7178" max="7178" width="7.875" style="3195"/>
    <col min="7179" max="7179" width="5.25" style="3195" customWidth="1"/>
    <col min="7180" max="7180" width="14.875" style="3195" customWidth="1"/>
    <col min="7181" max="7181" width="14" style="3195" customWidth="1"/>
    <col min="7182" max="7182" width="10.5" style="3195" customWidth="1"/>
    <col min="7183" max="7183" width="20.125" style="3195" customWidth="1"/>
    <col min="7184" max="7184" width="10.5" style="3195" customWidth="1"/>
    <col min="7185" max="7185" width="9.625" style="3195" customWidth="1"/>
    <col min="7186" max="7186" width="5.25" style="3195" customWidth="1"/>
    <col min="7187" max="7187" width="9.625" style="3195" customWidth="1"/>
    <col min="7188" max="7188" width="18.375" style="3195" customWidth="1"/>
    <col min="7189" max="7189" width="16.625" style="3195" customWidth="1"/>
    <col min="7190" max="7190" width="28" style="3195" customWidth="1"/>
    <col min="7191" max="7191" width="6.125" style="3195" customWidth="1"/>
    <col min="7192" max="7192" width="7" style="3195" customWidth="1"/>
    <col min="7193" max="7194" width="6.125" style="3195" customWidth="1"/>
    <col min="7195" max="7195" width="5.25" style="3195" customWidth="1"/>
    <col min="7196" max="7196" width="3.5" style="3195" customWidth="1"/>
    <col min="7197" max="7197" width="4.375" style="3195" customWidth="1"/>
    <col min="7198" max="7424" width="7.875" style="3195"/>
    <col min="7425" max="7425" width="14.875" style="3195" customWidth="1"/>
    <col min="7426" max="7426" width="26.25" style="3195" customWidth="1"/>
    <col min="7427" max="7429" width="5.25" style="3195" customWidth="1"/>
    <col min="7430" max="7430" width="6.125" style="3195" customWidth="1"/>
    <col min="7431" max="7431" width="14.875" style="3195" customWidth="1"/>
    <col min="7432" max="7432" width="7" style="3195" customWidth="1"/>
    <col min="7433" max="7433" width="5.25" style="3195" customWidth="1"/>
    <col min="7434" max="7434" width="7.875" style="3195"/>
    <col min="7435" max="7435" width="5.25" style="3195" customWidth="1"/>
    <col min="7436" max="7436" width="14.875" style="3195" customWidth="1"/>
    <col min="7437" max="7437" width="14" style="3195" customWidth="1"/>
    <col min="7438" max="7438" width="10.5" style="3195" customWidth="1"/>
    <col min="7439" max="7439" width="20.125" style="3195" customWidth="1"/>
    <col min="7440" max="7440" width="10.5" style="3195" customWidth="1"/>
    <col min="7441" max="7441" width="9.625" style="3195" customWidth="1"/>
    <col min="7442" max="7442" width="5.25" style="3195" customWidth="1"/>
    <col min="7443" max="7443" width="9.625" style="3195" customWidth="1"/>
    <col min="7444" max="7444" width="18.375" style="3195" customWidth="1"/>
    <col min="7445" max="7445" width="16.625" style="3195" customWidth="1"/>
    <col min="7446" max="7446" width="28" style="3195" customWidth="1"/>
    <col min="7447" max="7447" width="6.125" style="3195" customWidth="1"/>
    <col min="7448" max="7448" width="7" style="3195" customWidth="1"/>
    <col min="7449" max="7450" width="6.125" style="3195" customWidth="1"/>
    <col min="7451" max="7451" width="5.25" style="3195" customWidth="1"/>
    <col min="7452" max="7452" width="3.5" style="3195" customWidth="1"/>
    <col min="7453" max="7453" width="4.375" style="3195" customWidth="1"/>
    <col min="7454" max="7680" width="7.875" style="3195"/>
    <col min="7681" max="7681" width="14.875" style="3195" customWidth="1"/>
    <col min="7682" max="7682" width="26.25" style="3195" customWidth="1"/>
    <col min="7683" max="7685" width="5.25" style="3195" customWidth="1"/>
    <col min="7686" max="7686" width="6.125" style="3195" customWidth="1"/>
    <col min="7687" max="7687" width="14.875" style="3195" customWidth="1"/>
    <col min="7688" max="7688" width="7" style="3195" customWidth="1"/>
    <col min="7689" max="7689" width="5.25" style="3195" customWidth="1"/>
    <col min="7690" max="7690" width="7.875" style="3195"/>
    <col min="7691" max="7691" width="5.25" style="3195" customWidth="1"/>
    <col min="7692" max="7692" width="14.875" style="3195" customWidth="1"/>
    <col min="7693" max="7693" width="14" style="3195" customWidth="1"/>
    <col min="7694" max="7694" width="10.5" style="3195" customWidth="1"/>
    <col min="7695" max="7695" width="20.125" style="3195" customWidth="1"/>
    <col min="7696" max="7696" width="10.5" style="3195" customWidth="1"/>
    <col min="7697" max="7697" width="9.625" style="3195" customWidth="1"/>
    <col min="7698" max="7698" width="5.25" style="3195" customWidth="1"/>
    <col min="7699" max="7699" width="9.625" style="3195" customWidth="1"/>
    <col min="7700" max="7700" width="18.375" style="3195" customWidth="1"/>
    <col min="7701" max="7701" width="16.625" style="3195" customWidth="1"/>
    <col min="7702" max="7702" width="28" style="3195" customWidth="1"/>
    <col min="7703" max="7703" width="6.125" style="3195" customWidth="1"/>
    <col min="7704" max="7704" width="7" style="3195" customWidth="1"/>
    <col min="7705" max="7706" width="6.125" style="3195" customWidth="1"/>
    <col min="7707" max="7707" width="5.25" style="3195" customWidth="1"/>
    <col min="7708" max="7708" width="3.5" style="3195" customWidth="1"/>
    <col min="7709" max="7709" width="4.375" style="3195" customWidth="1"/>
    <col min="7710" max="7936" width="7.875" style="3195"/>
    <col min="7937" max="7937" width="14.875" style="3195" customWidth="1"/>
    <col min="7938" max="7938" width="26.25" style="3195" customWidth="1"/>
    <col min="7939" max="7941" width="5.25" style="3195" customWidth="1"/>
    <col min="7942" max="7942" width="6.125" style="3195" customWidth="1"/>
    <col min="7943" max="7943" width="14.875" style="3195" customWidth="1"/>
    <col min="7944" max="7944" width="7" style="3195" customWidth="1"/>
    <col min="7945" max="7945" width="5.25" style="3195" customWidth="1"/>
    <col min="7946" max="7946" width="7.875" style="3195"/>
    <col min="7947" max="7947" width="5.25" style="3195" customWidth="1"/>
    <col min="7948" max="7948" width="14.875" style="3195" customWidth="1"/>
    <col min="7949" max="7949" width="14" style="3195" customWidth="1"/>
    <col min="7950" max="7950" width="10.5" style="3195" customWidth="1"/>
    <col min="7951" max="7951" width="20.125" style="3195" customWidth="1"/>
    <col min="7952" max="7952" width="10.5" style="3195" customWidth="1"/>
    <col min="7953" max="7953" width="9.625" style="3195" customWidth="1"/>
    <col min="7954" max="7954" width="5.25" style="3195" customWidth="1"/>
    <col min="7955" max="7955" width="9.625" style="3195" customWidth="1"/>
    <col min="7956" max="7956" width="18.375" style="3195" customWidth="1"/>
    <col min="7957" max="7957" width="16.625" style="3195" customWidth="1"/>
    <col min="7958" max="7958" width="28" style="3195" customWidth="1"/>
    <col min="7959" max="7959" width="6.125" style="3195" customWidth="1"/>
    <col min="7960" max="7960" width="7" style="3195" customWidth="1"/>
    <col min="7961" max="7962" width="6.125" style="3195" customWidth="1"/>
    <col min="7963" max="7963" width="5.25" style="3195" customWidth="1"/>
    <col min="7964" max="7964" width="3.5" style="3195" customWidth="1"/>
    <col min="7965" max="7965" width="4.375" style="3195" customWidth="1"/>
    <col min="7966" max="8192" width="7.875" style="3195"/>
    <col min="8193" max="8193" width="14.875" style="3195" customWidth="1"/>
    <col min="8194" max="8194" width="26.25" style="3195" customWidth="1"/>
    <col min="8195" max="8197" width="5.25" style="3195" customWidth="1"/>
    <col min="8198" max="8198" width="6.125" style="3195" customWidth="1"/>
    <col min="8199" max="8199" width="14.875" style="3195" customWidth="1"/>
    <col min="8200" max="8200" width="7" style="3195" customWidth="1"/>
    <col min="8201" max="8201" width="5.25" style="3195" customWidth="1"/>
    <col min="8202" max="8202" width="7.875" style="3195"/>
    <col min="8203" max="8203" width="5.25" style="3195" customWidth="1"/>
    <col min="8204" max="8204" width="14.875" style="3195" customWidth="1"/>
    <col min="8205" max="8205" width="14" style="3195" customWidth="1"/>
    <col min="8206" max="8206" width="10.5" style="3195" customWidth="1"/>
    <col min="8207" max="8207" width="20.125" style="3195" customWidth="1"/>
    <col min="8208" max="8208" width="10.5" style="3195" customWidth="1"/>
    <col min="8209" max="8209" width="9.625" style="3195" customWidth="1"/>
    <col min="8210" max="8210" width="5.25" style="3195" customWidth="1"/>
    <col min="8211" max="8211" width="9.625" style="3195" customWidth="1"/>
    <col min="8212" max="8212" width="18.375" style="3195" customWidth="1"/>
    <col min="8213" max="8213" width="16.625" style="3195" customWidth="1"/>
    <col min="8214" max="8214" width="28" style="3195" customWidth="1"/>
    <col min="8215" max="8215" width="6.125" style="3195" customWidth="1"/>
    <col min="8216" max="8216" width="7" style="3195" customWidth="1"/>
    <col min="8217" max="8218" width="6.125" style="3195" customWidth="1"/>
    <col min="8219" max="8219" width="5.25" style="3195" customWidth="1"/>
    <col min="8220" max="8220" width="3.5" style="3195" customWidth="1"/>
    <col min="8221" max="8221" width="4.375" style="3195" customWidth="1"/>
    <col min="8222" max="8448" width="7.875" style="3195"/>
    <col min="8449" max="8449" width="14.875" style="3195" customWidth="1"/>
    <col min="8450" max="8450" width="26.25" style="3195" customWidth="1"/>
    <col min="8451" max="8453" width="5.25" style="3195" customWidth="1"/>
    <col min="8454" max="8454" width="6.125" style="3195" customWidth="1"/>
    <col min="8455" max="8455" width="14.875" style="3195" customWidth="1"/>
    <col min="8456" max="8456" width="7" style="3195" customWidth="1"/>
    <col min="8457" max="8457" width="5.25" style="3195" customWidth="1"/>
    <col min="8458" max="8458" width="7.875" style="3195"/>
    <col min="8459" max="8459" width="5.25" style="3195" customWidth="1"/>
    <col min="8460" max="8460" width="14.875" style="3195" customWidth="1"/>
    <col min="8461" max="8461" width="14" style="3195" customWidth="1"/>
    <col min="8462" max="8462" width="10.5" style="3195" customWidth="1"/>
    <col min="8463" max="8463" width="20.125" style="3195" customWidth="1"/>
    <col min="8464" max="8464" width="10.5" style="3195" customWidth="1"/>
    <col min="8465" max="8465" width="9.625" style="3195" customWidth="1"/>
    <col min="8466" max="8466" width="5.25" style="3195" customWidth="1"/>
    <col min="8467" max="8467" width="9.625" style="3195" customWidth="1"/>
    <col min="8468" max="8468" width="18.375" style="3195" customWidth="1"/>
    <col min="8469" max="8469" width="16.625" style="3195" customWidth="1"/>
    <col min="8470" max="8470" width="28" style="3195" customWidth="1"/>
    <col min="8471" max="8471" width="6.125" style="3195" customWidth="1"/>
    <col min="8472" max="8472" width="7" style="3195" customWidth="1"/>
    <col min="8473" max="8474" width="6.125" style="3195" customWidth="1"/>
    <col min="8475" max="8475" width="5.25" style="3195" customWidth="1"/>
    <col min="8476" max="8476" width="3.5" style="3195" customWidth="1"/>
    <col min="8477" max="8477" width="4.375" style="3195" customWidth="1"/>
    <col min="8478" max="8704" width="7.875" style="3195"/>
    <col min="8705" max="8705" width="14.875" style="3195" customWidth="1"/>
    <col min="8706" max="8706" width="26.25" style="3195" customWidth="1"/>
    <col min="8707" max="8709" width="5.25" style="3195" customWidth="1"/>
    <col min="8710" max="8710" width="6.125" style="3195" customWidth="1"/>
    <col min="8711" max="8711" width="14.875" style="3195" customWidth="1"/>
    <col min="8712" max="8712" width="7" style="3195" customWidth="1"/>
    <col min="8713" max="8713" width="5.25" style="3195" customWidth="1"/>
    <col min="8714" max="8714" width="7.875" style="3195"/>
    <col min="8715" max="8715" width="5.25" style="3195" customWidth="1"/>
    <col min="8716" max="8716" width="14.875" style="3195" customWidth="1"/>
    <col min="8717" max="8717" width="14" style="3195" customWidth="1"/>
    <col min="8718" max="8718" width="10.5" style="3195" customWidth="1"/>
    <col min="8719" max="8719" width="20.125" style="3195" customWidth="1"/>
    <col min="8720" max="8720" width="10.5" style="3195" customWidth="1"/>
    <col min="8721" max="8721" width="9.625" style="3195" customWidth="1"/>
    <col min="8722" max="8722" width="5.25" style="3195" customWidth="1"/>
    <col min="8723" max="8723" width="9.625" style="3195" customWidth="1"/>
    <col min="8724" max="8724" width="18.375" style="3195" customWidth="1"/>
    <col min="8725" max="8725" width="16.625" style="3195" customWidth="1"/>
    <col min="8726" max="8726" width="28" style="3195" customWidth="1"/>
    <col min="8727" max="8727" width="6.125" style="3195" customWidth="1"/>
    <col min="8728" max="8728" width="7" style="3195" customWidth="1"/>
    <col min="8729" max="8730" width="6.125" style="3195" customWidth="1"/>
    <col min="8731" max="8731" width="5.25" style="3195" customWidth="1"/>
    <col min="8732" max="8732" width="3.5" style="3195" customWidth="1"/>
    <col min="8733" max="8733" width="4.375" style="3195" customWidth="1"/>
    <col min="8734" max="8960" width="7.875" style="3195"/>
    <col min="8961" max="8961" width="14.875" style="3195" customWidth="1"/>
    <col min="8962" max="8962" width="26.25" style="3195" customWidth="1"/>
    <col min="8963" max="8965" width="5.25" style="3195" customWidth="1"/>
    <col min="8966" max="8966" width="6.125" style="3195" customWidth="1"/>
    <col min="8967" max="8967" width="14.875" style="3195" customWidth="1"/>
    <col min="8968" max="8968" width="7" style="3195" customWidth="1"/>
    <col min="8969" max="8969" width="5.25" style="3195" customWidth="1"/>
    <col min="8970" max="8970" width="7.875" style="3195"/>
    <col min="8971" max="8971" width="5.25" style="3195" customWidth="1"/>
    <col min="8972" max="8972" width="14.875" style="3195" customWidth="1"/>
    <col min="8973" max="8973" width="14" style="3195" customWidth="1"/>
    <col min="8974" max="8974" width="10.5" style="3195" customWidth="1"/>
    <col min="8975" max="8975" width="20.125" style="3195" customWidth="1"/>
    <col min="8976" max="8976" width="10.5" style="3195" customWidth="1"/>
    <col min="8977" max="8977" width="9.625" style="3195" customWidth="1"/>
    <col min="8978" max="8978" width="5.25" style="3195" customWidth="1"/>
    <col min="8979" max="8979" width="9.625" style="3195" customWidth="1"/>
    <col min="8980" max="8980" width="18.375" style="3195" customWidth="1"/>
    <col min="8981" max="8981" width="16.625" style="3195" customWidth="1"/>
    <col min="8982" max="8982" width="28" style="3195" customWidth="1"/>
    <col min="8983" max="8983" width="6.125" style="3195" customWidth="1"/>
    <col min="8984" max="8984" width="7" style="3195" customWidth="1"/>
    <col min="8985" max="8986" width="6.125" style="3195" customWidth="1"/>
    <col min="8987" max="8987" width="5.25" style="3195" customWidth="1"/>
    <col min="8988" max="8988" width="3.5" style="3195" customWidth="1"/>
    <col min="8989" max="8989" width="4.375" style="3195" customWidth="1"/>
    <col min="8990" max="9216" width="7.875" style="3195"/>
    <col min="9217" max="9217" width="14.875" style="3195" customWidth="1"/>
    <col min="9218" max="9218" width="26.25" style="3195" customWidth="1"/>
    <col min="9219" max="9221" width="5.25" style="3195" customWidth="1"/>
    <col min="9222" max="9222" width="6.125" style="3195" customWidth="1"/>
    <col min="9223" max="9223" width="14.875" style="3195" customWidth="1"/>
    <col min="9224" max="9224" width="7" style="3195" customWidth="1"/>
    <col min="9225" max="9225" width="5.25" style="3195" customWidth="1"/>
    <col min="9226" max="9226" width="7.875" style="3195"/>
    <col min="9227" max="9227" width="5.25" style="3195" customWidth="1"/>
    <col min="9228" max="9228" width="14.875" style="3195" customWidth="1"/>
    <col min="9229" max="9229" width="14" style="3195" customWidth="1"/>
    <col min="9230" max="9230" width="10.5" style="3195" customWidth="1"/>
    <col min="9231" max="9231" width="20.125" style="3195" customWidth="1"/>
    <col min="9232" max="9232" width="10.5" style="3195" customWidth="1"/>
    <col min="9233" max="9233" width="9.625" style="3195" customWidth="1"/>
    <col min="9234" max="9234" width="5.25" style="3195" customWidth="1"/>
    <col min="9235" max="9235" width="9.625" style="3195" customWidth="1"/>
    <col min="9236" max="9236" width="18.375" style="3195" customWidth="1"/>
    <col min="9237" max="9237" width="16.625" style="3195" customWidth="1"/>
    <col min="9238" max="9238" width="28" style="3195" customWidth="1"/>
    <col min="9239" max="9239" width="6.125" style="3195" customWidth="1"/>
    <col min="9240" max="9240" width="7" style="3195" customWidth="1"/>
    <col min="9241" max="9242" width="6.125" style="3195" customWidth="1"/>
    <col min="9243" max="9243" width="5.25" style="3195" customWidth="1"/>
    <col min="9244" max="9244" width="3.5" style="3195" customWidth="1"/>
    <col min="9245" max="9245" width="4.375" style="3195" customWidth="1"/>
    <col min="9246" max="9472" width="7.875" style="3195"/>
    <col min="9473" max="9473" width="14.875" style="3195" customWidth="1"/>
    <col min="9474" max="9474" width="26.25" style="3195" customWidth="1"/>
    <col min="9475" max="9477" width="5.25" style="3195" customWidth="1"/>
    <col min="9478" max="9478" width="6.125" style="3195" customWidth="1"/>
    <col min="9479" max="9479" width="14.875" style="3195" customWidth="1"/>
    <col min="9480" max="9480" width="7" style="3195" customWidth="1"/>
    <col min="9481" max="9481" width="5.25" style="3195" customWidth="1"/>
    <col min="9482" max="9482" width="7.875" style="3195"/>
    <col min="9483" max="9483" width="5.25" style="3195" customWidth="1"/>
    <col min="9484" max="9484" width="14.875" style="3195" customWidth="1"/>
    <col min="9485" max="9485" width="14" style="3195" customWidth="1"/>
    <col min="9486" max="9486" width="10.5" style="3195" customWidth="1"/>
    <col min="9487" max="9487" width="20.125" style="3195" customWidth="1"/>
    <col min="9488" max="9488" width="10.5" style="3195" customWidth="1"/>
    <col min="9489" max="9489" width="9.625" style="3195" customWidth="1"/>
    <col min="9490" max="9490" width="5.25" style="3195" customWidth="1"/>
    <col min="9491" max="9491" width="9.625" style="3195" customWidth="1"/>
    <col min="9492" max="9492" width="18.375" style="3195" customWidth="1"/>
    <col min="9493" max="9493" width="16.625" style="3195" customWidth="1"/>
    <col min="9494" max="9494" width="28" style="3195" customWidth="1"/>
    <col min="9495" max="9495" width="6.125" style="3195" customWidth="1"/>
    <col min="9496" max="9496" width="7" style="3195" customWidth="1"/>
    <col min="9497" max="9498" width="6.125" style="3195" customWidth="1"/>
    <col min="9499" max="9499" width="5.25" style="3195" customWidth="1"/>
    <col min="9500" max="9500" width="3.5" style="3195" customWidth="1"/>
    <col min="9501" max="9501" width="4.375" style="3195" customWidth="1"/>
    <col min="9502" max="9728" width="7.875" style="3195"/>
    <col min="9729" max="9729" width="14.875" style="3195" customWidth="1"/>
    <col min="9730" max="9730" width="26.25" style="3195" customWidth="1"/>
    <col min="9731" max="9733" width="5.25" style="3195" customWidth="1"/>
    <col min="9734" max="9734" width="6.125" style="3195" customWidth="1"/>
    <col min="9735" max="9735" width="14.875" style="3195" customWidth="1"/>
    <col min="9736" max="9736" width="7" style="3195" customWidth="1"/>
    <col min="9737" max="9737" width="5.25" style="3195" customWidth="1"/>
    <col min="9738" max="9738" width="7.875" style="3195"/>
    <col min="9739" max="9739" width="5.25" style="3195" customWidth="1"/>
    <col min="9740" max="9740" width="14.875" style="3195" customWidth="1"/>
    <col min="9741" max="9741" width="14" style="3195" customWidth="1"/>
    <col min="9742" max="9742" width="10.5" style="3195" customWidth="1"/>
    <col min="9743" max="9743" width="20.125" style="3195" customWidth="1"/>
    <col min="9744" max="9744" width="10.5" style="3195" customWidth="1"/>
    <col min="9745" max="9745" width="9.625" style="3195" customWidth="1"/>
    <col min="9746" max="9746" width="5.25" style="3195" customWidth="1"/>
    <col min="9747" max="9747" width="9.625" style="3195" customWidth="1"/>
    <col min="9748" max="9748" width="18.375" style="3195" customWidth="1"/>
    <col min="9749" max="9749" width="16.625" style="3195" customWidth="1"/>
    <col min="9750" max="9750" width="28" style="3195" customWidth="1"/>
    <col min="9751" max="9751" width="6.125" style="3195" customWidth="1"/>
    <col min="9752" max="9752" width="7" style="3195" customWidth="1"/>
    <col min="9753" max="9754" width="6.125" style="3195" customWidth="1"/>
    <col min="9755" max="9755" width="5.25" style="3195" customWidth="1"/>
    <col min="9756" max="9756" width="3.5" style="3195" customWidth="1"/>
    <col min="9757" max="9757" width="4.375" style="3195" customWidth="1"/>
    <col min="9758" max="9984" width="7.875" style="3195"/>
    <col min="9985" max="9985" width="14.875" style="3195" customWidth="1"/>
    <col min="9986" max="9986" width="26.25" style="3195" customWidth="1"/>
    <col min="9987" max="9989" width="5.25" style="3195" customWidth="1"/>
    <col min="9990" max="9990" width="6.125" style="3195" customWidth="1"/>
    <col min="9991" max="9991" width="14.875" style="3195" customWidth="1"/>
    <col min="9992" max="9992" width="7" style="3195" customWidth="1"/>
    <col min="9993" max="9993" width="5.25" style="3195" customWidth="1"/>
    <col min="9994" max="9994" width="7.875" style="3195"/>
    <col min="9995" max="9995" width="5.25" style="3195" customWidth="1"/>
    <col min="9996" max="9996" width="14.875" style="3195" customWidth="1"/>
    <col min="9997" max="9997" width="14" style="3195" customWidth="1"/>
    <col min="9998" max="9998" width="10.5" style="3195" customWidth="1"/>
    <col min="9999" max="9999" width="20.125" style="3195" customWidth="1"/>
    <col min="10000" max="10000" width="10.5" style="3195" customWidth="1"/>
    <col min="10001" max="10001" width="9.625" style="3195" customWidth="1"/>
    <col min="10002" max="10002" width="5.25" style="3195" customWidth="1"/>
    <col min="10003" max="10003" width="9.625" style="3195" customWidth="1"/>
    <col min="10004" max="10004" width="18.375" style="3195" customWidth="1"/>
    <col min="10005" max="10005" width="16.625" style="3195" customWidth="1"/>
    <col min="10006" max="10006" width="28" style="3195" customWidth="1"/>
    <col min="10007" max="10007" width="6.125" style="3195" customWidth="1"/>
    <col min="10008" max="10008" width="7" style="3195" customWidth="1"/>
    <col min="10009" max="10010" width="6.125" style="3195" customWidth="1"/>
    <col min="10011" max="10011" width="5.25" style="3195" customWidth="1"/>
    <col min="10012" max="10012" width="3.5" style="3195" customWidth="1"/>
    <col min="10013" max="10013" width="4.375" style="3195" customWidth="1"/>
    <col min="10014" max="10240" width="7.875" style="3195"/>
    <col min="10241" max="10241" width="14.875" style="3195" customWidth="1"/>
    <col min="10242" max="10242" width="26.25" style="3195" customWidth="1"/>
    <col min="10243" max="10245" width="5.25" style="3195" customWidth="1"/>
    <col min="10246" max="10246" width="6.125" style="3195" customWidth="1"/>
    <col min="10247" max="10247" width="14.875" style="3195" customWidth="1"/>
    <col min="10248" max="10248" width="7" style="3195" customWidth="1"/>
    <col min="10249" max="10249" width="5.25" style="3195" customWidth="1"/>
    <col min="10250" max="10250" width="7.875" style="3195"/>
    <col min="10251" max="10251" width="5.25" style="3195" customWidth="1"/>
    <col min="10252" max="10252" width="14.875" style="3195" customWidth="1"/>
    <col min="10253" max="10253" width="14" style="3195" customWidth="1"/>
    <col min="10254" max="10254" width="10.5" style="3195" customWidth="1"/>
    <col min="10255" max="10255" width="20.125" style="3195" customWidth="1"/>
    <col min="10256" max="10256" width="10.5" style="3195" customWidth="1"/>
    <col min="10257" max="10257" width="9.625" style="3195" customWidth="1"/>
    <col min="10258" max="10258" width="5.25" style="3195" customWidth="1"/>
    <col min="10259" max="10259" width="9.625" style="3195" customWidth="1"/>
    <col min="10260" max="10260" width="18.375" style="3195" customWidth="1"/>
    <col min="10261" max="10261" width="16.625" style="3195" customWidth="1"/>
    <col min="10262" max="10262" width="28" style="3195" customWidth="1"/>
    <col min="10263" max="10263" width="6.125" style="3195" customWidth="1"/>
    <col min="10264" max="10264" width="7" style="3195" customWidth="1"/>
    <col min="10265" max="10266" width="6.125" style="3195" customWidth="1"/>
    <col min="10267" max="10267" width="5.25" style="3195" customWidth="1"/>
    <col min="10268" max="10268" width="3.5" style="3195" customWidth="1"/>
    <col min="10269" max="10269" width="4.375" style="3195" customWidth="1"/>
    <col min="10270" max="10496" width="7.875" style="3195"/>
    <col min="10497" max="10497" width="14.875" style="3195" customWidth="1"/>
    <col min="10498" max="10498" width="26.25" style="3195" customWidth="1"/>
    <col min="10499" max="10501" width="5.25" style="3195" customWidth="1"/>
    <col min="10502" max="10502" width="6.125" style="3195" customWidth="1"/>
    <col min="10503" max="10503" width="14.875" style="3195" customWidth="1"/>
    <col min="10504" max="10504" width="7" style="3195" customWidth="1"/>
    <col min="10505" max="10505" width="5.25" style="3195" customWidth="1"/>
    <col min="10506" max="10506" width="7.875" style="3195"/>
    <col min="10507" max="10507" width="5.25" style="3195" customWidth="1"/>
    <col min="10508" max="10508" width="14.875" style="3195" customWidth="1"/>
    <col min="10509" max="10509" width="14" style="3195" customWidth="1"/>
    <col min="10510" max="10510" width="10.5" style="3195" customWidth="1"/>
    <col min="10511" max="10511" width="20.125" style="3195" customWidth="1"/>
    <col min="10512" max="10512" width="10.5" style="3195" customWidth="1"/>
    <col min="10513" max="10513" width="9.625" style="3195" customWidth="1"/>
    <col min="10514" max="10514" width="5.25" style="3195" customWidth="1"/>
    <col min="10515" max="10515" width="9.625" style="3195" customWidth="1"/>
    <col min="10516" max="10516" width="18.375" style="3195" customWidth="1"/>
    <col min="10517" max="10517" width="16.625" style="3195" customWidth="1"/>
    <col min="10518" max="10518" width="28" style="3195" customWidth="1"/>
    <col min="10519" max="10519" width="6.125" style="3195" customWidth="1"/>
    <col min="10520" max="10520" width="7" style="3195" customWidth="1"/>
    <col min="10521" max="10522" width="6.125" style="3195" customWidth="1"/>
    <col min="10523" max="10523" width="5.25" style="3195" customWidth="1"/>
    <col min="10524" max="10524" width="3.5" style="3195" customWidth="1"/>
    <col min="10525" max="10525" width="4.375" style="3195" customWidth="1"/>
    <col min="10526" max="10752" width="7.875" style="3195"/>
    <col min="10753" max="10753" width="14.875" style="3195" customWidth="1"/>
    <col min="10754" max="10754" width="26.25" style="3195" customWidth="1"/>
    <col min="10755" max="10757" width="5.25" style="3195" customWidth="1"/>
    <col min="10758" max="10758" width="6.125" style="3195" customWidth="1"/>
    <col min="10759" max="10759" width="14.875" style="3195" customWidth="1"/>
    <col min="10760" max="10760" width="7" style="3195" customWidth="1"/>
    <col min="10761" max="10761" width="5.25" style="3195" customWidth="1"/>
    <col min="10762" max="10762" width="7.875" style="3195"/>
    <col min="10763" max="10763" width="5.25" style="3195" customWidth="1"/>
    <col min="10764" max="10764" width="14.875" style="3195" customWidth="1"/>
    <col min="10765" max="10765" width="14" style="3195" customWidth="1"/>
    <col min="10766" max="10766" width="10.5" style="3195" customWidth="1"/>
    <col min="10767" max="10767" width="20.125" style="3195" customWidth="1"/>
    <col min="10768" max="10768" width="10.5" style="3195" customWidth="1"/>
    <col min="10769" max="10769" width="9.625" style="3195" customWidth="1"/>
    <col min="10770" max="10770" width="5.25" style="3195" customWidth="1"/>
    <col min="10771" max="10771" width="9.625" style="3195" customWidth="1"/>
    <col min="10772" max="10772" width="18.375" style="3195" customWidth="1"/>
    <col min="10773" max="10773" width="16.625" style="3195" customWidth="1"/>
    <col min="10774" max="10774" width="28" style="3195" customWidth="1"/>
    <col min="10775" max="10775" width="6.125" style="3195" customWidth="1"/>
    <col min="10776" max="10776" width="7" style="3195" customWidth="1"/>
    <col min="10777" max="10778" width="6.125" style="3195" customWidth="1"/>
    <col min="10779" max="10779" width="5.25" style="3195" customWidth="1"/>
    <col min="10780" max="10780" width="3.5" style="3195" customWidth="1"/>
    <col min="10781" max="10781" width="4.375" style="3195" customWidth="1"/>
    <col min="10782" max="11008" width="7.875" style="3195"/>
    <col min="11009" max="11009" width="14.875" style="3195" customWidth="1"/>
    <col min="11010" max="11010" width="26.25" style="3195" customWidth="1"/>
    <col min="11011" max="11013" width="5.25" style="3195" customWidth="1"/>
    <col min="11014" max="11014" width="6.125" style="3195" customWidth="1"/>
    <col min="11015" max="11015" width="14.875" style="3195" customWidth="1"/>
    <col min="11016" max="11016" width="7" style="3195" customWidth="1"/>
    <col min="11017" max="11017" width="5.25" style="3195" customWidth="1"/>
    <col min="11018" max="11018" width="7.875" style="3195"/>
    <col min="11019" max="11019" width="5.25" style="3195" customWidth="1"/>
    <col min="11020" max="11020" width="14.875" style="3195" customWidth="1"/>
    <col min="11021" max="11021" width="14" style="3195" customWidth="1"/>
    <col min="11022" max="11022" width="10.5" style="3195" customWidth="1"/>
    <col min="11023" max="11023" width="20.125" style="3195" customWidth="1"/>
    <col min="11024" max="11024" width="10.5" style="3195" customWidth="1"/>
    <col min="11025" max="11025" width="9.625" style="3195" customWidth="1"/>
    <col min="11026" max="11026" width="5.25" style="3195" customWidth="1"/>
    <col min="11027" max="11027" width="9.625" style="3195" customWidth="1"/>
    <col min="11028" max="11028" width="18.375" style="3195" customWidth="1"/>
    <col min="11029" max="11029" width="16.625" style="3195" customWidth="1"/>
    <col min="11030" max="11030" width="28" style="3195" customWidth="1"/>
    <col min="11031" max="11031" width="6.125" style="3195" customWidth="1"/>
    <col min="11032" max="11032" width="7" style="3195" customWidth="1"/>
    <col min="11033" max="11034" width="6.125" style="3195" customWidth="1"/>
    <col min="11035" max="11035" width="5.25" style="3195" customWidth="1"/>
    <col min="11036" max="11036" width="3.5" style="3195" customWidth="1"/>
    <col min="11037" max="11037" width="4.375" style="3195" customWidth="1"/>
    <col min="11038" max="11264" width="7.875" style="3195"/>
    <col min="11265" max="11265" width="14.875" style="3195" customWidth="1"/>
    <col min="11266" max="11266" width="26.25" style="3195" customWidth="1"/>
    <col min="11267" max="11269" width="5.25" style="3195" customWidth="1"/>
    <col min="11270" max="11270" width="6.125" style="3195" customWidth="1"/>
    <col min="11271" max="11271" width="14.875" style="3195" customWidth="1"/>
    <col min="11272" max="11272" width="7" style="3195" customWidth="1"/>
    <col min="11273" max="11273" width="5.25" style="3195" customWidth="1"/>
    <col min="11274" max="11274" width="7.875" style="3195"/>
    <col min="11275" max="11275" width="5.25" style="3195" customWidth="1"/>
    <col min="11276" max="11276" width="14.875" style="3195" customWidth="1"/>
    <col min="11277" max="11277" width="14" style="3195" customWidth="1"/>
    <col min="11278" max="11278" width="10.5" style="3195" customWidth="1"/>
    <col min="11279" max="11279" width="20.125" style="3195" customWidth="1"/>
    <col min="11280" max="11280" width="10.5" style="3195" customWidth="1"/>
    <col min="11281" max="11281" width="9.625" style="3195" customWidth="1"/>
    <col min="11282" max="11282" width="5.25" style="3195" customWidth="1"/>
    <col min="11283" max="11283" width="9.625" style="3195" customWidth="1"/>
    <col min="11284" max="11284" width="18.375" style="3195" customWidth="1"/>
    <col min="11285" max="11285" width="16.625" style="3195" customWidth="1"/>
    <col min="11286" max="11286" width="28" style="3195" customWidth="1"/>
    <col min="11287" max="11287" width="6.125" style="3195" customWidth="1"/>
    <col min="11288" max="11288" width="7" style="3195" customWidth="1"/>
    <col min="11289" max="11290" width="6.125" style="3195" customWidth="1"/>
    <col min="11291" max="11291" width="5.25" style="3195" customWidth="1"/>
    <col min="11292" max="11292" width="3.5" style="3195" customWidth="1"/>
    <col min="11293" max="11293" width="4.375" style="3195" customWidth="1"/>
    <col min="11294" max="11520" width="7.875" style="3195"/>
    <col min="11521" max="11521" width="14.875" style="3195" customWidth="1"/>
    <col min="11522" max="11522" width="26.25" style="3195" customWidth="1"/>
    <col min="11523" max="11525" width="5.25" style="3195" customWidth="1"/>
    <col min="11526" max="11526" width="6.125" style="3195" customWidth="1"/>
    <col min="11527" max="11527" width="14.875" style="3195" customWidth="1"/>
    <col min="11528" max="11528" width="7" style="3195" customWidth="1"/>
    <col min="11529" max="11529" width="5.25" style="3195" customWidth="1"/>
    <col min="11530" max="11530" width="7.875" style="3195"/>
    <col min="11531" max="11531" width="5.25" style="3195" customWidth="1"/>
    <col min="11532" max="11532" width="14.875" style="3195" customWidth="1"/>
    <col min="11533" max="11533" width="14" style="3195" customWidth="1"/>
    <col min="11534" max="11534" width="10.5" style="3195" customWidth="1"/>
    <col min="11535" max="11535" width="20.125" style="3195" customWidth="1"/>
    <col min="11536" max="11536" width="10.5" style="3195" customWidth="1"/>
    <col min="11537" max="11537" width="9.625" style="3195" customWidth="1"/>
    <col min="11538" max="11538" width="5.25" style="3195" customWidth="1"/>
    <col min="11539" max="11539" width="9.625" style="3195" customWidth="1"/>
    <col min="11540" max="11540" width="18.375" style="3195" customWidth="1"/>
    <col min="11541" max="11541" width="16.625" style="3195" customWidth="1"/>
    <col min="11542" max="11542" width="28" style="3195" customWidth="1"/>
    <col min="11543" max="11543" width="6.125" style="3195" customWidth="1"/>
    <col min="11544" max="11544" width="7" style="3195" customWidth="1"/>
    <col min="11545" max="11546" width="6.125" style="3195" customWidth="1"/>
    <col min="11547" max="11547" width="5.25" style="3195" customWidth="1"/>
    <col min="11548" max="11548" width="3.5" style="3195" customWidth="1"/>
    <col min="11549" max="11549" width="4.375" style="3195" customWidth="1"/>
    <col min="11550" max="11776" width="7.875" style="3195"/>
    <col min="11777" max="11777" width="14.875" style="3195" customWidth="1"/>
    <col min="11778" max="11778" width="26.25" style="3195" customWidth="1"/>
    <col min="11779" max="11781" width="5.25" style="3195" customWidth="1"/>
    <col min="11782" max="11782" width="6.125" style="3195" customWidth="1"/>
    <col min="11783" max="11783" width="14.875" style="3195" customWidth="1"/>
    <col min="11784" max="11784" width="7" style="3195" customWidth="1"/>
    <col min="11785" max="11785" width="5.25" style="3195" customWidth="1"/>
    <col min="11786" max="11786" width="7.875" style="3195"/>
    <col min="11787" max="11787" width="5.25" style="3195" customWidth="1"/>
    <col min="11788" max="11788" width="14.875" style="3195" customWidth="1"/>
    <col min="11789" max="11789" width="14" style="3195" customWidth="1"/>
    <col min="11790" max="11790" width="10.5" style="3195" customWidth="1"/>
    <col min="11791" max="11791" width="20.125" style="3195" customWidth="1"/>
    <col min="11792" max="11792" width="10.5" style="3195" customWidth="1"/>
    <col min="11793" max="11793" width="9.625" style="3195" customWidth="1"/>
    <col min="11794" max="11794" width="5.25" style="3195" customWidth="1"/>
    <col min="11795" max="11795" width="9.625" style="3195" customWidth="1"/>
    <col min="11796" max="11796" width="18.375" style="3195" customWidth="1"/>
    <col min="11797" max="11797" width="16.625" style="3195" customWidth="1"/>
    <col min="11798" max="11798" width="28" style="3195" customWidth="1"/>
    <col min="11799" max="11799" width="6.125" style="3195" customWidth="1"/>
    <col min="11800" max="11800" width="7" style="3195" customWidth="1"/>
    <col min="11801" max="11802" width="6.125" style="3195" customWidth="1"/>
    <col min="11803" max="11803" width="5.25" style="3195" customWidth="1"/>
    <col min="11804" max="11804" width="3.5" style="3195" customWidth="1"/>
    <col min="11805" max="11805" width="4.375" style="3195" customWidth="1"/>
    <col min="11806" max="12032" width="7.875" style="3195"/>
    <col min="12033" max="12033" width="14.875" style="3195" customWidth="1"/>
    <col min="12034" max="12034" width="26.25" style="3195" customWidth="1"/>
    <col min="12035" max="12037" width="5.25" style="3195" customWidth="1"/>
    <col min="12038" max="12038" width="6.125" style="3195" customWidth="1"/>
    <col min="12039" max="12039" width="14.875" style="3195" customWidth="1"/>
    <col min="12040" max="12040" width="7" style="3195" customWidth="1"/>
    <col min="12041" max="12041" width="5.25" style="3195" customWidth="1"/>
    <col min="12042" max="12042" width="7.875" style="3195"/>
    <col min="12043" max="12043" width="5.25" style="3195" customWidth="1"/>
    <col min="12044" max="12044" width="14.875" style="3195" customWidth="1"/>
    <col min="12045" max="12045" width="14" style="3195" customWidth="1"/>
    <col min="12046" max="12046" width="10.5" style="3195" customWidth="1"/>
    <col min="12047" max="12047" width="20.125" style="3195" customWidth="1"/>
    <col min="12048" max="12048" width="10.5" style="3195" customWidth="1"/>
    <col min="12049" max="12049" width="9.625" style="3195" customWidth="1"/>
    <col min="12050" max="12050" width="5.25" style="3195" customWidth="1"/>
    <col min="12051" max="12051" width="9.625" style="3195" customWidth="1"/>
    <col min="12052" max="12052" width="18.375" style="3195" customWidth="1"/>
    <col min="12053" max="12053" width="16.625" style="3195" customWidth="1"/>
    <col min="12054" max="12054" width="28" style="3195" customWidth="1"/>
    <col min="12055" max="12055" width="6.125" style="3195" customWidth="1"/>
    <col min="12056" max="12056" width="7" style="3195" customWidth="1"/>
    <col min="12057" max="12058" width="6.125" style="3195" customWidth="1"/>
    <col min="12059" max="12059" width="5.25" style="3195" customWidth="1"/>
    <col min="12060" max="12060" width="3.5" style="3195" customWidth="1"/>
    <col min="12061" max="12061" width="4.375" style="3195" customWidth="1"/>
    <col min="12062" max="12288" width="7.875" style="3195"/>
    <col min="12289" max="12289" width="14.875" style="3195" customWidth="1"/>
    <col min="12290" max="12290" width="26.25" style="3195" customWidth="1"/>
    <col min="12291" max="12293" width="5.25" style="3195" customWidth="1"/>
    <col min="12294" max="12294" width="6.125" style="3195" customWidth="1"/>
    <col min="12295" max="12295" width="14.875" style="3195" customWidth="1"/>
    <col min="12296" max="12296" width="7" style="3195" customWidth="1"/>
    <col min="12297" max="12297" width="5.25" style="3195" customWidth="1"/>
    <col min="12298" max="12298" width="7.875" style="3195"/>
    <col min="12299" max="12299" width="5.25" style="3195" customWidth="1"/>
    <col min="12300" max="12300" width="14.875" style="3195" customWidth="1"/>
    <col min="12301" max="12301" width="14" style="3195" customWidth="1"/>
    <col min="12302" max="12302" width="10.5" style="3195" customWidth="1"/>
    <col min="12303" max="12303" width="20.125" style="3195" customWidth="1"/>
    <col min="12304" max="12304" width="10.5" style="3195" customWidth="1"/>
    <col min="12305" max="12305" width="9.625" style="3195" customWidth="1"/>
    <col min="12306" max="12306" width="5.25" style="3195" customWidth="1"/>
    <col min="12307" max="12307" width="9.625" style="3195" customWidth="1"/>
    <col min="12308" max="12308" width="18.375" style="3195" customWidth="1"/>
    <col min="12309" max="12309" width="16.625" style="3195" customWidth="1"/>
    <col min="12310" max="12310" width="28" style="3195" customWidth="1"/>
    <col min="12311" max="12311" width="6.125" style="3195" customWidth="1"/>
    <col min="12312" max="12312" width="7" style="3195" customWidth="1"/>
    <col min="12313" max="12314" width="6.125" style="3195" customWidth="1"/>
    <col min="12315" max="12315" width="5.25" style="3195" customWidth="1"/>
    <col min="12316" max="12316" width="3.5" style="3195" customWidth="1"/>
    <col min="12317" max="12317" width="4.375" style="3195" customWidth="1"/>
    <col min="12318" max="12544" width="7.875" style="3195"/>
    <col min="12545" max="12545" width="14.875" style="3195" customWidth="1"/>
    <col min="12546" max="12546" width="26.25" style="3195" customWidth="1"/>
    <col min="12547" max="12549" width="5.25" style="3195" customWidth="1"/>
    <col min="12550" max="12550" width="6.125" style="3195" customWidth="1"/>
    <col min="12551" max="12551" width="14.875" style="3195" customWidth="1"/>
    <col min="12552" max="12552" width="7" style="3195" customWidth="1"/>
    <col min="12553" max="12553" width="5.25" style="3195" customWidth="1"/>
    <col min="12554" max="12554" width="7.875" style="3195"/>
    <col min="12555" max="12555" width="5.25" style="3195" customWidth="1"/>
    <col min="12556" max="12556" width="14.875" style="3195" customWidth="1"/>
    <col min="12557" max="12557" width="14" style="3195" customWidth="1"/>
    <col min="12558" max="12558" width="10.5" style="3195" customWidth="1"/>
    <col min="12559" max="12559" width="20.125" style="3195" customWidth="1"/>
    <col min="12560" max="12560" width="10.5" style="3195" customWidth="1"/>
    <col min="12561" max="12561" width="9.625" style="3195" customWidth="1"/>
    <col min="12562" max="12562" width="5.25" style="3195" customWidth="1"/>
    <col min="12563" max="12563" width="9.625" style="3195" customWidth="1"/>
    <col min="12564" max="12564" width="18.375" style="3195" customWidth="1"/>
    <col min="12565" max="12565" width="16.625" style="3195" customWidth="1"/>
    <col min="12566" max="12566" width="28" style="3195" customWidth="1"/>
    <col min="12567" max="12567" width="6.125" style="3195" customWidth="1"/>
    <col min="12568" max="12568" width="7" style="3195" customWidth="1"/>
    <col min="12569" max="12570" width="6.125" style="3195" customWidth="1"/>
    <col min="12571" max="12571" width="5.25" style="3195" customWidth="1"/>
    <col min="12572" max="12572" width="3.5" style="3195" customWidth="1"/>
    <col min="12573" max="12573" width="4.375" style="3195" customWidth="1"/>
    <col min="12574" max="12800" width="7.875" style="3195"/>
    <col min="12801" max="12801" width="14.875" style="3195" customWidth="1"/>
    <col min="12802" max="12802" width="26.25" style="3195" customWidth="1"/>
    <col min="12803" max="12805" width="5.25" style="3195" customWidth="1"/>
    <col min="12806" max="12806" width="6.125" style="3195" customWidth="1"/>
    <col min="12807" max="12807" width="14.875" style="3195" customWidth="1"/>
    <col min="12808" max="12808" width="7" style="3195" customWidth="1"/>
    <col min="12809" max="12809" width="5.25" style="3195" customWidth="1"/>
    <col min="12810" max="12810" width="7.875" style="3195"/>
    <col min="12811" max="12811" width="5.25" style="3195" customWidth="1"/>
    <col min="12812" max="12812" width="14.875" style="3195" customWidth="1"/>
    <col min="12813" max="12813" width="14" style="3195" customWidth="1"/>
    <col min="12814" max="12814" width="10.5" style="3195" customWidth="1"/>
    <col min="12815" max="12815" width="20.125" style="3195" customWidth="1"/>
    <col min="12816" max="12816" width="10.5" style="3195" customWidth="1"/>
    <col min="12817" max="12817" width="9.625" style="3195" customWidth="1"/>
    <col min="12818" max="12818" width="5.25" style="3195" customWidth="1"/>
    <col min="12819" max="12819" width="9.625" style="3195" customWidth="1"/>
    <col min="12820" max="12820" width="18.375" style="3195" customWidth="1"/>
    <col min="12821" max="12821" width="16.625" style="3195" customWidth="1"/>
    <col min="12822" max="12822" width="28" style="3195" customWidth="1"/>
    <col min="12823" max="12823" width="6.125" style="3195" customWidth="1"/>
    <col min="12824" max="12824" width="7" style="3195" customWidth="1"/>
    <col min="12825" max="12826" width="6.125" style="3195" customWidth="1"/>
    <col min="12827" max="12827" width="5.25" style="3195" customWidth="1"/>
    <col min="12828" max="12828" width="3.5" style="3195" customWidth="1"/>
    <col min="12829" max="12829" width="4.375" style="3195" customWidth="1"/>
    <col min="12830" max="13056" width="7.875" style="3195"/>
    <col min="13057" max="13057" width="14.875" style="3195" customWidth="1"/>
    <col min="13058" max="13058" width="26.25" style="3195" customWidth="1"/>
    <col min="13059" max="13061" width="5.25" style="3195" customWidth="1"/>
    <col min="13062" max="13062" width="6.125" style="3195" customWidth="1"/>
    <col min="13063" max="13063" width="14.875" style="3195" customWidth="1"/>
    <col min="13064" max="13064" width="7" style="3195" customWidth="1"/>
    <col min="13065" max="13065" width="5.25" style="3195" customWidth="1"/>
    <col min="13066" max="13066" width="7.875" style="3195"/>
    <col min="13067" max="13067" width="5.25" style="3195" customWidth="1"/>
    <col min="13068" max="13068" width="14.875" style="3195" customWidth="1"/>
    <col min="13069" max="13069" width="14" style="3195" customWidth="1"/>
    <col min="13070" max="13070" width="10.5" style="3195" customWidth="1"/>
    <col min="13071" max="13071" width="20.125" style="3195" customWidth="1"/>
    <col min="13072" max="13072" width="10.5" style="3195" customWidth="1"/>
    <col min="13073" max="13073" width="9.625" style="3195" customWidth="1"/>
    <col min="13074" max="13074" width="5.25" style="3195" customWidth="1"/>
    <col min="13075" max="13075" width="9.625" style="3195" customWidth="1"/>
    <col min="13076" max="13076" width="18.375" style="3195" customWidth="1"/>
    <col min="13077" max="13077" width="16.625" style="3195" customWidth="1"/>
    <col min="13078" max="13078" width="28" style="3195" customWidth="1"/>
    <col min="13079" max="13079" width="6.125" style="3195" customWidth="1"/>
    <col min="13080" max="13080" width="7" style="3195" customWidth="1"/>
    <col min="13081" max="13082" width="6.125" style="3195" customWidth="1"/>
    <col min="13083" max="13083" width="5.25" style="3195" customWidth="1"/>
    <col min="13084" max="13084" width="3.5" style="3195" customWidth="1"/>
    <col min="13085" max="13085" width="4.375" style="3195" customWidth="1"/>
    <col min="13086" max="13312" width="7.875" style="3195"/>
    <col min="13313" max="13313" width="14.875" style="3195" customWidth="1"/>
    <col min="13314" max="13314" width="26.25" style="3195" customWidth="1"/>
    <col min="13315" max="13317" width="5.25" style="3195" customWidth="1"/>
    <col min="13318" max="13318" width="6.125" style="3195" customWidth="1"/>
    <col min="13319" max="13319" width="14.875" style="3195" customWidth="1"/>
    <col min="13320" max="13320" width="7" style="3195" customWidth="1"/>
    <col min="13321" max="13321" width="5.25" style="3195" customWidth="1"/>
    <col min="13322" max="13322" width="7.875" style="3195"/>
    <col min="13323" max="13323" width="5.25" style="3195" customWidth="1"/>
    <col min="13324" max="13324" width="14.875" style="3195" customWidth="1"/>
    <col min="13325" max="13325" width="14" style="3195" customWidth="1"/>
    <col min="13326" max="13326" width="10.5" style="3195" customWidth="1"/>
    <col min="13327" max="13327" width="20.125" style="3195" customWidth="1"/>
    <col min="13328" max="13328" width="10.5" style="3195" customWidth="1"/>
    <col min="13329" max="13329" width="9.625" style="3195" customWidth="1"/>
    <col min="13330" max="13330" width="5.25" style="3195" customWidth="1"/>
    <col min="13331" max="13331" width="9.625" style="3195" customWidth="1"/>
    <col min="13332" max="13332" width="18.375" style="3195" customWidth="1"/>
    <col min="13333" max="13333" width="16.625" style="3195" customWidth="1"/>
    <col min="13334" max="13334" width="28" style="3195" customWidth="1"/>
    <col min="13335" max="13335" width="6.125" style="3195" customWidth="1"/>
    <col min="13336" max="13336" width="7" style="3195" customWidth="1"/>
    <col min="13337" max="13338" width="6.125" style="3195" customWidth="1"/>
    <col min="13339" max="13339" width="5.25" style="3195" customWidth="1"/>
    <col min="13340" max="13340" width="3.5" style="3195" customWidth="1"/>
    <col min="13341" max="13341" width="4.375" style="3195" customWidth="1"/>
    <col min="13342" max="13568" width="7.875" style="3195"/>
    <col min="13569" max="13569" width="14.875" style="3195" customWidth="1"/>
    <col min="13570" max="13570" width="26.25" style="3195" customWidth="1"/>
    <col min="13571" max="13573" width="5.25" style="3195" customWidth="1"/>
    <col min="13574" max="13574" width="6.125" style="3195" customWidth="1"/>
    <col min="13575" max="13575" width="14.875" style="3195" customWidth="1"/>
    <col min="13576" max="13576" width="7" style="3195" customWidth="1"/>
    <col min="13577" max="13577" width="5.25" style="3195" customWidth="1"/>
    <col min="13578" max="13578" width="7.875" style="3195"/>
    <col min="13579" max="13579" width="5.25" style="3195" customWidth="1"/>
    <col min="13580" max="13580" width="14.875" style="3195" customWidth="1"/>
    <col min="13581" max="13581" width="14" style="3195" customWidth="1"/>
    <col min="13582" max="13582" width="10.5" style="3195" customWidth="1"/>
    <col min="13583" max="13583" width="20.125" style="3195" customWidth="1"/>
    <col min="13584" max="13584" width="10.5" style="3195" customWidth="1"/>
    <col min="13585" max="13585" width="9.625" style="3195" customWidth="1"/>
    <col min="13586" max="13586" width="5.25" style="3195" customWidth="1"/>
    <col min="13587" max="13587" width="9.625" style="3195" customWidth="1"/>
    <col min="13588" max="13588" width="18.375" style="3195" customWidth="1"/>
    <col min="13589" max="13589" width="16.625" style="3195" customWidth="1"/>
    <col min="13590" max="13590" width="28" style="3195" customWidth="1"/>
    <col min="13591" max="13591" width="6.125" style="3195" customWidth="1"/>
    <col min="13592" max="13592" width="7" style="3195" customWidth="1"/>
    <col min="13593" max="13594" width="6.125" style="3195" customWidth="1"/>
    <col min="13595" max="13595" width="5.25" style="3195" customWidth="1"/>
    <col min="13596" max="13596" width="3.5" style="3195" customWidth="1"/>
    <col min="13597" max="13597" width="4.375" style="3195" customWidth="1"/>
    <col min="13598" max="13824" width="7.875" style="3195"/>
    <col min="13825" max="13825" width="14.875" style="3195" customWidth="1"/>
    <col min="13826" max="13826" width="26.25" style="3195" customWidth="1"/>
    <col min="13827" max="13829" width="5.25" style="3195" customWidth="1"/>
    <col min="13830" max="13830" width="6.125" style="3195" customWidth="1"/>
    <col min="13831" max="13831" width="14.875" style="3195" customWidth="1"/>
    <col min="13832" max="13832" width="7" style="3195" customWidth="1"/>
    <col min="13833" max="13833" width="5.25" style="3195" customWidth="1"/>
    <col min="13834" max="13834" width="7.875" style="3195"/>
    <col min="13835" max="13835" width="5.25" style="3195" customWidth="1"/>
    <col min="13836" max="13836" width="14.875" style="3195" customWidth="1"/>
    <col min="13837" max="13837" width="14" style="3195" customWidth="1"/>
    <col min="13838" max="13838" width="10.5" style="3195" customWidth="1"/>
    <col min="13839" max="13839" width="20.125" style="3195" customWidth="1"/>
    <col min="13840" max="13840" width="10.5" style="3195" customWidth="1"/>
    <col min="13841" max="13841" width="9.625" style="3195" customWidth="1"/>
    <col min="13842" max="13842" width="5.25" style="3195" customWidth="1"/>
    <col min="13843" max="13843" width="9.625" style="3195" customWidth="1"/>
    <col min="13844" max="13844" width="18.375" style="3195" customWidth="1"/>
    <col min="13845" max="13845" width="16.625" style="3195" customWidth="1"/>
    <col min="13846" max="13846" width="28" style="3195" customWidth="1"/>
    <col min="13847" max="13847" width="6.125" style="3195" customWidth="1"/>
    <col min="13848" max="13848" width="7" style="3195" customWidth="1"/>
    <col min="13849" max="13850" width="6.125" style="3195" customWidth="1"/>
    <col min="13851" max="13851" width="5.25" style="3195" customWidth="1"/>
    <col min="13852" max="13852" width="3.5" style="3195" customWidth="1"/>
    <col min="13853" max="13853" width="4.375" style="3195" customWidth="1"/>
    <col min="13854" max="14080" width="7.875" style="3195"/>
    <col min="14081" max="14081" width="14.875" style="3195" customWidth="1"/>
    <col min="14082" max="14082" width="26.25" style="3195" customWidth="1"/>
    <col min="14083" max="14085" width="5.25" style="3195" customWidth="1"/>
    <col min="14086" max="14086" width="6.125" style="3195" customWidth="1"/>
    <col min="14087" max="14087" width="14.875" style="3195" customWidth="1"/>
    <col min="14088" max="14088" width="7" style="3195" customWidth="1"/>
    <col min="14089" max="14089" width="5.25" style="3195" customWidth="1"/>
    <col min="14090" max="14090" width="7.875" style="3195"/>
    <col min="14091" max="14091" width="5.25" style="3195" customWidth="1"/>
    <col min="14092" max="14092" width="14.875" style="3195" customWidth="1"/>
    <col min="14093" max="14093" width="14" style="3195" customWidth="1"/>
    <col min="14094" max="14094" width="10.5" style="3195" customWidth="1"/>
    <col min="14095" max="14095" width="20.125" style="3195" customWidth="1"/>
    <col min="14096" max="14096" width="10.5" style="3195" customWidth="1"/>
    <col min="14097" max="14097" width="9.625" style="3195" customWidth="1"/>
    <col min="14098" max="14098" width="5.25" style="3195" customWidth="1"/>
    <col min="14099" max="14099" width="9.625" style="3195" customWidth="1"/>
    <col min="14100" max="14100" width="18.375" style="3195" customWidth="1"/>
    <col min="14101" max="14101" width="16.625" style="3195" customWidth="1"/>
    <col min="14102" max="14102" width="28" style="3195" customWidth="1"/>
    <col min="14103" max="14103" width="6.125" style="3195" customWidth="1"/>
    <col min="14104" max="14104" width="7" style="3195" customWidth="1"/>
    <col min="14105" max="14106" width="6.125" style="3195" customWidth="1"/>
    <col min="14107" max="14107" width="5.25" style="3195" customWidth="1"/>
    <col min="14108" max="14108" width="3.5" style="3195" customWidth="1"/>
    <col min="14109" max="14109" width="4.375" style="3195" customWidth="1"/>
    <col min="14110" max="14336" width="7.875" style="3195"/>
    <col min="14337" max="14337" width="14.875" style="3195" customWidth="1"/>
    <col min="14338" max="14338" width="26.25" style="3195" customWidth="1"/>
    <col min="14339" max="14341" width="5.25" style="3195" customWidth="1"/>
    <col min="14342" max="14342" width="6.125" style="3195" customWidth="1"/>
    <col min="14343" max="14343" width="14.875" style="3195" customWidth="1"/>
    <col min="14344" max="14344" width="7" style="3195" customWidth="1"/>
    <col min="14345" max="14345" width="5.25" style="3195" customWidth="1"/>
    <col min="14346" max="14346" width="7.875" style="3195"/>
    <col min="14347" max="14347" width="5.25" style="3195" customWidth="1"/>
    <col min="14348" max="14348" width="14.875" style="3195" customWidth="1"/>
    <col min="14349" max="14349" width="14" style="3195" customWidth="1"/>
    <col min="14350" max="14350" width="10.5" style="3195" customWidth="1"/>
    <col min="14351" max="14351" width="20.125" style="3195" customWidth="1"/>
    <col min="14352" max="14352" width="10.5" style="3195" customWidth="1"/>
    <col min="14353" max="14353" width="9.625" style="3195" customWidth="1"/>
    <col min="14354" max="14354" width="5.25" style="3195" customWidth="1"/>
    <col min="14355" max="14355" width="9.625" style="3195" customWidth="1"/>
    <col min="14356" max="14356" width="18.375" style="3195" customWidth="1"/>
    <col min="14357" max="14357" width="16.625" style="3195" customWidth="1"/>
    <col min="14358" max="14358" width="28" style="3195" customWidth="1"/>
    <col min="14359" max="14359" width="6.125" style="3195" customWidth="1"/>
    <col min="14360" max="14360" width="7" style="3195" customWidth="1"/>
    <col min="14361" max="14362" width="6.125" style="3195" customWidth="1"/>
    <col min="14363" max="14363" width="5.25" style="3195" customWidth="1"/>
    <col min="14364" max="14364" width="3.5" style="3195" customWidth="1"/>
    <col min="14365" max="14365" width="4.375" style="3195" customWidth="1"/>
    <col min="14366" max="14592" width="7.875" style="3195"/>
    <col min="14593" max="14593" width="14.875" style="3195" customWidth="1"/>
    <col min="14594" max="14594" width="26.25" style="3195" customWidth="1"/>
    <col min="14595" max="14597" width="5.25" style="3195" customWidth="1"/>
    <col min="14598" max="14598" width="6.125" style="3195" customWidth="1"/>
    <col min="14599" max="14599" width="14.875" style="3195" customWidth="1"/>
    <col min="14600" max="14600" width="7" style="3195" customWidth="1"/>
    <col min="14601" max="14601" width="5.25" style="3195" customWidth="1"/>
    <col min="14602" max="14602" width="7.875" style="3195"/>
    <col min="14603" max="14603" width="5.25" style="3195" customWidth="1"/>
    <col min="14604" max="14604" width="14.875" style="3195" customWidth="1"/>
    <col min="14605" max="14605" width="14" style="3195" customWidth="1"/>
    <col min="14606" max="14606" width="10.5" style="3195" customWidth="1"/>
    <col min="14607" max="14607" width="20.125" style="3195" customWidth="1"/>
    <col min="14608" max="14608" width="10.5" style="3195" customWidth="1"/>
    <col min="14609" max="14609" width="9.625" style="3195" customWidth="1"/>
    <col min="14610" max="14610" width="5.25" style="3195" customWidth="1"/>
    <col min="14611" max="14611" width="9.625" style="3195" customWidth="1"/>
    <col min="14612" max="14612" width="18.375" style="3195" customWidth="1"/>
    <col min="14613" max="14613" width="16.625" style="3195" customWidth="1"/>
    <col min="14614" max="14614" width="28" style="3195" customWidth="1"/>
    <col min="14615" max="14615" width="6.125" style="3195" customWidth="1"/>
    <col min="14616" max="14616" width="7" style="3195" customWidth="1"/>
    <col min="14617" max="14618" width="6.125" style="3195" customWidth="1"/>
    <col min="14619" max="14619" width="5.25" style="3195" customWidth="1"/>
    <col min="14620" max="14620" width="3.5" style="3195" customWidth="1"/>
    <col min="14621" max="14621" width="4.375" style="3195" customWidth="1"/>
    <col min="14622" max="14848" width="7.875" style="3195"/>
    <col min="14849" max="14849" width="14.875" style="3195" customWidth="1"/>
    <col min="14850" max="14850" width="26.25" style="3195" customWidth="1"/>
    <col min="14851" max="14853" width="5.25" style="3195" customWidth="1"/>
    <col min="14854" max="14854" width="6.125" style="3195" customWidth="1"/>
    <col min="14855" max="14855" width="14.875" style="3195" customWidth="1"/>
    <col min="14856" max="14856" width="7" style="3195" customWidth="1"/>
    <col min="14857" max="14857" width="5.25" style="3195" customWidth="1"/>
    <col min="14858" max="14858" width="7.875" style="3195"/>
    <col min="14859" max="14859" width="5.25" style="3195" customWidth="1"/>
    <col min="14860" max="14860" width="14.875" style="3195" customWidth="1"/>
    <col min="14861" max="14861" width="14" style="3195" customWidth="1"/>
    <col min="14862" max="14862" width="10.5" style="3195" customWidth="1"/>
    <col min="14863" max="14863" width="20.125" style="3195" customWidth="1"/>
    <col min="14864" max="14864" width="10.5" style="3195" customWidth="1"/>
    <col min="14865" max="14865" width="9.625" style="3195" customWidth="1"/>
    <col min="14866" max="14866" width="5.25" style="3195" customWidth="1"/>
    <col min="14867" max="14867" width="9.625" style="3195" customWidth="1"/>
    <col min="14868" max="14868" width="18.375" style="3195" customWidth="1"/>
    <col min="14869" max="14869" width="16.625" style="3195" customWidth="1"/>
    <col min="14870" max="14870" width="28" style="3195" customWidth="1"/>
    <col min="14871" max="14871" width="6.125" style="3195" customWidth="1"/>
    <col min="14872" max="14872" width="7" style="3195" customWidth="1"/>
    <col min="14873" max="14874" width="6.125" style="3195" customWidth="1"/>
    <col min="14875" max="14875" width="5.25" style="3195" customWidth="1"/>
    <col min="14876" max="14876" width="3.5" style="3195" customWidth="1"/>
    <col min="14877" max="14877" width="4.375" style="3195" customWidth="1"/>
    <col min="14878" max="15104" width="7.875" style="3195"/>
    <col min="15105" max="15105" width="14.875" style="3195" customWidth="1"/>
    <col min="15106" max="15106" width="26.25" style="3195" customWidth="1"/>
    <col min="15107" max="15109" width="5.25" style="3195" customWidth="1"/>
    <col min="15110" max="15110" width="6.125" style="3195" customWidth="1"/>
    <col min="15111" max="15111" width="14.875" style="3195" customWidth="1"/>
    <col min="15112" max="15112" width="7" style="3195" customWidth="1"/>
    <col min="15113" max="15113" width="5.25" style="3195" customWidth="1"/>
    <col min="15114" max="15114" width="7.875" style="3195"/>
    <col min="15115" max="15115" width="5.25" style="3195" customWidth="1"/>
    <col min="15116" max="15116" width="14.875" style="3195" customWidth="1"/>
    <col min="15117" max="15117" width="14" style="3195" customWidth="1"/>
    <col min="15118" max="15118" width="10.5" style="3195" customWidth="1"/>
    <col min="15119" max="15119" width="20.125" style="3195" customWidth="1"/>
    <col min="15120" max="15120" width="10.5" style="3195" customWidth="1"/>
    <col min="15121" max="15121" width="9.625" style="3195" customWidth="1"/>
    <col min="15122" max="15122" width="5.25" style="3195" customWidth="1"/>
    <col min="15123" max="15123" width="9.625" style="3195" customWidth="1"/>
    <col min="15124" max="15124" width="18.375" style="3195" customWidth="1"/>
    <col min="15125" max="15125" width="16.625" style="3195" customWidth="1"/>
    <col min="15126" max="15126" width="28" style="3195" customWidth="1"/>
    <col min="15127" max="15127" width="6.125" style="3195" customWidth="1"/>
    <col min="15128" max="15128" width="7" style="3195" customWidth="1"/>
    <col min="15129" max="15130" width="6.125" style="3195" customWidth="1"/>
    <col min="15131" max="15131" width="5.25" style="3195" customWidth="1"/>
    <col min="15132" max="15132" width="3.5" style="3195" customWidth="1"/>
    <col min="15133" max="15133" width="4.375" style="3195" customWidth="1"/>
    <col min="15134" max="15360" width="7.875" style="3195"/>
    <col min="15361" max="15361" width="14.875" style="3195" customWidth="1"/>
    <col min="15362" max="15362" width="26.25" style="3195" customWidth="1"/>
    <col min="15363" max="15365" width="5.25" style="3195" customWidth="1"/>
    <col min="15366" max="15366" width="6.125" style="3195" customWidth="1"/>
    <col min="15367" max="15367" width="14.875" style="3195" customWidth="1"/>
    <col min="15368" max="15368" width="7" style="3195" customWidth="1"/>
    <col min="15369" max="15369" width="5.25" style="3195" customWidth="1"/>
    <col min="15370" max="15370" width="7.875" style="3195"/>
    <col min="15371" max="15371" width="5.25" style="3195" customWidth="1"/>
    <col min="15372" max="15372" width="14.875" style="3195" customWidth="1"/>
    <col min="15373" max="15373" width="14" style="3195" customWidth="1"/>
    <col min="15374" max="15374" width="10.5" style="3195" customWidth="1"/>
    <col min="15375" max="15375" width="20.125" style="3195" customWidth="1"/>
    <col min="15376" max="15376" width="10.5" style="3195" customWidth="1"/>
    <col min="15377" max="15377" width="9.625" style="3195" customWidth="1"/>
    <col min="15378" max="15378" width="5.25" style="3195" customWidth="1"/>
    <col min="15379" max="15379" width="9.625" style="3195" customWidth="1"/>
    <col min="15380" max="15380" width="18.375" style="3195" customWidth="1"/>
    <col min="15381" max="15381" width="16.625" style="3195" customWidth="1"/>
    <col min="15382" max="15382" width="28" style="3195" customWidth="1"/>
    <col min="15383" max="15383" width="6.125" style="3195" customWidth="1"/>
    <col min="15384" max="15384" width="7" style="3195" customWidth="1"/>
    <col min="15385" max="15386" width="6.125" style="3195" customWidth="1"/>
    <col min="15387" max="15387" width="5.25" style="3195" customWidth="1"/>
    <col min="15388" max="15388" width="3.5" style="3195" customWidth="1"/>
    <col min="15389" max="15389" width="4.375" style="3195" customWidth="1"/>
    <col min="15390" max="15616" width="7.875" style="3195"/>
    <col min="15617" max="15617" width="14.875" style="3195" customWidth="1"/>
    <col min="15618" max="15618" width="26.25" style="3195" customWidth="1"/>
    <col min="15619" max="15621" width="5.25" style="3195" customWidth="1"/>
    <col min="15622" max="15622" width="6.125" style="3195" customWidth="1"/>
    <col min="15623" max="15623" width="14.875" style="3195" customWidth="1"/>
    <col min="15624" max="15624" width="7" style="3195" customWidth="1"/>
    <col min="15625" max="15625" width="5.25" style="3195" customWidth="1"/>
    <col min="15626" max="15626" width="7.875" style="3195"/>
    <col min="15627" max="15627" width="5.25" style="3195" customWidth="1"/>
    <col min="15628" max="15628" width="14.875" style="3195" customWidth="1"/>
    <col min="15629" max="15629" width="14" style="3195" customWidth="1"/>
    <col min="15630" max="15630" width="10.5" style="3195" customWidth="1"/>
    <col min="15631" max="15631" width="20.125" style="3195" customWidth="1"/>
    <col min="15632" max="15632" width="10.5" style="3195" customWidth="1"/>
    <col min="15633" max="15633" width="9.625" style="3195" customWidth="1"/>
    <col min="15634" max="15634" width="5.25" style="3195" customWidth="1"/>
    <col min="15635" max="15635" width="9.625" style="3195" customWidth="1"/>
    <col min="15636" max="15636" width="18.375" style="3195" customWidth="1"/>
    <col min="15637" max="15637" width="16.625" style="3195" customWidth="1"/>
    <col min="15638" max="15638" width="28" style="3195" customWidth="1"/>
    <col min="15639" max="15639" width="6.125" style="3195" customWidth="1"/>
    <col min="15640" max="15640" width="7" style="3195" customWidth="1"/>
    <col min="15641" max="15642" width="6.125" style="3195" customWidth="1"/>
    <col min="15643" max="15643" width="5.25" style="3195" customWidth="1"/>
    <col min="15644" max="15644" width="3.5" style="3195" customWidth="1"/>
    <col min="15645" max="15645" width="4.375" style="3195" customWidth="1"/>
    <col min="15646" max="15872" width="7.875" style="3195"/>
    <col min="15873" max="15873" width="14.875" style="3195" customWidth="1"/>
    <col min="15874" max="15874" width="26.25" style="3195" customWidth="1"/>
    <col min="15875" max="15877" width="5.25" style="3195" customWidth="1"/>
    <col min="15878" max="15878" width="6.125" style="3195" customWidth="1"/>
    <col min="15879" max="15879" width="14.875" style="3195" customWidth="1"/>
    <col min="15880" max="15880" width="7" style="3195" customWidth="1"/>
    <col min="15881" max="15881" width="5.25" style="3195" customWidth="1"/>
    <col min="15882" max="15882" width="7.875" style="3195"/>
    <col min="15883" max="15883" width="5.25" style="3195" customWidth="1"/>
    <col min="15884" max="15884" width="14.875" style="3195" customWidth="1"/>
    <col min="15885" max="15885" width="14" style="3195" customWidth="1"/>
    <col min="15886" max="15886" width="10.5" style="3195" customWidth="1"/>
    <col min="15887" max="15887" width="20.125" style="3195" customWidth="1"/>
    <col min="15888" max="15888" width="10.5" style="3195" customWidth="1"/>
    <col min="15889" max="15889" width="9.625" style="3195" customWidth="1"/>
    <col min="15890" max="15890" width="5.25" style="3195" customWidth="1"/>
    <col min="15891" max="15891" width="9.625" style="3195" customWidth="1"/>
    <col min="15892" max="15892" width="18.375" style="3195" customWidth="1"/>
    <col min="15893" max="15893" width="16.625" style="3195" customWidth="1"/>
    <col min="15894" max="15894" width="28" style="3195" customWidth="1"/>
    <col min="15895" max="15895" width="6.125" style="3195" customWidth="1"/>
    <col min="15896" max="15896" width="7" style="3195" customWidth="1"/>
    <col min="15897" max="15898" width="6.125" style="3195" customWidth="1"/>
    <col min="15899" max="15899" width="5.25" style="3195" customWidth="1"/>
    <col min="15900" max="15900" width="3.5" style="3195" customWidth="1"/>
    <col min="15901" max="15901" width="4.375" style="3195" customWidth="1"/>
    <col min="15902" max="16128" width="7.875" style="3195"/>
    <col min="16129" max="16129" width="14.875" style="3195" customWidth="1"/>
    <col min="16130" max="16130" width="26.25" style="3195" customWidth="1"/>
    <col min="16131" max="16133" width="5.25" style="3195" customWidth="1"/>
    <col min="16134" max="16134" width="6.125" style="3195" customWidth="1"/>
    <col min="16135" max="16135" width="14.875" style="3195" customWidth="1"/>
    <col min="16136" max="16136" width="7" style="3195" customWidth="1"/>
    <col min="16137" max="16137" width="5.25" style="3195" customWidth="1"/>
    <col min="16138" max="16138" width="7.875" style="3195"/>
    <col min="16139" max="16139" width="5.25" style="3195" customWidth="1"/>
    <col min="16140" max="16140" width="14.875" style="3195" customWidth="1"/>
    <col min="16141" max="16141" width="14" style="3195" customWidth="1"/>
    <col min="16142" max="16142" width="10.5" style="3195" customWidth="1"/>
    <col min="16143" max="16143" width="20.125" style="3195" customWidth="1"/>
    <col min="16144" max="16144" width="10.5" style="3195" customWidth="1"/>
    <col min="16145" max="16145" width="9.625" style="3195" customWidth="1"/>
    <col min="16146" max="16146" width="5.25" style="3195" customWidth="1"/>
    <col min="16147" max="16147" width="9.625" style="3195" customWidth="1"/>
    <col min="16148" max="16148" width="18.375" style="3195" customWidth="1"/>
    <col min="16149" max="16149" width="16.625" style="3195" customWidth="1"/>
    <col min="16150" max="16150" width="28" style="3195" customWidth="1"/>
    <col min="16151" max="16151" width="6.125" style="3195" customWidth="1"/>
    <col min="16152" max="16152" width="7" style="3195" customWidth="1"/>
    <col min="16153" max="16154" width="6.125" style="3195" customWidth="1"/>
    <col min="16155" max="16155" width="5.25" style="3195" customWidth="1"/>
    <col min="16156" max="16156" width="3.5" style="3195" customWidth="1"/>
    <col min="16157" max="16157" width="4.375" style="3195" customWidth="1"/>
    <col min="16158" max="16384" width="7.875" style="3195"/>
  </cols>
  <sheetData>
    <row r="1" spans="1:29">
      <c r="A1" s="3194" t="s">
        <v>4622</v>
      </c>
      <c r="B1" s="3194" t="s">
        <v>4623</v>
      </c>
      <c r="C1" s="3194" t="s">
        <v>4624</v>
      </c>
      <c r="D1" s="3194" t="s">
        <v>4625</v>
      </c>
      <c r="E1" s="3194" t="s">
        <v>4626</v>
      </c>
      <c r="F1" s="3194" t="s">
        <v>4627</v>
      </c>
      <c r="G1" s="3194" t="s">
        <v>4628</v>
      </c>
      <c r="H1" s="3194" t="s">
        <v>4629</v>
      </c>
      <c r="I1" s="3194" t="s">
        <v>4630</v>
      </c>
      <c r="J1" s="3194" t="s">
        <v>4631</v>
      </c>
      <c r="K1" s="3194" t="s">
        <v>4632</v>
      </c>
      <c r="L1" s="3194" t="s">
        <v>4633</v>
      </c>
      <c r="M1" s="3194" t="s">
        <v>4634</v>
      </c>
      <c r="N1" s="3194" t="s">
        <v>4635</v>
      </c>
      <c r="O1" s="3194" t="s">
        <v>4636</v>
      </c>
      <c r="P1" s="3194" t="s">
        <v>4637</v>
      </c>
      <c r="Q1" s="3194" t="s">
        <v>4638</v>
      </c>
      <c r="R1" s="3194" t="s">
        <v>4639</v>
      </c>
      <c r="S1" s="3194" t="s">
        <v>4640</v>
      </c>
      <c r="T1" s="3194" t="s">
        <v>4641</v>
      </c>
      <c r="U1" s="3194" t="s">
        <v>4642</v>
      </c>
      <c r="V1" s="3194" t="s">
        <v>4643</v>
      </c>
      <c r="W1" s="3194" t="s">
        <v>4644</v>
      </c>
      <c r="X1" s="3194" t="s">
        <v>4645</v>
      </c>
      <c r="Y1" s="3194" t="s">
        <v>4646</v>
      </c>
      <c r="Z1" s="3194" t="s">
        <v>4647</v>
      </c>
      <c r="AA1" s="3194" t="s">
        <v>4648</v>
      </c>
      <c r="AB1" s="3194" t="s">
        <v>4649</v>
      </c>
      <c r="AC1" s="3194" t="s">
        <v>4650</v>
      </c>
    </row>
    <row r="2" spans="1:29">
      <c r="A2" s="3195" t="s">
        <v>4651</v>
      </c>
      <c r="B2" s="3195" t="s">
        <v>4652</v>
      </c>
      <c r="C2" s="3195" t="s">
        <v>4652</v>
      </c>
      <c r="D2" s="3195" t="s">
        <v>4652</v>
      </c>
      <c r="E2" s="3195" t="s">
        <v>4652</v>
      </c>
      <c r="F2" s="3195" t="s">
        <v>4653</v>
      </c>
      <c r="G2" s="3195" t="s">
        <v>4651</v>
      </c>
      <c r="H2" s="3195" t="s">
        <v>4652</v>
      </c>
      <c r="I2" s="3195" t="s">
        <v>4652</v>
      </c>
      <c r="J2" s="3195" t="s">
        <v>4654</v>
      </c>
      <c r="K2" s="3195" t="s">
        <v>4655</v>
      </c>
      <c r="L2" s="3196">
        <v>45677</v>
      </c>
      <c r="M2" s="3195" t="s">
        <v>4656</v>
      </c>
      <c r="N2" s="3195" t="s">
        <v>4657</v>
      </c>
      <c r="O2" s="3195" t="s">
        <v>4658</v>
      </c>
      <c r="P2" s="3195" t="s">
        <v>4659</v>
      </c>
      <c r="Q2" s="3197">
        <v>0</v>
      </c>
      <c r="R2" s="3195" t="s">
        <v>4652</v>
      </c>
      <c r="S2" s="3198">
        <v>78673.570000000007</v>
      </c>
      <c r="T2" s="3195" t="s">
        <v>4660</v>
      </c>
      <c r="U2" s="3195" t="s">
        <v>4661</v>
      </c>
      <c r="V2" s="3195" t="s">
        <v>4662</v>
      </c>
      <c r="W2" s="3195" t="s">
        <v>4652</v>
      </c>
      <c r="X2" s="3195" t="s">
        <v>4652</v>
      </c>
      <c r="Y2" s="3197">
        <v>0</v>
      </c>
      <c r="Z2" s="3197">
        <v>0</v>
      </c>
      <c r="AA2" s="3195" t="s">
        <v>4652</v>
      </c>
      <c r="AB2" s="3195" t="s">
        <v>4652</v>
      </c>
      <c r="AC2" s="3195" t="s">
        <v>4652</v>
      </c>
    </row>
    <row r="3" spans="1:29">
      <c r="A3" s="3195" t="s">
        <v>4663</v>
      </c>
      <c r="B3" s="3195" t="s">
        <v>4652</v>
      </c>
      <c r="C3" s="3195" t="s">
        <v>4652</v>
      </c>
      <c r="D3" s="3195" t="s">
        <v>4652</v>
      </c>
      <c r="E3" s="3195" t="s">
        <v>4652</v>
      </c>
      <c r="F3" s="3195" t="s">
        <v>4653</v>
      </c>
      <c r="G3" s="3195" t="s">
        <v>4663</v>
      </c>
      <c r="H3" s="3195" t="s">
        <v>4652</v>
      </c>
      <c r="I3" s="3195" t="s">
        <v>4652</v>
      </c>
      <c r="J3" s="3195" t="s">
        <v>4654</v>
      </c>
      <c r="K3" s="3195" t="s">
        <v>4655</v>
      </c>
      <c r="L3" s="3196">
        <v>45677</v>
      </c>
      <c r="M3" s="3195" t="s">
        <v>4656</v>
      </c>
      <c r="N3" s="3195" t="s">
        <v>4657</v>
      </c>
      <c r="O3" s="3195" t="s">
        <v>4658</v>
      </c>
      <c r="P3" s="3195" t="s">
        <v>4659</v>
      </c>
      <c r="Q3" s="3197">
        <v>0</v>
      </c>
      <c r="R3" s="3195" t="s">
        <v>4652</v>
      </c>
      <c r="S3" s="3198">
        <v>13755.14</v>
      </c>
      <c r="T3" s="3195" t="s">
        <v>4660</v>
      </c>
      <c r="U3" s="3195" t="s">
        <v>4661</v>
      </c>
      <c r="V3" s="3195" t="s">
        <v>4664</v>
      </c>
      <c r="W3" s="3195" t="s">
        <v>4652</v>
      </c>
      <c r="X3" s="3195" t="s">
        <v>4652</v>
      </c>
      <c r="Y3" s="3197">
        <v>0</v>
      </c>
      <c r="Z3" s="3197">
        <v>0</v>
      </c>
      <c r="AA3" s="3195" t="s">
        <v>4652</v>
      </c>
      <c r="AB3" s="3195" t="s">
        <v>4652</v>
      </c>
      <c r="AC3" s="3195" t="s">
        <v>4652</v>
      </c>
    </row>
    <row r="4" spans="1:29">
      <c r="A4" s="3195" t="s">
        <v>4663</v>
      </c>
      <c r="B4" s="3195" t="s">
        <v>4652</v>
      </c>
      <c r="C4" s="3195" t="s">
        <v>4652</v>
      </c>
      <c r="D4" s="3195" t="s">
        <v>4652</v>
      </c>
      <c r="E4" s="3195" t="s">
        <v>4652</v>
      </c>
      <c r="F4" s="3195" t="s">
        <v>4653</v>
      </c>
      <c r="G4" s="3195" t="s">
        <v>4663</v>
      </c>
      <c r="H4" s="3195" t="s">
        <v>4652</v>
      </c>
      <c r="I4" s="3195" t="s">
        <v>4652</v>
      </c>
      <c r="J4" s="3195" t="s">
        <v>4654</v>
      </c>
      <c r="K4" s="3195" t="s">
        <v>4655</v>
      </c>
      <c r="L4" s="3196">
        <v>45677</v>
      </c>
      <c r="M4" s="3195" t="s">
        <v>4656</v>
      </c>
      <c r="N4" s="3195" t="s">
        <v>4657</v>
      </c>
      <c r="O4" s="3195" t="s">
        <v>4658</v>
      </c>
      <c r="P4" s="3195" t="s">
        <v>4659</v>
      </c>
      <c r="Q4" s="3197">
        <v>0</v>
      </c>
      <c r="R4" s="3195" t="s">
        <v>4652</v>
      </c>
      <c r="S4" s="3198">
        <v>31746.67</v>
      </c>
      <c r="T4" s="3195" t="s">
        <v>4660</v>
      </c>
      <c r="U4" s="3195" t="s">
        <v>4661</v>
      </c>
      <c r="V4" s="3195" t="s">
        <v>4665</v>
      </c>
      <c r="W4" s="3195" t="s">
        <v>4652</v>
      </c>
      <c r="X4" s="3195" t="s">
        <v>4652</v>
      </c>
      <c r="Y4" s="3197">
        <v>0</v>
      </c>
      <c r="Z4" s="3197">
        <v>0</v>
      </c>
      <c r="AA4" s="3195" t="s">
        <v>4652</v>
      </c>
      <c r="AB4" s="3195" t="s">
        <v>4652</v>
      </c>
      <c r="AC4" s="3195" t="s">
        <v>4652</v>
      </c>
    </row>
    <row r="5" spans="1:29">
      <c r="A5" s="3195" t="s">
        <v>4663</v>
      </c>
      <c r="B5" s="3195" t="s">
        <v>4652</v>
      </c>
      <c r="C5" s="3195" t="s">
        <v>4652</v>
      </c>
      <c r="D5" s="3195" t="s">
        <v>4652</v>
      </c>
      <c r="E5" s="3195" t="s">
        <v>4652</v>
      </c>
      <c r="F5" s="3195" t="s">
        <v>4653</v>
      </c>
      <c r="G5" s="3195" t="s">
        <v>4663</v>
      </c>
      <c r="H5" s="3195" t="s">
        <v>4652</v>
      </c>
      <c r="I5" s="3195" t="s">
        <v>4652</v>
      </c>
      <c r="J5" s="3195" t="s">
        <v>4654</v>
      </c>
      <c r="K5" s="3195" t="s">
        <v>4655</v>
      </c>
      <c r="L5" s="3196">
        <v>45677</v>
      </c>
      <c r="M5" s="3195" t="s">
        <v>4656</v>
      </c>
      <c r="N5" s="3195" t="s">
        <v>4657</v>
      </c>
      <c r="O5" s="3195" t="s">
        <v>4658</v>
      </c>
      <c r="P5" s="3195" t="s">
        <v>4659</v>
      </c>
      <c r="Q5" s="3197">
        <v>0</v>
      </c>
      <c r="R5" s="3195" t="s">
        <v>4652</v>
      </c>
      <c r="S5" s="3198">
        <v>37301.9</v>
      </c>
      <c r="T5" s="3195" t="s">
        <v>4660</v>
      </c>
      <c r="U5" s="3195" t="s">
        <v>4661</v>
      </c>
      <c r="V5" s="3195" t="s">
        <v>4666</v>
      </c>
      <c r="W5" s="3195" t="s">
        <v>4652</v>
      </c>
      <c r="X5" s="3195" t="s">
        <v>4652</v>
      </c>
      <c r="Y5" s="3197">
        <v>0</v>
      </c>
      <c r="Z5" s="3197">
        <v>0</v>
      </c>
      <c r="AA5" s="3195" t="s">
        <v>4652</v>
      </c>
      <c r="AB5" s="3195" t="s">
        <v>4652</v>
      </c>
      <c r="AC5" s="3195" t="s">
        <v>4652</v>
      </c>
    </row>
    <row r="6" spans="1:29">
      <c r="A6" s="3195" t="s">
        <v>4663</v>
      </c>
      <c r="B6" s="3195" t="s">
        <v>4652</v>
      </c>
      <c r="C6" s="3195" t="s">
        <v>4652</v>
      </c>
      <c r="D6" s="3195" t="s">
        <v>4652</v>
      </c>
      <c r="E6" s="3195" t="s">
        <v>4652</v>
      </c>
      <c r="F6" s="3195" t="s">
        <v>4653</v>
      </c>
      <c r="G6" s="3195" t="s">
        <v>4663</v>
      </c>
      <c r="H6" s="3195" t="s">
        <v>4652</v>
      </c>
      <c r="I6" s="3195" t="s">
        <v>4652</v>
      </c>
      <c r="J6" s="3195" t="s">
        <v>4654</v>
      </c>
      <c r="K6" s="3195" t="s">
        <v>4655</v>
      </c>
      <c r="L6" s="3196">
        <v>45677</v>
      </c>
      <c r="M6" s="3195" t="s">
        <v>4656</v>
      </c>
      <c r="N6" s="3195" t="s">
        <v>4657</v>
      </c>
      <c r="O6" s="3195" t="s">
        <v>4658</v>
      </c>
      <c r="P6" s="3195" t="s">
        <v>4659</v>
      </c>
      <c r="Q6" s="3197">
        <v>0</v>
      </c>
      <c r="R6" s="3195" t="s">
        <v>4652</v>
      </c>
      <c r="S6" s="3198">
        <v>31746.67</v>
      </c>
      <c r="T6" s="3195" t="s">
        <v>4660</v>
      </c>
      <c r="U6" s="3195" t="s">
        <v>4661</v>
      </c>
      <c r="V6" s="3195" t="s">
        <v>4667</v>
      </c>
      <c r="W6" s="3195" t="s">
        <v>4652</v>
      </c>
      <c r="X6" s="3195" t="s">
        <v>4652</v>
      </c>
      <c r="Y6" s="3197">
        <v>0</v>
      </c>
      <c r="Z6" s="3197">
        <v>0</v>
      </c>
      <c r="AA6" s="3195" t="s">
        <v>4652</v>
      </c>
      <c r="AB6" s="3195" t="s">
        <v>4652</v>
      </c>
      <c r="AC6" s="3195" t="s">
        <v>4652</v>
      </c>
    </row>
    <row r="7" spans="1:29">
      <c r="A7" s="3195" t="s">
        <v>4651</v>
      </c>
      <c r="B7" s="3195" t="s">
        <v>4652</v>
      </c>
      <c r="C7" s="3195" t="s">
        <v>4652</v>
      </c>
      <c r="D7" s="3195" t="s">
        <v>4652</v>
      </c>
      <c r="E7" s="3195" t="s">
        <v>4652</v>
      </c>
      <c r="F7" s="3195" t="s">
        <v>4653</v>
      </c>
      <c r="G7" s="3195" t="s">
        <v>4651</v>
      </c>
      <c r="H7" s="3195" t="s">
        <v>4652</v>
      </c>
      <c r="I7" s="3195" t="s">
        <v>4652</v>
      </c>
      <c r="J7" s="3195" t="s">
        <v>4654</v>
      </c>
      <c r="K7" s="3195" t="s">
        <v>4655</v>
      </c>
      <c r="L7" s="3196">
        <v>45677</v>
      </c>
      <c r="M7" s="3195" t="s">
        <v>4656</v>
      </c>
      <c r="N7" s="3195" t="s">
        <v>4657</v>
      </c>
      <c r="O7" s="3195" t="s">
        <v>4658</v>
      </c>
      <c r="P7" s="3195" t="s">
        <v>4659</v>
      </c>
      <c r="Q7" s="3197">
        <v>0</v>
      </c>
      <c r="R7" s="3195" t="s">
        <v>4652</v>
      </c>
      <c r="S7" s="3198">
        <v>257857.14</v>
      </c>
      <c r="T7" s="3195" t="s">
        <v>4660</v>
      </c>
      <c r="U7" s="3195" t="s">
        <v>4661</v>
      </c>
      <c r="V7" s="3195" t="s">
        <v>4668</v>
      </c>
      <c r="W7" s="3195" t="s">
        <v>4652</v>
      </c>
      <c r="X7" s="3195" t="s">
        <v>4652</v>
      </c>
      <c r="Y7" s="3197">
        <v>0</v>
      </c>
      <c r="Z7" s="3197">
        <v>0</v>
      </c>
      <c r="AA7" s="3195" t="s">
        <v>4652</v>
      </c>
      <c r="AB7" s="3195" t="s">
        <v>4652</v>
      </c>
      <c r="AC7" s="3195" t="s">
        <v>4652</v>
      </c>
    </row>
    <row r="8" spans="1:29">
      <c r="A8" s="3195" t="s">
        <v>4663</v>
      </c>
      <c r="B8" s="3195" t="s">
        <v>4652</v>
      </c>
      <c r="C8" s="3195" t="s">
        <v>4652</v>
      </c>
      <c r="D8" s="3195" t="s">
        <v>4652</v>
      </c>
      <c r="E8" s="3195" t="s">
        <v>4652</v>
      </c>
      <c r="F8" s="3195" t="s">
        <v>4653</v>
      </c>
      <c r="G8" s="3195" t="s">
        <v>4663</v>
      </c>
      <c r="H8" s="3195" t="s">
        <v>4652</v>
      </c>
      <c r="I8" s="3195" t="s">
        <v>4652</v>
      </c>
      <c r="J8" s="3195" t="s">
        <v>4654</v>
      </c>
      <c r="K8" s="3195" t="s">
        <v>4655</v>
      </c>
      <c r="L8" s="3196">
        <v>45677</v>
      </c>
      <c r="M8" s="3195" t="s">
        <v>4656</v>
      </c>
      <c r="N8" s="3195" t="s">
        <v>4657</v>
      </c>
      <c r="O8" s="3195" t="s">
        <v>4658</v>
      </c>
      <c r="P8" s="3195" t="s">
        <v>4659</v>
      </c>
      <c r="Q8" s="3197">
        <v>0</v>
      </c>
      <c r="R8" s="3195" t="s">
        <v>4652</v>
      </c>
      <c r="S8" s="3198">
        <v>86451.18</v>
      </c>
      <c r="T8" s="3195" t="s">
        <v>4660</v>
      </c>
      <c r="U8" s="3195" t="s">
        <v>4661</v>
      </c>
      <c r="V8" s="3195" t="s">
        <v>4669</v>
      </c>
      <c r="W8" s="3195" t="s">
        <v>4652</v>
      </c>
      <c r="X8" s="3195" t="s">
        <v>4652</v>
      </c>
      <c r="Y8" s="3197">
        <v>0</v>
      </c>
      <c r="Z8" s="3197">
        <v>0</v>
      </c>
      <c r="AA8" s="3195" t="s">
        <v>4652</v>
      </c>
      <c r="AB8" s="3195" t="s">
        <v>4652</v>
      </c>
      <c r="AC8" s="3195" t="s">
        <v>4652</v>
      </c>
    </row>
    <row r="9" spans="1:29">
      <c r="A9" s="3195" t="s">
        <v>4663</v>
      </c>
      <c r="B9" s="3195" t="s">
        <v>4652</v>
      </c>
      <c r="C9" s="3195" t="s">
        <v>4652</v>
      </c>
      <c r="D9" s="3195" t="s">
        <v>4652</v>
      </c>
      <c r="E9" s="3195" t="s">
        <v>4652</v>
      </c>
      <c r="F9" s="3195" t="s">
        <v>4653</v>
      </c>
      <c r="G9" s="3195" t="s">
        <v>4663</v>
      </c>
      <c r="H9" s="3195" t="s">
        <v>4652</v>
      </c>
      <c r="I9" s="3195" t="s">
        <v>4652</v>
      </c>
      <c r="J9" s="3195" t="s">
        <v>4654</v>
      </c>
      <c r="K9" s="3195" t="s">
        <v>4655</v>
      </c>
      <c r="L9" s="3196">
        <v>45677</v>
      </c>
      <c r="M9" s="3195" t="s">
        <v>4656</v>
      </c>
      <c r="N9" s="3195" t="s">
        <v>4657</v>
      </c>
      <c r="O9" s="3195" t="s">
        <v>4658</v>
      </c>
      <c r="P9" s="3195" t="s">
        <v>4659</v>
      </c>
      <c r="Q9" s="3197">
        <v>0</v>
      </c>
      <c r="R9" s="3195" t="s">
        <v>4652</v>
      </c>
      <c r="S9" s="3198">
        <v>338287.49</v>
      </c>
      <c r="T9" s="3195" t="s">
        <v>4660</v>
      </c>
      <c r="U9" s="3195" t="s">
        <v>4661</v>
      </c>
      <c r="V9" s="3195" t="s">
        <v>4670</v>
      </c>
      <c r="W9" s="3195" t="s">
        <v>4652</v>
      </c>
      <c r="X9" s="3195" t="s">
        <v>4652</v>
      </c>
      <c r="Y9" s="3197">
        <v>0</v>
      </c>
      <c r="Z9" s="3197">
        <v>0</v>
      </c>
      <c r="AA9" s="3195" t="s">
        <v>4652</v>
      </c>
      <c r="AB9" s="3195" t="s">
        <v>4652</v>
      </c>
      <c r="AC9" s="3195" t="s">
        <v>4652</v>
      </c>
    </row>
    <row r="10" spans="1:29">
      <c r="A10" s="3195" t="s">
        <v>4663</v>
      </c>
      <c r="B10" s="3195" t="s">
        <v>4652</v>
      </c>
      <c r="C10" s="3195" t="s">
        <v>4652</v>
      </c>
      <c r="D10" s="3195" t="s">
        <v>4652</v>
      </c>
      <c r="E10" s="3195" t="s">
        <v>4652</v>
      </c>
      <c r="F10" s="3195" t="s">
        <v>4653</v>
      </c>
      <c r="G10" s="3195" t="s">
        <v>4663</v>
      </c>
      <c r="H10" s="3195" t="s">
        <v>4652</v>
      </c>
      <c r="I10" s="3195" t="s">
        <v>4652</v>
      </c>
      <c r="J10" s="3195" t="s">
        <v>4654</v>
      </c>
      <c r="K10" s="3195" t="s">
        <v>4655</v>
      </c>
      <c r="L10" s="3196">
        <v>45708</v>
      </c>
      <c r="M10" s="3195" t="s">
        <v>4671</v>
      </c>
      <c r="N10" s="3195" t="s">
        <v>4657</v>
      </c>
      <c r="O10" s="3195" t="s">
        <v>4658</v>
      </c>
      <c r="P10" s="3195" t="s">
        <v>4672</v>
      </c>
      <c r="Q10" s="3197">
        <v>0</v>
      </c>
      <c r="R10" s="3195" t="s">
        <v>4652</v>
      </c>
      <c r="S10" s="3198">
        <v>474771.82</v>
      </c>
      <c r="T10" s="3195" t="s">
        <v>4673</v>
      </c>
      <c r="U10" s="3195" t="s">
        <v>4674</v>
      </c>
      <c r="V10" s="3195" t="s">
        <v>4675</v>
      </c>
      <c r="W10" s="3195" t="s">
        <v>4652</v>
      </c>
      <c r="X10" s="3195" t="s">
        <v>4652</v>
      </c>
      <c r="Y10" s="3197">
        <v>0</v>
      </c>
      <c r="Z10" s="3197">
        <v>0</v>
      </c>
      <c r="AA10" s="3195" t="s">
        <v>4652</v>
      </c>
      <c r="AB10" s="3195" t="s">
        <v>4652</v>
      </c>
      <c r="AC10" s="3195" t="s">
        <v>4652</v>
      </c>
    </row>
    <row r="11" spans="1:29">
      <c r="A11" s="3195" t="s">
        <v>4651</v>
      </c>
      <c r="B11" s="3195" t="s">
        <v>4652</v>
      </c>
      <c r="C11" s="3195" t="s">
        <v>4652</v>
      </c>
      <c r="D11" s="3195" t="s">
        <v>4652</v>
      </c>
      <c r="E11" s="3195" t="s">
        <v>4652</v>
      </c>
      <c r="F11" s="3195" t="s">
        <v>4653</v>
      </c>
      <c r="G11" s="3195" t="s">
        <v>4651</v>
      </c>
      <c r="H11" s="3195" t="s">
        <v>4652</v>
      </c>
      <c r="I11" s="3195" t="s">
        <v>4652</v>
      </c>
      <c r="J11" s="3195" t="s">
        <v>4654</v>
      </c>
      <c r="K11" s="3195" t="s">
        <v>4655</v>
      </c>
      <c r="L11" s="3196">
        <v>45708</v>
      </c>
      <c r="M11" s="3195" t="s">
        <v>4671</v>
      </c>
      <c r="N11" s="3195" t="s">
        <v>4657</v>
      </c>
      <c r="O11" s="3195" t="s">
        <v>4658</v>
      </c>
      <c r="P11" s="3195" t="s">
        <v>4672</v>
      </c>
      <c r="Q11" s="3197">
        <v>0</v>
      </c>
      <c r="R11" s="3195" t="s">
        <v>4652</v>
      </c>
      <c r="S11" s="3198">
        <v>71060</v>
      </c>
      <c r="T11" s="3195" t="s">
        <v>4673</v>
      </c>
      <c r="U11" s="3195" t="s">
        <v>4674</v>
      </c>
      <c r="V11" s="3195" t="s">
        <v>4662</v>
      </c>
      <c r="W11" s="3195" t="s">
        <v>4652</v>
      </c>
      <c r="X11" s="3195" t="s">
        <v>4652</v>
      </c>
      <c r="Y11" s="3197">
        <v>0</v>
      </c>
      <c r="Z11" s="3197">
        <v>0</v>
      </c>
      <c r="AA11" s="3195" t="s">
        <v>4652</v>
      </c>
      <c r="AB11" s="3195" t="s">
        <v>4652</v>
      </c>
      <c r="AC11" s="3195" t="s">
        <v>4652</v>
      </c>
    </row>
    <row r="12" spans="1:29">
      <c r="A12" s="3195" t="s">
        <v>4663</v>
      </c>
      <c r="B12" s="3195" t="s">
        <v>4652</v>
      </c>
      <c r="C12" s="3195" t="s">
        <v>4652</v>
      </c>
      <c r="D12" s="3195" t="s">
        <v>4652</v>
      </c>
      <c r="E12" s="3195" t="s">
        <v>4652</v>
      </c>
      <c r="F12" s="3195" t="s">
        <v>4653</v>
      </c>
      <c r="G12" s="3195" t="s">
        <v>4663</v>
      </c>
      <c r="H12" s="3195" t="s">
        <v>4652</v>
      </c>
      <c r="I12" s="3195" t="s">
        <v>4652</v>
      </c>
      <c r="J12" s="3195" t="s">
        <v>4654</v>
      </c>
      <c r="K12" s="3195" t="s">
        <v>4655</v>
      </c>
      <c r="L12" s="3196">
        <v>45708</v>
      </c>
      <c r="M12" s="3195" t="s">
        <v>4671</v>
      </c>
      <c r="N12" s="3195" t="s">
        <v>4657</v>
      </c>
      <c r="O12" s="3195" t="s">
        <v>4658</v>
      </c>
      <c r="P12" s="3195" t="s">
        <v>4672</v>
      </c>
      <c r="Q12" s="3197">
        <v>0</v>
      </c>
      <c r="R12" s="3195" t="s">
        <v>4652</v>
      </c>
      <c r="S12" s="3198">
        <v>13755.14</v>
      </c>
      <c r="T12" s="3195" t="s">
        <v>4673</v>
      </c>
      <c r="U12" s="3195" t="s">
        <v>4674</v>
      </c>
      <c r="V12" s="3195" t="s">
        <v>4664</v>
      </c>
      <c r="W12" s="3195" t="s">
        <v>4652</v>
      </c>
      <c r="X12" s="3195" t="s">
        <v>4652</v>
      </c>
      <c r="Y12" s="3197">
        <v>0</v>
      </c>
      <c r="Z12" s="3197">
        <v>0</v>
      </c>
      <c r="AA12" s="3195" t="s">
        <v>4652</v>
      </c>
      <c r="AB12" s="3195" t="s">
        <v>4652</v>
      </c>
      <c r="AC12" s="3195" t="s">
        <v>4652</v>
      </c>
    </row>
    <row r="13" spans="1:29">
      <c r="A13" s="3195" t="s">
        <v>4663</v>
      </c>
      <c r="B13" s="3195" t="s">
        <v>4652</v>
      </c>
      <c r="C13" s="3195" t="s">
        <v>4652</v>
      </c>
      <c r="D13" s="3195" t="s">
        <v>4652</v>
      </c>
      <c r="E13" s="3195" t="s">
        <v>4652</v>
      </c>
      <c r="F13" s="3195" t="s">
        <v>4653</v>
      </c>
      <c r="G13" s="3195" t="s">
        <v>4663</v>
      </c>
      <c r="H13" s="3195" t="s">
        <v>4652</v>
      </c>
      <c r="I13" s="3195" t="s">
        <v>4652</v>
      </c>
      <c r="J13" s="3195" t="s">
        <v>4654</v>
      </c>
      <c r="K13" s="3195" t="s">
        <v>4655</v>
      </c>
      <c r="L13" s="3196">
        <v>45708</v>
      </c>
      <c r="M13" s="3195" t="s">
        <v>4671</v>
      </c>
      <c r="N13" s="3195" t="s">
        <v>4657</v>
      </c>
      <c r="O13" s="3195" t="s">
        <v>4658</v>
      </c>
      <c r="P13" s="3195" t="s">
        <v>4672</v>
      </c>
      <c r="Q13" s="3197">
        <v>0</v>
      </c>
      <c r="R13" s="3195" t="s">
        <v>4652</v>
      </c>
      <c r="S13" s="3198">
        <v>31745.71</v>
      </c>
      <c r="T13" s="3195" t="s">
        <v>4673</v>
      </c>
      <c r="U13" s="3195" t="s">
        <v>4674</v>
      </c>
      <c r="V13" s="3195" t="s">
        <v>4665</v>
      </c>
      <c r="W13" s="3195" t="s">
        <v>4652</v>
      </c>
      <c r="X13" s="3195" t="s">
        <v>4652</v>
      </c>
      <c r="Y13" s="3197">
        <v>0</v>
      </c>
      <c r="Z13" s="3197">
        <v>0</v>
      </c>
      <c r="AA13" s="3195" t="s">
        <v>4652</v>
      </c>
      <c r="AB13" s="3195" t="s">
        <v>4652</v>
      </c>
      <c r="AC13" s="3195" t="s">
        <v>4652</v>
      </c>
    </row>
    <row r="14" spans="1:29">
      <c r="A14" s="3195" t="s">
        <v>4663</v>
      </c>
      <c r="B14" s="3195" t="s">
        <v>4652</v>
      </c>
      <c r="C14" s="3195" t="s">
        <v>4652</v>
      </c>
      <c r="D14" s="3195" t="s">
        <v>4652</v>
      </c>
      <c r="E14" s="3195" t="s">
        <v>4652</v>
      </c>
      <c r="F14" s="3195" t="s">
        <v>4653</v>
      </c>
      <c r="G14" s="3195" t="s">
        <v>4663</v>
      </c>
      <c r="H14" s="3195" t="s">
        <v>4652</v>
      </c>
      <c r="I14" s="3195" t="s">
        <v>4652</v>
      </c>
      <c r="J14" s="3195" t="s">
        <v>4654</v>
      </c>
      <c r="K14" s="3195" t="s">
        <v>4655</v>
      </c>
      <c r="L14" s="3196">
        <v>45708</v>
      </c>
      <c r="M14" s="3195" t="s">
        <v>4671</v>
      </c>
      <c r="N14" s="3195" t="s">
        <v>4657</v>
      </c>
      <c r="O14" s="3195" t="s">
        <v>4658</v>
      </c>
      <c r="P14" s="3195" t="s">
        <v>4672</v>
      </c>
      <c r="Q14" s="3197">
        <v>0</v>
      </c>
      <c r="R14" s="3195" t="s">
        <v>4652</v>
      </c>
      <c r="S14" s="3198">
        <v>37301.9</v>
      </c>
      <c r="T14" s="3195" t="s">
        <v>4673</v>
      </c>
      <c r="U14" s="3195" t="s">
        <v>4674</v>
      </c>
      <c r="V14" s="3195" t="s">
        <v>4666</v>
      </c>
      <c r="W14" s="3195" t="s">
        <v>4652</v>
      </c>
      <c r="X14" s="3195" t="s">
        <v>4652</v>
      </c>
      <c r="Y14" s="3197">
        <v>0</v>
      </c>
      <c r="Z14" s="3197">
        <v>0</v>
      </c>
      <c r="AA14" s="3195" t="s">
        <v>4652</v>
      </c>
      <c r="AB14" s="3195" t="s">
        <v>4652</v>
      </c>
      <c r="AC14" s="3195" t="s">
        <v>4652</v>
      </c>
    </row>
    <row r="15" spans="1:29">
      <c r="A15" s="3195" t="s">
        <v>4663</v>
      </c>
      <c r="B15" s="3195" t="s">
        <v>4652</v>
      </c>
      <c r="C15" s="3195" t="s">
        <v>4652</v>
      </c>
      <c r="D15" s="3195" t="s">
        <v>4652</v>
      </c>
      <c r="E15" s="3195" t="s">
        <v>4652</v>
      </c>
      <c r="F15" s="3195" t="s">
        <v>4653</v>
      </c>
      <c r="G15" s="3195" t="s">
        <v>4663</v>
      </c>
      <c r="H15" s="3195" t="s">
        <v>4652</v>
      </c>
      <c r="I15" s="3195" t="s">
        <v>4652</v>
      </c>
      <c r="J15" s="3195" t="s">
        <v>4654</v>
      </c>
      <c r="K15" s="3195" t="s">
        <v>4655</v>
      </c>
      <c r="L15" s="3196">
        <v>45708</v>
      </c>
      <c r="M15" s="3195" t="s">
        <v>4671</v>
      </c>
      <c r="N15" s="3195" t="s">
        <v>4657</v>
      </c>
      <c r="O15" s="3195" t="s">
        <v>4658</v>
      </c>
      <c r="P15" s="3195" t="s">
        <v>4672</v>
      </c>
      <c r="Q15" s="3197">
        <v>0</v>
      </c>
      <c r="R15" s="3195" t="s">
        <v>4652</v>
      </c>
      <c r="S15" s="3198">
        <v>31745.71</v>
      </c>
      <c r="T15" s="3195" t="s">
        <v>4673</v>
      </c>
      <c r="U15" s="3195" t="s">
        <v>4674</v>
      </c>
      <c r="V15" s="3195" t="s">
        <v>4667</v>
      </c>
      <c r="W15" s="3195" t="s">
        <v>4652</v>
      </c>
      <c r="X15" s="3195" t="s">
        <v>4652</v>
      </c>
      <c r="Y15" s="3197">
        <v>0</v>
      </c>
      <c r="Z15" s="3197">
        <v>0</v>
      </c>
      <c r="AA15" s="3195" t="s">
        <v>4652</v>
      </c>
      <c r="AB15" s="3195" t="s">
        <v>4652</v>
      </c>
      <c r="AC15" s="3195" t="s">
        <v>4652</v>
      </c>
    </row>
    <row r="16" spans="1:29">
      <c r="A16" s="3195" t="s">
        <v>4651</v>
      </c>
      <c r="B16" s="3195" t="s">
        <v>4652</v>
      </c>
      <c r="C16" s="3195" t="s">
        <v>4652</v>
      </c>
      <c r="D16" s="3195" t="s">
        <v>4652</v>
      </c>
      <c r="E16" s="3195" t="s">
        <v>4652</v>
      </c>
      <c r="F16" s="3195" t="s">
        <v>4653</v>
      </c>
      <c r="G16" s="3195" t="s">
        <v>4651</v>
      </c>
      <c r="H16" s="3195" t="s">
        <v>4652</v>
      </c>
      <c r="I16" s="3195" t="s">
        <v>4652</v>
      </c>
      <c r="J16" s="3195" t="s">
        <v>4654</v>
      </c>
      <c r="K16" s="3195" t="s">
        <v>4655</v>
      </c>
      <c r="L16" s="3196">
        <v>45708</v>
      </c>
      <c r="M16" s="3195" t="s">
        <v>4671</v>
      </c>
      <c r="N16" s="3195" t="s">
        <v>4657</v>
      </c>
      <c r="O16" s="3195" t="s">
        <v>4658</v>
      </c>
      <c r="P16" s="3195" t="s">
        <v>4672</v>
      </c>
      <c r="Q16" s="3197">
        <v>0</v>
      </c>
      <c r="R16" s="3195" t="s">
        <v>4652</v>
      </c>
      <c r="S16" s="3198">
        <v>240666.67</v>
      </c>
      <c r="T16" s="3195" t="s">
        <v>4673</v>
      </c>
      <c r="U16" s="3195" t="s">
        <v>4674</v>
      </c>
      <c r="V16" s="3195" t="s">
        <v>4668</v>
      </c>
      <c r="W16" s="3195" t="s">
        <v>4652</v>
      </c>
      <c r="X16" s="3195" t="s">
        <v>4652</v>
      </c>
      <c r="Y16" s="3197">
        <v>0</v>
      </c>
      <c r="Z16" s="3197">
        <v>0</v>
      </c>
      <c r="AA16" s="3195" t="s">
        <v>4652</v>
      </c>
      <c r="AB16" s="3195" t="s">
        <v>4652</v>
      </c>
      <c r="AC16" s="3195" t="s">
        <v>4652</v>
      </c>
    </row>
    <row r="17" spans="1:29">
      <c r="A17" s="3195" t="s">
        <v>4663</v>
      </c>
      <c r="B17" s="3195" t="s">
        <v>4652</v>
      </c>
      <c r="C17" s="3195" t="s">
        <v>4652</v>
      </c>
      <c r="D17" s="3195" t="s">
        <v>4652</v>
      </c>
      <c r="E17" s="3195" t="s">
        <v>4652</v>
      </c>
      <c r="F17" s="3195" t="s">
        <v>4653</v>
      </c>
      <c r="G17" s="3195" t="s">
        <v>4663</v>
      </c>
      <c r="H17" s="3195" t="s">
        <v>4652</v>
      </c>
      <c r="I17" s="3195" t="s">
        <v>4652</v>
      </c>
      <c r="J17" s="3195" t="s">
        <v>4654</v>
      </c>
      <c r="K17" s="3195" t="s">
        <v>4655</v>
      </c>
      <c r="L17" s="3196">
        <v>45708</v>
      </c>
      <c r="M17" s="3195" t="s">
        <v>4671</v>
      </c>
      <c r="N17" s="3195" t="s">
        <v>4657</v>
      </c>
      <c r="O17" s="3195" t="s">
        <v>4658</v>
      </c>
      <c r="P17" s="3195" t="s">
        <v>4672</v>
      </c>
      <c r="Q17" s="3197">
        <v>0</v>
      </c>
      <c r="R17" s="3195" t="s">
        <v>4652</v>
      </c>
      <c r="S17" s="3198">
        <v>78084.929999999993</v>
      </c>
      <c r="T17" s="3195" t="s">
        <v>4673</v>
      </c>
      <c r="U17" s="3195" t="s">
        <v>4674</v>
      </c>
      <c r="V17" s="3195" t="s">
        <v>4669</v>
      </c>
      <c r="W17" s="3195" t="s">
        <v>4652</v>
      </c>
      <c r="X17" s="3195" t="s">
        <v>4652</v>
      </c>
      <c r="Y17" s="3197">
        <v>0</v>
      </c>
      <c r="Z17" s="3197">
        <v>0</v>
      </c>
      <c r="AA17" s="3195" t="s">
        <v>4652</v>
      </c>
      <c r="AB17" s="3195" t="s">
        <v>4652</v>
      </c>
      <c r="AC17" s="3195" t="s">
        <v>4652</v>
      </c>
    </row>
    <row r="18" spans="1:29">
      <c r="A18" s="3195" t="s">
        <v>4663</v>
      </c>
      <c r="B18" s="3195" t="s">
        <v>4652</v>
      </c>
      <c r="C18" s="3195" t="s">
        <v>4652</v>
      </c>
      <c r="D18" s="3195" t="s">
        <v>4652</v>
      </c>
      <c r="E18" s="3195" t="s">
        <v>4652</v>
      </c>
      <c r="F18" s="3195" t="s">
        <v>4653</v>
      </c>
      <c r="G18" s="3195" t="s">
        <v>4663</v>
      </c>
      <c r="H18" s="3195" t="s">
        <v>4652</v>
      </c>
      <c r="I18" s="3195" t="s">
        <v>4652</v>
      </c>
      <c r="J18" s="3195" t="s">
        <v>4654</v>
      </c>
      <c r="K18" s="3195" t="s">
        <v>4655</v>
      </c>
      <c r="L18" s="3196">
        <v>45708</v>
      </c>
      <c r="M18" s="3195" t="s">
        <v>4671</v>
      </c>
      <c r="N18" s="3195" t="s">
        <v>4657</v>
      </c>
      <c r="O18" s="3195" t="s">
        <v>4658</v>
      </c>
      <c r="P18" s="3195" t="s">
        <v>4672</v>
      </c>
      <c r="Q18" s="3197">
        <v>0</v>
      </c>
      <c r="R18" s="3195" t="s">
        <v>4652</v>
      </c>
      <c r="S18" s="3198">
        <v>310226.77</v>
      </c>
      <c r="T18" s="3195" t="s">
        <v>4673</v>
      </c>
      <c r="U18" s="3195" t="s">
        <v>4674</v>
      </c>
      <c r="V18" s="3195" t="s">
        <v>4670</v>
      </c>
      <c r="W18" s="3195" t="s">
        <v>4652</v>
      </c>
      <c r="X18" s="3195" t="s">
        <v>4652</v>
      </c>
      <c r="Y18" s="3197">
        <v>0</v>
      </c>
      <c r="Z18" s="3197">
        <v>0</v>
      </c>
      <c r="AA18" s="3195" t="s">
        <v>4652</v>
      </c>
      <c r="AB18" s="3195" t="s">
        <v>4652</v>
      </c>
      <c r="AC18" s="3195" t="s">
        <v>4652</v>
      </c>
    </row>
    <row r="19" spans="1:29">
      <c r="A19" s="3195" t="s">
        <v>4663</v>
      </c>
      <c r="B19" s="3195" t="s">
        <v>4652</v>
      </c>
      <c r="C19" s="3195" t="s">
        <v>4652</v>
      </c>
      <c r="D19" s="3195" t="s">
        <v>4652</v>
      </c>
      <c r="E19" s="3195" t="s">
        <v>4652</v>
      </c>
      <c r="F19" s="3195" t="s">
        <v>4653</v>
      </c>
      <c r="G19" s="3195" t="s">
        <v>4663</v>
      </c>
      <c r="H19" s="3195" t="s">
        <v>4652</v>
      </c>
      <c r="I19" s="3195" t="s">
        <v>4652</v>
      </c>
      <c r="J19" s="3195" t="s">
        <v>4654</v>
      </c>
      <c r="K19" s="3195" t="s">
        <v>4655</v>
      </c>
      <c r="L19" s="3196">
        <v>45741</v>
      </c>
      <c r="M19" s="3195" t="s">
        <v>4676</v>
      </c>
      <c r="N19" s="3195" t="s">
        <v>4657</v>
      </c>
      <c r="O19" s="3195" t="s">
        <v>4658</v>
      </c>
      <c r="P19" s="3195" t="s">
        <v>4677</v>
      </c>
      <c r="Q19" s="3197">
        <v>0</v>
      </c>
      <c r="R19" s="3195" t="s">
        <v>4652</v>
      </c>
      <c r="S19" s="3198">
        <v>949543.64</v>
      </c>
      <c r="T19" s="3195" t="s">
        <v>4678</v>
      </c>
      <c r="U19" s="3195" t="s">
        <v>4679</v>
      </c>
      <c r="V19" s="3195" t="s">
        <v>4675</v>
      </c>
      <c r="W19" s="3195" t="s">
        <v>4652</v>
      </c>
      <c r="X19" s="3195" t="s">
        <v>4652</v>
      </c>
      <c r="Y19" s="3197">
        <v>0</v>
      </c>
      <c r="Z19" s="3197">
        <v>0</v>
      </c>
      <c r="AA19" s="3195" t="s">
        <v>4652</v>
      </c>
      <c r="AB19" s="3195" t="s">
        <v>4652</v>
      </c>
      <c r="AC19" s="3195" t="s">
        <v>4652</v>
      </c>
    </row>
    <row r="20" spans="1:29">
      <c r="A20" s="3195" t="s">
        <v>4651</v>
      </c>
      <c r="B20" s="3195" t="s">
        <v>4652</v>
      </c>
      <c r="C20" s="3195" t="s">
        <v>4652</v>
      </c>
      <c r="D20" s="3195" t="s">
        <v>4652</v>
      </c>
      <c r="E20" s="3195" t="s">
        <v>4652</v>
      </c>
      <c r="F20" s="3195" t="s">
        <v>4653</v>
      </c>
      <c r="G20" s="3195" t="s">
        <v>4651</v>
      </c>
      <c r="H20" s="3195" t="s">
        <v>4652</v>
      </c>
      <c r="I20" s="3195" t="s">
        <v>4652</v>
      </c>
      <c r="J20" s="3195" t="s">
        <v>4654</v>
      </c>
      <c r="K20" s="3195" t="s">
        <v>4655</v>
      </c>
      <c r="L20" s="3196">
        <v>45741</v>
      </c>
      <c r="M20" s="3195" t="s">
        <v>4676</v>
      </c>
      <c r="N20" s="3195" t="s">
        <v>4657</v>
      </c>
      <c r="O20" s="3195" t="s">
        <v>4658</v>
      </c>
      <c r="P20" s="3195" t="s">
        <v>4677</v>
      </c>
      <c r="Q20" s="3197">
        <v>0</v>
      </c>
      <c r="R20" s="3195" t="s">
        <v>4652</v>
      </c>
      <c r="S20" s="3198">
        <v>78673.570000000007</v>
      </c>
      <c r="T20" s="3195" t="s">
        <v>4678</v>
      </c>
      <c r="U20" s="3195" t="s">
        <v>4679</v>
      </c>
      <c r="V20" s="3195" t="s">
        <v>4662</v>
      </c>
      <c r="W20" s="3195" t="s">
        <v>4652</v>
      </c>
      <c r="X20" s="3195" t="s">
        <v>4652</v>
      </c>
      <c r="Y20" s="3197">
        <v>0</v>
      </c>
      <c r="Z20" s="3197">
        <v>0</v>
      </c>
      <c r="AA20" s="3195" t="s">
        <v>4652</v>
      </c>
      <c r="AB20" s="3195" t="s">
        <v>4652</v>
      </c>
      <c r="AC20" s="3195" t="s">
        <v>4652</v>
      </c>
    </row>
    <row r="21" spans="1:29">
      <c r="A21" s="3195" t="s">
        <v>4663</v>
      </c>
      <c r="B21" s="3195" t="s">
        <v>4652</v>
      </c>
      <c r="C21" s="3195" t="s">
        <v>4652</v>
      </c>
      <c r="D21" s="3195" t="s">
        <v>4652</v>
      </c>
      <c r="E21" s="3195" t="s">
        <v>4652</v>
      </c>
      <c r="F21" s="3195" t="s">
        <v>4653</v>
      </c>
      <c r="G21" s="3195" t="s">
        <v>4663</v>
      </c>
      <c r="H21" s="3195" t="s">
        <v>4652</v>
      </c>
      <c r="I21" s="3195" t="s">
        <v>4652</v>
      </c>
      <c r="J21" s="3195" t="s">
        <v>4654</v>
      </c>
      <c r="K21" s="3195" t="s">
        <v>4655</v>
      </c>
      <c r="L21" s="3196">
        <v>45741</v>
      </c>
      <c r="M21" s="3195" t="s">
        <v>4676</v>
      </c>
      <c r="N21" s="3195" t="s">
        <v>4657</v>
      </c>
      <c r="O21" s="3195" t="s">
        <v>4658</v>
      </c>
      <c r="P21" s="3195" t="s">
        <v>4677</v>
      </c>
      <c r="Q21" s="3197">
        <v>0</v>
      </c>
      <c r="R21" s="3195" t="s">
        <v>4652</v>
      </c>
      <c r="S21" s="3198">
        <v>13755.14</v>
      </c>
      <c r="T21" s="3195" t="s">
        <v>4678</v>
      </c>
      <c r="U21" s="3195" t="s">
        <v>4679</v>
      </c>
      <c r="V21" s="3195" t="s">
        <v>4664</v>
      </c>
      <c r="W21" s="3195" t="s">
        <v>4652</v>
      </c>
      <c r="X21" s="3195" t="s">
        <v>4652</v>
      </c>
      <c r="Y21" s="3197">
        <v>0</v>
      </c>
      <c r="Z21" s="3197">
        <v>0</v>
      </c>
      <c r="AA21" s="3195" t="s">
        <v>4652</v>
      </c>
      <c r="AB21" s="3195" t="s">
        <v>4652</v>
      </c>
      <c r="AC21" s="3195" t="s">
        <v>4652</v>
      </c>
    </row>
    <row r="22" spans="1:29">
      <c r="A22" s="3195" t="s">
        <v>4663</v>
      </c>
      <c r="B22" s="3195" t="s">
        <v>4652</v>
      </c>
      <c r="C22" s="3195" t="s">
        <v>4652</v>
      </c>
      <c r="D22" s="3195" t="s">
        <v>4652</v>
      </c>
      <c r="E22" s="3195" t="s">
        <v>4652</v>
      </c>
      <c r="F22" s="3195" t="s">
        <v>4653</v>
      </c>
      <c r="G22" s="3195" t="s">
        <v>4663</v>
      </c>
      <c r="H22" s="3195" t="s">
        <v>4652</v>
      </c>
      <c r="I22" s="3195" t="s">
        <v>4652</v>
      </c>
      <c r="J22" s="3195" t="s">
        <v>4654</v>
      </c>
      <c r="K22" s="3195" t="s">
        <v>4655</v>
      </c>
      <c r="L22" s="3196">
        <v>45741</v>
      </c>
      <c r="M22" s="3195" t="s">
        <v>4676</v>
      </c>
      <c r="N22" s="3195" t="s">
        <v>4657</v>
      </c>
      <c r="O22" s="3195" t="s">
        <v>4658</v>
      </c>
      <c r="P22" s="3195" t="s">
        <v>4677</v>
      </c>
      <c r="Q22" s="3197">
        <v>0</v>
      </c>
      <c r="R22" s="3195" t="s">
        <v>4652</v>
      </c>
      <c r="S22" s="3198">
        <v>31745.71</v>
      </c>
      <c r="T22" s="3195" t="s">
        <v>4678</v>
      </c>
      <c r="U22" s="3195" t="s">
        <v>4679</v>
      </c>
      <c r="V22" s="3195" t="s">
        <v>4665</v>
      </c>
      <c r="W22" s="3195" t="s">
        <v>4652</v>
      </c>
      <c r="X22" s="3195" t="s">
        <v>4652</v>
      </c>
      <c r="Y22" s="3197">
        <v>0</v>
      </c>
      <c r="Z22" s="3197">
        <v>0</v>
      </c>
      <c r="AA22" s="3195" t="s">
        <v>4652</v>
      </c>
      <c r="AB22" s="3195" t="s">
        <v>4652</v>
      </c>
      <c r="AC22" s="3195" t="s">
        <v>4652</v>
      </c>
    </row>
    <row r="23" spans="1:29">
      <c r="A23" s="3195" t="s">
        <v>4663</v>
      </c>
      <c r="B23" s="3195" t="s">
        <v>4652</v>
      </c>
      <c r="C23" s="3195" t="s">
        <v>4652</v>
      </c>
      <c r="D23" s="3195" t="s">
        <v>4652</v>
      </c>
      <c r="E23" s="3195" t="s">
        <v>4652</v>
      </c>
      <c r="F23" s="3195" t="s">
        <v>4653</v>
      </c>
      <c r="G23" s="3195" t="s">
        <v>4663</v>
      </c>
      <c r="H23" s="3195" t="s">
        <v>4652</v>
      </c>
      <c r="I23" s="3195" t="s">
        <v>4652</v>
      </c>
      <c r="J23" s="3195" t="s">
        <v>4654</v>
      </c>
      <c r="K23" s="3195" t="s">
        <v>4655</v>
      </c>
      <c r="L23" s="3196">
        <v>45741</v>
      </c>
      <c r="M23" s="3195" t="s">
        <v>4676</v>
      </c>
      <c r="N23" s="3195" t="s">
        <v>4657</v>
      </c>
      <c r="O23" s="3195" t="s">
        <v>4658</v>
      </c>
      <c r="P23" s="3195" t="s">
        <v>4677</v>
      </c>
      <c r="Q23" s="3197">
        <v>0</v>
      </c>
      <c r="R23" s="3195" t="s">
        <v>4652</v>
      </c>
      <c r="S23" s="3198">
        <v>37301.9</v>
      </c>
      <c r="T23" s="3195" t="s">
        <v>4678</v>
      </c>
      <c r="U23" s="3195" t="s">
        <v>4679</v>
      </c>
      <c r="V23" s="3195" t="s">
        <v>4666</v>
      </c>
      <c r="W23" s="3195" t="s">
        <v>4652</v>
      </c>
      <c r="X23" s="3195" t="s">
        <v>4652</v>
      </c>
      <c r="Y23" s="3197">
        <v>0</v>
      </c>
      <c r="Z23" s="3197">
        <v>0</v>
      </c>
      <c r="AA23" s="3195" t="s">
        <v>4652</v>
      </c>
      <c r="AB23" s="3195" t="s">
        <v>4652</v>
      </c>
      <c r="AC23" s="3195" t="s">
        <v>4652</v>
      </c>
    </row>
    <row r="24" spans="1:29">
      <c r="A24" s="3195" t="s">
        <v>4663</v>
      </c>
      <c r="B24" s="3195" t="s">
        <v>4652</v>
      </c>
      <c r="C24" s="3195" t="s">
        <v>4652</v>
      </c>
      <c r="D24" s="3195" t="s">
        <v>4652</v>
      </c>
      <c r="E24" s="3195" t="s">
        <v>4652</v>
      </c>
      <c r="F24" s="3195" t="s">
        <v>4653</v>
      </c>
      <c r="G24" s="3195" t="s">
        <v>4663</v>
      </c>
      <c r="H24" s="3195" t="s">
        <v>4652</v>
      </c>
      <c r="I24" s="3195" t="s">
        <v>4652</v>
      </c>
      <c r="J24" s="3195" t="s">
        <v>4654</v>
      </c>
      <c r="K24" s="3195" t="s">
        <v>4655</v>
      </c>
      <c r="L24" s="3196">
        <v>45741</v>
      </c>
      <c r="M24" s="3195" t="s">
        <v>4676</v>
      </c>
      <c r="N24" s="3195" t="s">
        <v>4657</v>
      </c>
      <c r="O24" s="3195" t="s">
        <v>4658</v>
      </c>
      <c r="P24" s="3195" t="s">
        <v>4677</v>
      </c>
      <c r="Q24" s="3197">
        <v>0</v>
      </c>
      <c r="R24" s="3195" t="s">
        <v>4652</v>
      </c>
      <c r="S24" s="3198">
        <v>31745.71</v>
      </c>
      <c r="T24" s="3195" t="s">
        <v>4678</v>
      </c>
      <c r="U24" s="3195" t="s">
        <v>4679</v>
      </c>
      <c r="V24" s="3195" t="s">
        <v>4667</v>
      </c>
      <c r="W24" s="3195" t="s">
        <v>4652</v>
      </c>
      <c r="X24" s="3195" t="s">
        <v>4652</v>
      </c>
      <c r="Y24" s="3197">
        <v>0</v>
      </c>
      <c r="Z24" s="3197">
        <v>0</v>
      </c>
      <c r="AA24" s="3195" t="s">
        <v>4652</v>
      </c>
      <c r="AB24" s="3195" t="s">
        <v>4652</v>
      </c>
      <c r="AC24" s="3195" t="s">
        <v>4652</v>
      </c>
    </row>
    <row r="25" spans="1:29">
      <c r="A25" s="3195" t="s">
        <v>4651</v>
      </c>
      <c r="B25" s="3195" t="s">
        <v>4652</v>
      </c>
      <c r="C25" s="3195" t="s">
        <v>4652</v>
      </c>
      <c r="D25" s="3195" t="s">
        <v>4652</v>
      </c>
      <c r="E25" s="3195" t="s">
        <v>4652</v>
      </c>
      <c r="F25" s="3195" t="s">
        <v>4653</v>
      </c>
      <c r="G25" s="3195" t="s">
        <v>4651</v>
      </c>
      <c r="H25" s="3195" t="s">
        <v>4652</v>
      </c>
      <c r="I25" s="3195" t="s">
        <v>4652</v>
      </c>
      <c r="J25" s="3195" t="s">
        <v>4654</v>
      </c>
      <c r="K25" s="3195" t="s">
        <v>4655</v>
      </c>
      <c r="L25" s="3196">
        <v>45741</v>
      </c>
      <c r="M25" s="3195" t="s">
        <v>4676</v>
      </c>
      <c r="N25" s="3195" t="s">
        <v>4657</v>
      </c>
      <c r="O25" s="3195" t="s">
        <v>4658</v>
      </c>
      <c r="P25" s="3195" t="s">
        <v>4677</v>
      </c>
      <c r="Q25" s="3197">
        <v>0</v>
      </c>
      <c r="R25" s="3195" t="s">
        <v>4652</v>
      </c>
      <c r="S25" s="3198">
        <v>266452.38</v>
      </c>
      <c r="T25" s="3195" t="s">
        <v>4678</v>
      </c>
      <c r="U25" s="3195" t="s">
        <v>4679</v>
      </c>
      <c r="V25" s="3195" t="s">
        <v>4668</v>
      </c>
      <c r="W25" s="3195" t="s">
        <v>4652</v>
      </c>
      <c r="X25" s="3195" t="s">
        <v>4652</v>
      </c>
      <c r="Y25" s="3197">
        <v>0</v>
      </c>
      <c r="Z25" s="3197">
        <v>0</v>
      </c>
      <c r="AA25" s="3195" t="s">
        <v>4652</v>
      </c>
      <c r="AB25" s="3195" t="s">
        <v>4652</v>
      </c>
      <c r="AC25" s="3195" t="s">
        <v>4652</v>
      </c>
    </row>
    <row r="26" spans="1:29">
      <c r="A26" s="3195" t="s">
        <v>4663</v>
      </c>
      <c r="B26" s="3195" t="s">
        <v>4652</v>
      </c>
      <c r="C26" s="3195" t="s">
        <v>4652</v>
      </c>
      <c r="D26" s="3195" t="s">
        <v>4652</v>
      </c>
      <c r="E26" s="3195" t="s">
        <v>4652</v>
      </c>
      <c r="F26" s="3195" t="s">
        <v>4653</v>
      </c>
      <c r="G26" s="3195" t="s">
        <v>4663</v>
      </c>
      <c r="H26" s="3195" t="s">
        <v>4652</v>
      </c>
      <c r="I26" s="3195" t="s">
        <v>4652</v>
      </c>
      <c r="J26" s="3195" t="s">
        <v>4654</v>
      </c>
      <c r="K26" s="3195" t="s">
        <v>4655</v>
      </c>
      <c r="L26" s="3196">
        <v>45741</v>
      </c>
      <c r="M26" s="3195" t="s">
        <v>4676</v>
      </c>
      <c r="N26" s="3195" t="s">
        <v>4657</v>
      </c>
      <c r="O26" s="3195" t="s">
        <v>4658</v>
      </c>
      <c r="P26" s="3195" t="s">
        <v>4677</v>
      </c>
      <c r="Q26" s="3197">
        <v>0</v>
      </c>
      <c r="R26" s="3195" t="s">
        <v>4652</v>
      </c>
      <c r="S26" s="3198">
        <v>86451.17</v>
      </c>
      <c r="T26" s="3195" t="s">
        <v>4678</v>
      </c>
      <c r="U26" s="3195" t="s">
        <v>4679</v>
      </c>
      <c r="V26" s="3195" t="s">
        <v>4669</v>
      </c>
      <c r="W26" s="3195" t="s">
        <v>4652</v>
      </c>
      <c r="X26" s="3195" t="s">
        <v>4652</v>
      </c>
      <c r="Y26" s="3197">
        <v>0</v>
      </c>
      <c r="Z26" s="3197">
        <v>0</v>
      </c>
      <c r="AA26" s="3195" t="s">
        <v>4652</v>
      </c>
      <c r="AB26" s="3195" t="s">
        <v>4652</v>
      </c>
      <c r="AC26" s="3195" t="s">
        <v>4652</v>
      </c>
    </row>
    <row r="27" spans="1:29">
      <c r="A27" s="3195" t="s">
        <v>4663</v>
      </c>
      <c r="B27" s="3195" t="s">
        <v>4652</v>
      </c>
      <c r="C27" s="3195" t="s">
        <v>4652</v>
      </c>
      <c r="D27" s="3195" t="s">
        <v>4652</v>
      </c>
      <c r="E27" s="3195" t="s">
        <v>4652</v>
      </c>
      <c r="F27" s="3195" t="s">
        <v>4653</v>
      </c>
      <c r="G27" s="3195" t="s">
        <v>4663</v>
      </c>
      <c r="H27" s="3195" t="s">
        <v>4652</v>
      </c>
      <c r="I27" s="3195" t="s">
        <v>4652</v>
      </c>
      <c r="J27" s="3195" t="s">
        <v>4654</v>
      </c>
      <c r="K27" s="3195" t="s">
        <v>4655</v>
      </c>
      <c r="L27" s="3196">
        <v>45741</v>
      </c>
      <c r="M27" s="3195" t="s">
        <v>4676</v>
      </c>
      <c r="N27" s="3195" t="s">
        <v>4657</v>
      </c>
      <c r="O27" s="3195" t="s">
        <v>4658</v>
      </c>
      <c r="P27" s="3195" t="s">
        <v>4677</v>
      </c>
      <c r="Q27" s="3197">
        <v>0</v>
      </c>
      <c r="R27" s="3195" t="s">
        <v>4652</v>
      </c>
      <c r="S27" s="3198">
        <v>366348.2</v>
      </c>
      <c r="T27" s="3195" t="s">
        <v>4678</v>
      </c>
      <c r="U27" s="3195" t="s">
        <v>4679</v>
      </c>
      <c r="V27" s="3195" t="s">
        <v>4670</v>
      </c>
      <c r="W27" s="3195" t="s">
        <v>4652</v>
      </c>
      <c r="X27" s="3195" t="s">
        <v>4652</v>
      </c>
      <c r="Y27" s="3197">
        <v>0</v>
      </c>
      <c r="Z27" s="3197">
        <v>0</v>
      </c>
      <c r="AA27" s="3195" t="s">
        <v>4652</v>
      </c>
      <c r="AB27" s="3195" t="s">
        <v>4652</v>
      </c>
      <c r="AC27" s="3195" t="s">
        <v>4652</v>
      </c>
    </row>
    <row r="28" spans="1:29">
      <c r="A28" s="3195" t="s">
        <v>4663</v>
      </c>
      <c r="B28" s="3195" t="s">
        <v>4652</v>
      </c>
      <c r="C28" s="3195" t="s">
        <v>4652</v>
      </c>
      <c r="D28" s="3195" t="s">
        <v>4652</v>
      </c>
      <c r="E28" s="3195" t="s">
        <v>4652</v>
      </c>
      <c r="F28" s="3195" t="s">
        <v>4653</v>
      </c>
      <c r="G28" s="3195" t="s">
        <v>4663</v>
      </c>
      <c r="H28" s="3195" t="s">
        <v>4652</v>
      </c>
      <c r="I28" s="3195" t="s">
        <v>4652</v>
      </c>
      <c r="J28" s="3195" t="s">
        <v>4654</v>
      </c>
      <c r="K28" s="3195" t="s">
        <v>4655</v>
      </c>
      <c r="L28" s="3196">
        <v>45763</v>
      </c>
      <c r="M28" s="3195" t="s">
        <v>4680</v>
      </c>
      <c r="N28" s="3195" t="s">
        <v>4657</v>
      </c>
      <c r="O28" s="3195" t="s">
        <v>4658</v>
      </c>
      <c r="P28" s="3195" t="s">
        <v>4681</v>
      </c>
      <c r="Q28" s="3197">
        <v>0</v>
      </c>
      <c r="R28" s="3195" t="s">
        <v>4652</v>
      </c>
      <c r="S28" s="3198">
        <v>13755.14</v>
      </c>
      <c r="T28" s="3195" t="s">
        <v>4682</v>
      </c>
      <c r="U28" s="3195" t="s">
        <v>4683</v>
      </c>
      <c r="V28" s="3195" t="s">
        <v>4664</v>
      </c>
      <c r="W28" s="3195" t="s">
        <v>4652</v>
      </c>
      <c r="X28" s="3195" t="s">
        <v>4652</v>
      </c>
      <c r="Y28" s="3197">
        <v>0</v>
      </c>
      <c r="Z28" s="3197">
        <v>0</v>
      </c>
      <c r="AA28" s="3195" t="s">
        <v>4652</v>
      </c>
      <c r="AB28" s="3195" t="s">
        <v>4652</v>
      </c>
      <c r="AC28" s="3195" t="s">
        <v>4652</v>
      </c>
    </row>
    <row r="29" spans="1:29">
      <c r="A29" s="3195" t="s">
        <v>4651</v>
      </c>
      <c r="B29" s="3195" t="s">
        <v>4652</v>
      </c>
      <c r="C29" s="3195" t="s">
        <v>4652</v>
      </c>
      <c r="D29" s="3195" t="s">
        <v>4652</v>
      </c>
      <c r="E29" s="3195" t="s">
        <v>4652</v>
      </c>
      <c r="F29" s="3195" t="s">
        <v>4653</v>
      </c>
      <c r="G29" s="3195" t="s">
        <v>4651</v>
      </c>
      <c r="H29" s="3195" t="s">
        <v>4652</v>
      </c>
      <c r="I29" s="3195" t="s">
        <v>4652</v>
      </c>
      <c r="J29" s="3195" t="s">
        <v>4654</v>
      </c>
      <c r="K29" s="3195" t="s">
        <v>4655</v>
      </c>
      <c r="L29" s="3196">
        <v>45769</v>
      </c>
      <c r="M29" s="3195" t="s">
        <v>4684</v>
      </c>
      <c r="N29" s="3195" t="s">
        <v>4657</v>
      </c>
      <c r="O29" s="3195" t="s">
        <v>4658</v>
      </c>
      <c r="P29" s="3195" t="s">
        <v>4685</v>
      </c>
      <c r="Q29" s="3197">
        <v>0</v>
      </c>
      <c r="R29" s="3195" t="s">
        <v>4652</v>
      </c>
      <c r="S29" s="3198">
        <v>76135.710000000006</v>
      </c>
      <c r="T29" s="3195" t="s">
        <v>4686</v>
      </c>
      <c r="U29" s="3195" t="s">
        <v>4687</v>
      </c>
      <c r="V29" s="3195" t="s">
        <v>4662</v>
      </c>
      <c r="W29" s="3195" t="s">
        <v>4652</v>
      </c>
      <c r="X29" s="3195" t="s">
        <v>4652</v>
      </c>
      <c r="Y29" s="3197">
        <v>0</v>
      </c>
      <c r="Z29" s="3197">
        <v>0</v>
      </c>
      <c r="AA29" s="3195" t="s">
        <v>4652</v>
      </c>
      <c r="AB29" s="3195" t="s">
        <v>4652</v>
      </c>
      <c r="AC29" s="3195" t="s">
        <v>4652</v>
      </c>
    </row>
    <row r="30" spans="1:29">
      <c r="A30" s="3195" t="s">
        <v>4663</v>
      </c>
      <c r="B30" s="3195" t="s">
        <v>4652</v>
      </c>
      <c r="C30" s="3195" t="s">
        <v>4652</v>
      </c>
      <c r="D30" s="3195" t="s">
        <v>4652</v>
      </c>
      <c r="E30" s="3195" t="s">
        <v>4652</v>
      </c>
      <c r="F30" s="3195" t="s">
        <v>4653</v>
      </c>
      <c r="G30" s="3195" t="s">
        <v>4663</v>
      </c>
      <c r="H30" s="3195" t="s">
        <v>4652</v>
      </c>
      <c r="I30" s="3195" t="s">
        <v>4652</v>
      </c>
      <c r="J30" s="3195" t="s">
        <v>4654</v>
      </c>
      <c r="K30" s="3195" t="s">
        <v>4655</v>
      </c>
      <c r="L30" s="3196">
        <v>45769</v>
      </c>
      <c r="M30" s="3195" t="s">
        <v>4684</v>
      </c>
      <c r="N30" s="3195" t="s">
        <v>4657</v>
      </c>
      <c r="O30" s="3195" t="s">
        <v>4658</v>
      </c>
      <c r="P30" s="3195" t="s">
        <v>4685</v>
      </c>
      <c r="Q30" s="3197">
        <v>0</v>
      </c>
      <c r="R30" s="3195" t="s">
        <v>4652</v>
      </c>
      <c r="S30" s="3198">
        <v>31746.67</v>
      </c>
      <c r="T30" s="3195" t="s">
        <v>4686</v>
      </c>
      <c r="U30" s="3195" t="s">
        <v>4687</v>
      </c>
      <c r="V30" s="3195" t="s">
        <v>4665</v>
      </c>
      <c r="W30" s="3195" t="s">
        <v>4652</v>
      </c>
      <c r="X30" s="3195" t="s">
        <v>4652</v>
      </c>
      <c r="Y30" s="3197">
        <v>0</v>
      </c>
      <c r="Z30" s="3197">
        <v>0</v>
      </c>
      <c r="AA30" s="3195" t="s">
        <v>4652</v>
      </c>
      <c r="AB30" s="3195" t="s">
        <v>4652</v>
      </c>
      <c r="AC30" s="3195" t="s">
        <v>4652</v>
      </c>
    </row>
    <row r="31" spans="1:29">
      <c r="A31" s="3195" t="s">
        <v>4663</v>
      </c>
      <c r="B31" s="3195" t="s">
        <v>4652</v>
      </c>
      <c r="C31" s="3195" t="s">
        <v>4652</v>
      </c>
      <c r="D31" s="3195" t="s">
        <v>4652</v>
      </c>
      <c r="E31" s="3195" t="s">
        <v>4652</v>
      </c>
      <c r="F31" s="3195" t="s">
        <v>4653</v>
      </c>
      <c r="G31" s="3195" t="s">
        <v>4663</v>
      </c>
      <c r="H31" s="3195" t="s">
        <v>4652</v>
      </c>
      <c r="I31" s="3195" t="s">
        <v>4652</v>
      </c>
      <c r="J31" s="3195" t="s">
        <v>4654</v>
      </c>
      <c r="K31" s="3195" t="s">
        <v>4655</v>
      </c>
      <c r="L31" s="3196">
        <v>45769</v>
      </c>
      <c r="M31" s="3195" t="s">
        <v>4684</v>
      </c>
      <c r="N31" s="3195" t="s">
        <v>4657</v>
      </c>
      <c r="O31" s="3195" t="s">
        <v>4658</v>
      </c>
      <c r="P31" s="3195" t="s">
        <v>4685</v>
      </c>
      <c r="Q31" s="3197">
        <v>0</v>
      </c>
      <c r="R31" s="3195" t="s">
        <v>4652</v>
      </c>
      <c r="S31" s="3198">
        <v>37301.9</v>
      </c>
      <c r="T31" s="3195" t="s">
        <v>4686</v>
      </c>
      <c r="U31" s="3195" t="s">
        <v>4687</v>
      </c>
      <c r="V31" s="3195" t="s">
        <v>4666</v>
      </c>
      <c r="W31" s="3195" t="s">
        <v>4652</v>
      </c>
      <c r="X31" s="3195" t="s">
        <v>4652</v>
      </c>
      <c r="Y31" s="3197">
        <v>0</v>
      </c>
      <c r="Z31" s="3197">
        <v>0</v>
      </c>
      <c r="AA31" s="3195" t="s">
        <v>4652</v>
      </c>
      <c r="AB31" s="3195" t="s">
        <v>4652</v>
      </c>
      <c r="AC31" s="3195" t="s">
        <v>4652</v>
      </c>
    </row>
    <row r="32" spans="1:29">
      <c r="A32" s="3195" t="s">
        <v>4663</v>
      </c>
      <c r="B32" s="3195" t="s">
        <v>4652</v>
      </c>
      <c r="C32" s="3195" t="s">
        <v>4652</v>
      </c>
      <c r="D32" s="3195" t="s">
        <v>4652</v>
      </c>
      <c r="E32" s="3195" t="s">
        <v>4652</v>
      </c>
      <c r="F32" s="3195" t="s">
        <v>4653</v>
      </c>
      <c r="G32" s="3195" t="s">
        <v>4663</v>
      </c>
      <c r="H32" s="3195" t="s">
        <v>4652</v>
      </c>
      <c r="I32" s="3195" t="s">
        <v>4652</v>
      </c>
      <c r="J32" s="3195" t="s">
        <v>4654</v>
      </c>
      <c r="K32" s="3195" t="s">
        <v>4655</v>
      </c>
      <c r="L32" s="3196">
        <v>45769</v>
      </c>
      <c r="M32" s="3195" t="s">
        <v>4684</v>
      </c>
      <c r="N32" s="3195" t="s">
        <v>4657</v>
      </c>
      <c r="O32" s="3195" t="s">
        <v>4658</v>
      </c>
      <c r="P32" s="3195" t="s">
        <v>4685</v>
      </c>
      <c r="Q32" s="3197">
        <v>0</v>
      </c>
      <c r="R32" s="3195" t="s">
        <v>4652</v>
      </c>
      <c r="S32" s="3198">
        <v>31746.67</v>
      </c>
      <c r="T32" s="3195" t="s">
        <v>4686</v>
      </c>
      <c r="U32" s="3195" t="s">
        <v>4687</v>
      </c>
      <c r="V32" s="3195" t="s">
        <v>4667</v>
      </c>
      <c r="W32" s="3195" t="s">
        <v>4652</v>
      </c>
      <c r="X32" s="3195" t="s">
        <v>4652</v>
      </c>
      <c r="Y32" s="3197">
        <v>0</v>
      </c>
      <c r="Z32" s="3197">
        <v>0</v>
      </c>
      <c r="AA32" s="3195" t="s">
        <v>4652</v>
      </c>
      <c r="AB32" s="3195" t="s">
        <v>4652</v>
      </c>
      <c r="AC32" s="3195" t="s">
        <v>4652</v>
      </c>
    </row>
    <row r="33" spans="1:29">
      <c r="A33" s="3195" t="s">
        <v>4651</v>
      </c>
      <c r="B33" s="3195" t="s">
        <v>4652</v>
      </c>
      <c r="C33" s="3195" t="s">
        <v>4652</v>
      </c>
      <c r="D33" s="3195" t="s">
        <v>4652</v>
      </c>
      <c r="E33" s="3195" t="s">
        <v>4652</v>
      </c>
      <c r="F33" s="3195" t="s">
        <v>4653</v>
      </c>
      <c r="G33" s="3195" t="s">
        <v>4651</v>
      </c>
      <c r="H33" s="3195" t="s">
        <v>4652</v>
      </c>
      <c r="I33" s="3195" t="s">
        <v>4652</v>
      </c>
      <c r="J33" s="3195" t="s">
        <v>4654</v>
      </c>
      <c r="K33" s="3195" t="s">
        <v>4655</v>
      </c>
      <c r="L33" s="3196">
        <v>45769</v>
      </c>
      <c r="M33" s="3195" t="s">
        <v>4684</v>
      </c>
      <c r="N33" s="3195" t="s">
        <v>4657</v>
      </c>
      <c r="O33" s="3195" t="s">
        <v>4658</v>
      </c>
      <c r="P33" s="3195" t="s">
        <v>4685</v>
      </c>
      <c r="Q33" s="3197">
        <v>0</v>
      </c>
      <c r="R33" s="3195" t="s">
        <v>4652</v>
      </c>
      <c r="S33" s="3198">
        <v>257857.14</v>
      </c>
      <c r="T33" s="3195" t="s">
        <v>4686</v>
      </c>
      <c r="U33" s="3195" t="s">
        <v>4687</v>
      </c>
      <c r="V33" s="3195" t="s">
        <v>4668</v>
      </c>
      <c r="W33" s="3195" t="s">
        <v>4652</v>
      </c>
      <c r="X33" s="3195" t="s">
        <v>4652</v>
      </c>
      <c r="Y33" s="3197">
        <v>0</v>
      </c>
      <c r="Z33" s="3197">
        <v>0</v>
      </c>
      <c r="AA33" s="3195" t="s">
        <v>4652</v>
      </c>
      <c r="AB33" s="3195" t="s">
        <v>4652</v>
      </c>
      <c r="AC33" s="3195" t="s">
        <v>4652</v>
      </c>
    </row>
    <row r="34" spans="1:29">
      <c r="A34" s="3195" t="s">
        <v>4663</v>
      </c>
      <c r="B34" s="3195" t="s">
        <v>4652</v>
      </c>
      <c r="C34" s="3195" t="s">
        <v>4652</v>
      </c>
      <c r="D34" s="3195" t="s">
        <v>4652</v>
      </c>
      <c r="E34" s="3195" t="s">
        <v>4652</v>
      </c>
      <c r="F34" s="3195" t="s">
        <v>4653</v>
      </c>
      <c r="G34" s="3195" t="s">
        <v>4663</v>
      </c>
      <c r="H34" s="3195" t="s">
        <v>4652</v>
      </c>
      <c r="I34" s="3195" t="s">
        <v>4652</v>
      </c>
      <c r="J34" s="3195" t="s">
        <v>4654</v>
      </c>
      <c r="K34" s="3195" t="s">
        <v>4655</v>
      </c>
      <c r="L34" s="3196">
        <v>45769</v>
      </c>
      <c r="M34" s="3195" t="s">
        <v>4684</v>
      </c>
      <c r="N34" s="3195" t="s">
        <v>4657</v>
      </c>
      <c r="O34" s="3195" t="s">
        <v>4658</v>
      </c>
      <c r="P34" s="3195" t="s">
        <v>4685</v>
      </c>
      <c r="Q34" s="3197">
        <v>0</v>
      </c>
      <c r="R34" s="3195" t="s">
        <v>4652</v>
      </c>
      <c r="S34" s="3198">
        <v>83662.429999999993</v>
      </c>
      <c r="T34" s="3195" t="s">
        <v>4686</v>
      </c>
      <c r="U34" s="3195" t="s">
        <v>4687</v>
      </c>
      <c r="V34" s="3195" t="s">
        <v>4669</v>
      </c>
      <c r="W34" s="3195" t="s">
        <v>4652</v>
      </c>
      <c r="X34" s="3195" t="s">
        <v>4652</v>
      </c>
      <c r="Y34" s="3197">
        <v>0</v>
      </c>
      <c r="Z34" s="3197">
        <v>0</v>
      </c>
      <c r="AA34" s="3195" t="s">
        <v>4652</v>
      </c>
      <c r="AB34" s="3195" t="s">
        <v>4652</v>
      </c>
      <c r="AC34" s="3195" t="s">
        <v>4652</v>
      </c>
    </row>
    <row r="35" spans="1:29">
      <c r="A35" s="3195" t="s">
        <v>4663</v>
      </c>
      <c r="B35" s="3195" t="s">
        <v>4652</v>
      </c>
      <c r="C35" s="3195" t="s">
        <v>4652</v>
      </c>
      <c r="D35" s="3195" t="s">
        <v>4652</v>
      </c>
      <c r="E35" s="3195" t="s">
        <v>4652</v>
      </c>
      <c r="F35" s="3195" t="s">
        <v>4653</v>
      </c>
      <c r="G35" s="3195" t="s">
        <v>4663</v>
      </c>
      <c r="H35" s="3195" t="s">
        <v>4652</v>
      </c>
      <c r="I35" s="3195" t="s">
        <v>4652</v>
      </c>
      <c r="J35" s="3195" t="s">
        <v>4654</v>
      </c>
      <c r="K35" s="3195" t="s">
        <v>4655</v>
      </c>
      <c r="L35" s="3196">
        <v>45769</v>
      </c>
      <c r="M35" s="3195" t="s">
        <v>4684</v>
      </c>
      <c r="N35" s="3195" t="s">
        <v>4657</v>
      </c>
      <c r="O35" s="3195" t="s">
        <v>4658</v>
      </c>
      <c r="P35" s="3195" t="s">
        <v>4685</v>
      </c>
      <c r="Q35" s="3197">
        <v>0</v>
      </c>
      <c r="R35" s="3195" t="s">
        <v>4652</v>
      </c>
      <c r="S35" s="3198">
        <v>329557.49</v>
      </c>
      <c r="T35" s="3195" t="s">
        <v>4686</v>
      </c>
      <c r="U35" s="3195" t="s">
        <v>4687</v>
      </c>
      <c r="V35" s="3195" t="s">
        <v>4670</v>
      </c>
      <c r="W35" s="3195" t="s">
        <v>4652</v>
      </c>
      <c r="X35" s="3195" t="s">
        <v>4652</v>
      </c>
      <c r="Y35" s="3197">
        <v>0</v>
      </c>
      <c r="Z35" s="3197">
        <v>0</v>
      </c>
      <c r="AA35" s="3195" t="s">
        <v>4652</v>
      </c>
      <c r="AB35" s="3195" t="s">
        <v>4652</v>
      </c>
      <c r="AC35" s="3195" t="s">
        <v>4652</v>
      </c>
    </row>
    <row r="36" spans="1:29">
      <c r="A36" s="3195" t="s">
        <v>4651</v>
      </c>
      <c r="B36" s="3195" t="s">
        <v>4652</v>
      </c>
      <c r="C36" s="3195" t="s">
        <v>4652</v>
      </c>
      <c r="D36" s="3195" t="s">
        <v>4652</v>
      </c>
      <c r="E36" s="3195" t="s">
        <v>4652</v>
      </c>
      <c r="F36" s="3195" t="s">
        <v>4653</v>
      </c>
      <c r="G36" s="3195" t="s">
        <v>4651</v>
      </c>
      <c r="H36" s="3195" t="s">
        <v>4652</v>
      </c>
      <c r="I36" s="3195" t="s">
        <v>4652</v>
      </c>
      <c r="J36" s="3195" t="s">
        <v>4654</v>
      </c>
      <c r="K36" s="3195" t="s">
        <v>4655</v>
      </c>
      <c r="L36" s="3196">
        <v>45799</v>
      </c>
      <c r="M36" s="3195" t="s">
        <v>4688</v>
      </c>
      <c r="N36" s="3195" t="s">
        <v>4657</v>
      </c>
      <c r="O36" s="3195" t="s">
        <v>4658</v>
      </c>
      <c r="P36" s="3195" t="s">
        <v>4689</v>
      </c>
      <c r="Q36" s="3197">
        <v>0</v>
      </c>
      <c r="R36" s="3195" t="s">
        <v>4652</v>
      </c>
      <c r="S36" s="3198">
        <v>78673.570000000007</v>
      </c>
      <c r="T36" s="3195" t="s">
        <v>4690</v>
      </c>
      <c r="U36" s="3195" t="s">
        <v>4691</v>
      </c>
      <c r="V36" s="3195" t="s">
        <v>4662</v>
      </c>
      <c r="W36" s="3195" t="s">
        <v>4652</v>
      </c>
      <c r="X36" s="3195" t="s">
        <v>4652</v>
      </c>
      <c r="Y36" s="3197">
        <v>0</v>
      </c>
      <c r="Z36" s="3197">
        <v>0</v>
      </c>
      <c r="AA36" s="3195" t="s">
        <v>4652</v>
      </c>
      <c r="AB36" s="3195" t="s">
        <v>4652</v>
      </c>
      <c r="AC36" s="3195" t="s">
        <v>4652</v>
      </c>
    </row>
    <row r="37" spans="1:29">
      <c r="A37" s="3195" t="s">
        <v>4663</v>
      </c>
      <c r="B37" s="3195" t="s">
        <v>4652</v>
      </c>
      <c r="C37" s="3195" t="s">
        <v>4652</v>
      </c>
      <c r="D37" s="3195" t="s">
        <v>4652</v>
      </c>
      <c r="E37" s="3195" t="s">
        <v>4652</v>
      </c>
      <c r="F37" s="3195" t="s">
        <v>4653</v>
      </c>
      <c r="G37" s="3195" t="s">
        <v>4663</v>
      </c>
      <c r="H37" s="3195" t="s">
        <v>4652</v>
      </c>
      <c r="I37" s="3195" t="s">
        <v>4652</v>
      </c>
      <c r="J37" s="3195" t="s">
        <v>4654</v>
      </c>
      <c r="K37" s="3195" t="s">
        <v>4655</v>
      </c>
      <c r="L37" s="3196">
        <v>45799</v>
      </c>
      <c r="M37" s="3195" t="s">
        <v>4688</v>
      </c>
      <c r="N37" s="3195" t="s">
        <v>4657</v>
      </c>
      <c r="O37" s="3195" t="s">
        <v>4658</v>
      </c>
      <c r="P37" s="3195" t="s">
        <v>4689</v>
      </c>
      <c r="Q37" s="3197">
        <v>0</v>
      </c>
      <c r="R37" s="3195" t="s">
        <v>4652</v>
      </c>
      <c r="S37" s="3198">
        <v>31745.71</v>
      </c>
      <c r="T37" s="3195" t="s">
        <v>4690</v>
      </c>
      <c r="U37" s="3195" t="s">
        <v>4691</v>
      </c>
      <c r="V37" s="3195" t="s">
        <v>4665</v>
      </c>
      <c r="W37" s="3195" t="s">
        <v>4652</v>
      </c>
      <c r="X37" s="3195" t="s">
        <v>4652</v>
      </c>
      <c r="Y37" s="3197">
        <v>0</v>
      </c>
      <c r="Z37" s="3197">
        <v>0</v>
      </c>
      <c r="AA37" s="3195" t="s">
        <v>4652</v>
      </c>
      <c r="AB37" s="3195" t="s">
        <v>4652</v>
      </c>
      <c r="AC37" s="3195" t="s">
        <v>4652</v>
      </c>
    </row>
    <row r="38" spans="1:29">
      <c r="A38" s="3195" t="s">
        <v>4663</v>
      </c>
      <c r="B38" s="3195" t="s">
        <v>4652</v>
      </c>
      <c r="C38" s="3195" t="s">
        <v>4652</v>
      </c>
      <c r="D38" s="3195" t="s">
        <v>4652</v>
      </c>
      <c r="E38" s="3195" t="s">
        <v>4652</v>
      </c>
      <c r="F38" s="3195" t="s">
        <v>4653</v>
      </c>
      <c r="G38" s="3195" t="s">
        <v>4663</v>
      </c>
      <c r="H38" s="3195" t="s">
        <v>4652</v>
      </c>
      <c r="I38" s="3195" t="s">
        <v>4652</v>
      </c>
      <c r="J38" s="3195" t="s">
        <v>4654</v>
      </c>
      <c r="K38" s="3195" t="s">
        <v>4655</v>
      </c>
      <c r="L38" s="3196">
        <v>45799</v>
      </c>
      <c r="M38" s="3195" t="s">
        <v>4688</v>
      </c>
      <c r="N38" s="3195" t="s">
        <v>4657</v>
      </c>
      <c r="O38" s="3195" t="s">
        <v>4658</v>
      </c>
      <c r="P38" s="3195" t="s">
        <v>4689</v>
      </c>
      <c r="Q38" s="3197">
        <v>0</v>
      </c>
      <c r="R38" s="3195" t="s">
        <v>4652</v>
      </c>
      <c r="S38" s="3198">
        <v>37301.9</v>
      </c>
      <c r="T38" s="3195" t="s">
        <v>4690</v>
      </c>
      <c r="U38" s="3195" t="s">
        <v>4691</v>
      </c>
      <c r="V38" s="3195" t="s">
        <v>4666</v>
      </c>
      <c r="W38" s="3195" t="s">
        <v>4652</v>
      </c>
      <c r="X38" s="3195" t="s">
        <v>4652</v>
      </c>
      <c r="Y38" s="3197">
        <v>0</v>
      </c>
      <c r="Z38" s="3197">
        <v>0</v>
      </c>
      <c r="AA38" s="3195" t="s">
        <v>4652</v>
      </c>
      <c r="AB38" s="3195" t="s">
        <v>4652</v>
      </c>
      <c r="AC38" s="3195" t="s">
        <v>4652</v>
      </c>
    </row>
    <row r="39" spans="1:29">
      <c r="A39" s="3195" t="s">
        <v>4663</v>
      </c>
      <c r="B39" s="3195" t="s">
        <v>4652</v>
      </c>
      <c r="C39" s="3195" t="s">
        <v>4652</v>
      </c>
      <c r="D39" s="3195" t="s">
        <v>4652</v>
      </c>
      <c r="E39" s="3195" t="s">
        <v>4652</v>
      </c>
      <c r="F39" s="3195" t="s">
        <v>4653</v>
      </c>
      <c r="G39" s="3195" t="s">
        <v>4663</v>
      </c>
      <c r="H39" s="3195" t="s">
        <v>4652</v>
      </c>
      <c r="I39" s="3195" t="s">
        <v>4652</v>
      </c>
      <c r="J39" s="3195" t="s">
        <v>4654</v>
      </c>
      <c r="K39" s="3195" t="s">
        <v>4655</v>
      </c>
      <c r="L39" s="3196">
        <v>45799</v>
      </c>
      <c r="M39" s="3195" t="s">
        <v>4688</v>
      </c>
      <c r="N39" s="3195" t="s">
        <v>4657</v>
      </c>
      <c r="O39" s="3195" t="s">
        <v>4658</v>
      </c>
      <c r="P39" s="3195" t="s">
        <v>4689</v>
      </c>
      <c r="Q39" s="3197">
        <v>0</v>
      </c>
      <c r="R39" s="3195" t="s">
        <v>4652</v>
      </c>
      <c r="S39" s="3198">
        <v>31745.71</v>
      </c>
      <c r="T39" s="3195" t="s">
        <v>4690</v>
      </c>
      <c r="U39" s="3195" t="s">
        <v>4691</v>
      </c>
      <c r="V39" s="3195" t="s">
        <v>4667</v>
      </c>
      <c r="W39" s="3195" t="s">
        <v>4652</v>
      </c>
      <c r="X39" s="3195" t="s">
        <v>4652</v>
      </c>
      <c r="Y39" s="3197">
        <v>0</v>
      </c>
      <c r="Z39" s="3197">
        <v>0</v>
      </c>
      <c r="AA39" s="3195" t="s">
        <v>4652</v>
      </c>
      <c r="AB39" s="3195" t="s">
        <v>4652</v>
      </c>
      <c r="AC39" s="3195" t="s">
        <v>4652</v>
      </c>
    </row>
    <row r="40" spans="1:29">
      <c r="A40" s="3195" t="s">
        <v>4651</v>
      </c>
      <c r="B40" s="3195" t="s">
        <v>4652</v>
      </c>
      <c r="C40" s="3195" t="s">
        <v>4652</v>
      </c>
      <c r="D40" s="3195" t="s">
        <v>4652</v>
      </c>
      <c r="E40" s="3195" t="s">
        <v>4652</v>
      </c>
      <c r="F40" s="3195" t="s">
        <v>4653</v>
      </c>
      <c r="G40" s="3195" t="s">
        <v>4651</v>
      </c>
      <c r="H40" s="3195" t="s">
        <v>4652</v>
      </c>
      <c r="I40" s="3195" t="s">
        <v>4652</v>
      </c>
      <c r="J40" s="3195" t="s">
        <v>4654</v>
      </c>
      <c r="K40" s="3195" t="s">
        <v>4655</v>
      </c>
      <c r="L40" s="3196">
        <v>45799</v>
      </c>
      <c r="M40" s="3195" t="s">
        <v>4688</v>
      </c>
      <c r="N40" s="3195" t="s">
        <v>4657</v>
      </c>
      <c r="O40" s="3195" t="s">
        <v>4658</v>
      </c>
      <c r="P40" s="3195" t="s">
        <v>4689</v>
      </c>
      <c r="Q40" s="3197">
        <v>0</v>
      </c>
      <c r="R40" s="3195" t="s">
        <v>4652</v>
      </c>
      <c r="S40" s="3198">
        <v>266452.38</v>
      </c>
      <c r="T40" s="3195" t="s">
        <v>4690</v>
      </c>
      <c r="U40" s="3195" t="s">
        <v>4691</v>
      </c>
      <c r="V40" s="3195" t="s">
        <v>4668</v>
      </c>
      <c r="W40" s="3195" t="s">
        <v>4652</v>
      </c>
      <c r="X40" s="3195" t="s">
        <v>4652</v>
      </c>
      <c r="Y40" s="3197">
        <v>0</v>
      </c>
      <c r="Z40" s="3197">
        <v>0</v>
      </c>
      <c r="AA40" s="3195" t="s">
        <v>4652</v>
      </c>
      <c r="AB40" s="3195" t="s">
        <v>4652</v>
      </c>
      <c r="AC40" s="3195" t="s">
        <v>4652</v>
      </c>
    </row>
    <row r="41" spans="1:29">
      <c r="A41" s="3195" t="s">
        <v>4663</v>
      </c>
      <c r="B41" s="3195" t="s">
        <v>4652</v>
      </c>
      <c r="C41" s="3195" t="s">
        <v>4652</v>
      </c>
      <c r="D41" s="3195" t="s">
        <v>4652</v>
      </c>
      <c r="E41" s="3195" t="s">
        <v>4652</v>
      </c>
      <c r="F41" s="3195" t="s">
        <v>4653</v>
      </c>
      <c r="G41" s="3195" t="s">
        <v>4663</v>
      </c>
      <c r="H41" s="3195" t="s">
        <v>4652</v>
      </c>
      <c r="I41" s="3195" t="s">
        <v>4652</v>
      </c>
      <c r="J41" s="3195" t="s">
        <v>4654</v>
      </c>
      <c r="K41" s="3195" t="s">
        <v>4655</v>
      </c>
      <c r="L41" s="3196">
        <v>45799</v>
      </c>
      <c r="M41" s="3195" t="s">
        <v>4688</v>
      </c>
      <c r="N41" s="3195" t="s">
        <v>4657</v>
      </c>
      <c r="O41" s="3195" t="s">
        <v>4658</v>
      </c>
      <c r="P41" s="3195" t="s">
        <v>4689</v>
      </c>
      <c r="Q41" s="3197">
        <v>0</v>
      </c>
      <c r="R41" s="3195" t="s">
        <v>4652</v>
      </c>
      <c r="S41" s="3198">
        <v>86451.18</v>
      </c>
      <c r="T41" s="3195" t="s">
        <v>4690</v>
      </c>
      <c r="U41" s="3195" t="s">
        <v>4691</v>
      </c>
      <c r="V41" s="3195" t="s">
        <v>4669</v>
      </c>
      <c r="W41" s="3195" t="s">
        <v>4652</v>
      </c>
      <c r="X41" s="3195" t="s">
        <v>4652</v>
      </c>
      <c r="Y41" s="3197">
        <v>0</v>
      </c>
      <c r="Z41" s="3197">
        <v>0</v>
      </c>
      <c r="AA41" s="3195" t="s">
        <v>4652</v>
      </c>
      <c r="AB41" s="3195" t="s">
        <v>4652</v>
      </c>
      <c r="AC41" s="3195" t="s">
        <v>4652</v>
      </c>
    </row>
    <row r="42" spans="1:29">
      <c r="A42" s="3195" t="s">
        <v>4663</v>
      </c>
      <c r="B42" s="3195" t="s">
        <v>4652</v>
      </c>
      <c r="C42" s="3195" t="s">
        <v>4652</v>
      </c>
      <c r="D42" s="3195" t="s">
        <v>4652</v>
      </c>
      <c r="E42" s="3195" t="s">
        <v>4652</v>
      </c>
      <c r="F42" s="3195" t="s">
        <v>4653</v>
      </c>
      <c r="G42" s="3195" t="s">
        <v>4663</v>
      </c>
      <c r="H42" s="3195" t="s">
        <v>4652</v>
      </c>
      <c r="I42" s="3195" t="s">
        <v>4652</v>
      </c>
      <c r="J42" s="3195" t="s">
        <v>4654</v>
      </c>
      <c r="K42" s="3195" t="s">
        <v>4655</v>
      </c>
      <c r="L42" s="3196">
        <v>45799</v>
      </c>
      <c r="M42" s="3195" t="s">
        <v>4688</v>
      </c>
      <c r="N42" s="3195" t="s">
        <v>4657</v>
      </c>
      <c r="O42" s="3195" t="s">
        <v>4658</v>
      </c>
      <c r="P42" s="3195" t="s">
        <v>4689</v>
      </c>
      <c r="Q42" s="3197">
        <v>0</v>
      </c>
      <c r="R42" s="3195" t="s">
        <v>4652</v>
      </c>
      <c r="S42" s="3198">
        <v>347017.49</v>
      </c>
      <c r="T42" s="3195" t="s">
        <v>4690</v>
      </c>
      <c r="U42" s="3195" t="s">
        <v>4691</v>
      </c>
      <c r="V42" s="3195" t="s">
        <v>4670</v>
      </c>
      <c r="W42" s="3195" t="s">
        <v>4652</v>
      </c>
      <c r="X42" s="3195" t="s">
        <v>4652</v>
      </c>
      <c r="Y42" s="3197">
        <v>0</v>
      </c>
      <c r="Z42" s="3197">
        <v>0</v>
      </c>
      <c r="AA42" s="3195" t="s">
        <v>4652</v>
      </c>
      <c r="AB42" s="3195" t="s">
        <v>4652</v>
      </c>
      <c r="AC42" s="3195" t="s">
        <v>4652</v>
      </c>
    </row>
    <row r="43" spans="1:29">
      <c r="A43" s="3195" t="s">
        <v>4663</v>
      </c>
      <c r="B43" s="3195" t="s">
        <v>4652</v>
      </c>
      <c r="C43" s="3195" t="s">
        <v>4652</v>
      </c>
      <c r="D43" s="3195" t="s">
        <v>4652</v>
      </c>
      <c r="E43" s="3195" t="s">
        <v>4652</v>
      </c>
      <c r="F43" s="3195" t="s">
        <v>4653</v>
      </c>
      <c r="G43" s="3195" t="s">
        <v>4663</v>
      </c>
      <c r="H43" s="3195" t="s">
        <v>4652</v>
      </c>
      <c r="I43" s="3195" t="s">
        <v>4652</v>
      </c>
      <c r="J43" s="3195" t="s">
        <v>4654</v>
      </c>
      <c r="K43" s="3195" t="s">
        <v>4655</v>
      </c>
      <c r="L43" s="3196">
        <v>45799</v>
      </c>
      <c r="M43" s="3195" t="s">
        <v>4688</v>
      </c>
      <c r="N43" s="3195" t="s">
        <v>4657</v>
      </c>
      <c r="O43" s="3195" t="s">
        <v>4658</v>
      </c>
      <c r="P43" s="3195" t="s">
        <v>4689</v>
      </c>
      <c r="Q43" s="3197">
        <v>0</v>
      </c>
      <c r="R43" s="3195" t="s">
        <v>4652</v>
      </c>
      <c r="S43" s="3198">
        <v>474771.82</v>
      </c>
      <c r="T43" s="3195" t="s">
        <v>4690</v>
      </c>
      <c r="U43" s="3195" t="s">
        <v>4691</v>
      </c>
      <c r="V43" s="3195" t="s">
        <v>4675</v>
      </c>
      <c r="W43" s="3195" t="s">
        <v>4652</v>
      </c>
      <c r="X43" s="3195" t="s">
        <v>4652</v>
      </c>
      <c r="Y43" s="3197">
        <v>0</v>
      </c>
      <c r="Z43" s="3197">
        <v>0</v>
      </c>
      <c r="AA43" s="3195" t="s">
        <v>4652</v>
      </c>
      <c r="AB43" s="3195" t="s">
        <v>4652</v>
      </c>
      <c r="AC43" s="3195" t="s">
        <v>4652</v>
      </c>
    </row>
    <row r="44" spans="1:29">
      <c r="A44" s="3195" t="s">
        <v>4663</v>
      </c>
      <c r="B44" s="3195" t="s">
        <v>4652</v>
      </c>
      <c r="C44" s="3195" t="s">
        <v>4652</v>
      </c>
      <c r="D44" s="3195" t="s">
        <v>4652</v>
      </c>
      <c r="E44" s="3195" t="s">
        <v>4652</v>
      </c>
      <c r="F44" s="3195" t="s">
        <v>4653</v>
      </c>
      <c r="G44" s="3195" t="s">
        <v>4663</v>
      </c>
      <c r="H44" s="3195" t="s">
        <v>4652</v>
      </c>
      <c r="I44" s="3195" t="s">
        <v>4652</v>
      </c>
      <c r="J44" s="3195" t="s">
        <v>4654</v>
      </c>
      <c r="K44" s="3195" t="s">
        <v>4655</v>
      </c>
      <c r="L44" s="3196">
        <v>45799</v>
      </c>
      <c r="M44" s="3195" t="s">
        <v>4688</v>
      </c>
      <c r="N44" s="3195" t="s">
        <v>4657</v>
      </c>
      <c r="O44" s="3195" t="s">
        <v>4658</v>
      </c>
      <c r="P44" s="3195" t="s">
        <v>4689</v>
      </c>
      <c r="Q44" s="3197">
        <v>0</v>
      </c>
      <c r="R44" s="3195" t="s">
        <v>4652</v>
      </c>
      <c r="S44" s="3198">
        <v>13755.14</v>
      </c>
      <c r="T44" s="3195" t="s">
        <v>4690</v>
      </c>
      <c r="U44" s="3195" t="s">
        <v>4691</v>
      </c>
      <c r="V44" s="3195" t="s">
        <v>4664</v>
      </c>
      <c r="W44" s="3195" t="s">
        <v>4652</v>
      </c>
      <c r="X44" s="3195" t="s">
        <v>4652</v>
      </c>
      <c r="Y44" s="3197">
        <v>0</v>
      </c>
      <c r="Z44" s="3197">
        <v>0</v>
      </c>
      <c r="AA44" s="3195" t="s">
        <v>4652</v>
      </c>
      <c r="AB44" s="3195" t="s">
        <v>4652</v>
      </c>
      <c r="AC44" s="3195" t="s">
        <v>4652</v>
      </c>
    </row>
    <row r="45" spans="1:29">
      <c r="A45" s="3195" t="s">
        <v>4651</v>
      </c>
      <c r="B45" s="3195" t="s">
        <v>4692</v>
      </c>
      <c r="C45" s="3195" t="s">
        <v>4652</v>
      </c>
      <c r="D45" s="3195" t="s">
        <v>4652</v>
      </c>
      <c r="E45" s="3195" t="s">
        <v>4652</v>
      </c>
      <c r="F45" s="3195" t="s">
        <v>4653</v>
      </c>
      <c r="G45" s="3195" t="s">
        <v>4651</v>
      </c>
      <c r="H45" s="3195" t="s">
        <v>4652</v>
      </c>
      <c r="I45" s="3195" t="s">
        <v>4652</v>
      </c>
      <c r="J45" s="3195" t="s">
        <v>4654</v>
      </c>
      <c r="K45" s="3195" t="s">
        <v>4655</v>
      </c>
      <c r="L45" s="3196">
        <v>45833</v>
      </c>
      <c r="M45" s="3195" t="s">
        <v>4693</v>
      </c>
      <c r="N45" s="3195" t="s">
        <v>4657</v>
      </c>
      <c r="O45" s="3195" t="s">
        <v>4658</v>
      </c>
      <c r="P45" s="3195" t="s">
        <v>4694</v>
      </c>
      <c r="Q45" s="3197">
        <v>0</v>
      </c>
      <c r="R45" s="3195" t="s">
        <v>4652</v>
      </c>
      <c r="S45" s="3198">
        <v>76135.710000000006</v>
      </c>
      <c r="T45" s="3195" t="s">
        <v>4695</v>
      </c>
      <c r="U45" s="3195" t="s">
        <v>4696</v>
      </c>
      <c r="V45" s="3195" t="s">
        <v>4662</v>
      </c>
      <c r="W45" s="3195" t="s">
        <v>4652</v>
      </c>
      <c r="X45" s="3195" t="s">
        <v>4652</v>
      </c>
      <c r="Y45" s="3197">
        <v>0</v>
      </c>
      <c r="Z45" s="3197">
        <v>0</v>
      </c>
      <c r="AA45" s="3195" t="s">
        <v>4652</v>
      </c>
      <c r="AB45" s="3195" t="s">
        <v>4652</v>
      </c>
      <c r="AC45" s="3195" t="s">
        <v>4652</v>
      </c>
    </row>
    <row r="46" spans="1:29">
      <c r="A46" s="3195" t="s">
        <v>4663</v>
      </c>
      <c r="B46" s="3195" t="s">
        <v>4692</v>
      </c>
      <c r="C46" s="3195" t="s">
        <v>4652</v>
      </c>
      <c r="D46" s="3195" t="s">
        <v>4652</v>
      </c>
      <c r="E46" s="3195" t="s">
        <v>4652</v>
      </c>
      <c r="F46" s="3195" t="s">
        <v>4653</v>
      </c>
      <c r="G46" s="3195" t="s">
        <v>4663</v>
      </c>
      <c r="H46" s="3195" t="s">
        <v>4652</v>
      </c>
      <c r="I46" s="3195" t="s">
        <v>4652</v>
      </c>
      <c r="J46" s="3195" t="s">
        <v>4654</v>
      </c>
      <c r="K46" s="3195" t="s">
        <v>4655</v>
      </c>
      <c r="L46" s="3196">
        <v>45833</v>
      </c>
      <c r="M46" s="3195" t="s">
        <v>4693</v>
      </c>
      <c r="N46" s="3195" t="s">
        <v>4657</v>
      </c>
      <c r="O46" s="3195" t="s">
        <v>4658</v>
      </c>
      <c r="P46" s="3195" t="s">
        <v>4694</v>
      </c>
      <c r="Q46" s="3197">
        <v>0</v>
      </c>
      <c r="R46" s="3195" t="s">
        <v>4652</v>
      </c>
      <c r="S46" s="3198">
        <v>32698.1</v>
      </c>
      <c r="T46" s="3195" t="s">
        <v>4695</v>
      </c>
      <c r="U46" s="3195" t="s">
        <v>4696</v>
      </c>
      <c r="V46" s="3195" t="s">
        <v>4665</v>
      </c>
      <c r="W46" s="3195" t="s">
        <v>4652</v>
      </c>
      <c r="X46" s="3195" t="s">
        <v>4652</v>
      </c>
      <c r="Y46" s="3197">
        <v>0</v>
      </c>
      <c r="Z46" s="3197">
        <v>0</v>
      </c>
      <c r="AA46" s="3195" t="s">
        <v>4652</v>
      </c>
      <c r="AB46" s="3195" t="s">
        <v>4652</v>
      </c>
      <c r="AC46" s="3195" t="s">
        <v>4652</v>
      </c>
    </row>
    <row r="47" spans="1:29">
      <c r="A47" s="3195" t="s">
        <v>4663</v>
      </c>
      <c r="B47" s="3195" t="s">
        <v>4692</v>
      </c>
      <c r="C47" s="3195" t="s">
        <v>4652</v>
      </c>
      <c r="D47" s="3195" t="s">
        <v>4652</v>
      </c>
      <c r="E47" s="3195" t="s">
        <v>4652</v>
      </c>
      <c r="F47" s="3195" t="s">
        <v>4653</v>
      </c>
      <c r="G47" s="3195" t="s">
        <v>4663</v>
      </c>
      <c r="H47" s="3195" t="s">
        <v>4652</v>
      </c>
      <c r="I47" s="3195" t="s">
        <v>4652</v>
      </c>
      <c r="J47" s="3195" t="s">
        <v>4654</v>
      </c>
      <c r="K47" s="3195" t="s">
        <v>4655</v>
      </c>
      <c r="L47" s="3196">
        <v>45833</v>
      </c>
      <c r="M47" s="3195" t="s">
        <v>4693</v>
      </c>
      <c r="N47" s="3195" t="s">
        <v>4657</v>
      </c>
      <c r="O47" s="3195" t="s">
        <v>4658</v>
      </c>
      <c r="P47" s="3195" t="s">
        <v>4694</v>
      </c>
      <c r="Q47" s="3197">
        <v>0</v>
      </c>
      <c r="R47" s="3195" t="s">
        <v>4652</v>
      </c>
      <c r="S47" s="3198">
        <v>37301.9</v>
      </c>
      <c r="T47" s="3195" t="s">
        <v>4695</v>
      </c>
      <c r="U47" s="3195" t="s">
        <v>4696</v>
      </c>
      <c r="V47" s="3195" t="s">
        <v>4666</v>
      </c>
      <c r="W47" s="3195" t="s">
        <v>4652</v>
      </c>
      <c r="X47" s="3195" t="s">
        <v>4652</v>
      </c>
      <c r="Y47" s="3197">
        <v>0</v>
      </c>
      <c r="Z47" s="3197">
        <v>0</v>
      </c>
      <c r="AA47" s="3195" t="s">
        <v>4652</v>
      </c>
      <c r="AB47" s="3195" t="s">
        <v>4652</v>
      </c>
      <c r="AC47" s="3195" t="s">
        <v>4652</v>
      </c>
    </row>
    <row r="48" spans="1:29">
      <c r="A48" s="3195" t="s">
        <v>4663</v>
      </c>
      <c r="B48" s="3195" t="s">
        <v>4692</v>
      </c>
      <c r="C48" s="3195" t="s">
        <v>4652</v>
      </c>
      <c r="D48" s="3195" t="s">
        <v>4652</v>
      </c>
      <c r="E48" s="3195" t="s">
        <v>4652</v>
      </c>
      <c r="F48" s="3195" t="s">
        <v>4653</v>
      </c>
      <c r="G48" s="3195" t="s">
        <v>4663</v>
      </c>
      <c r="H48" s="3195" t="s">
        <v>4652</v>
      </c>
      <c r="I48" s="3195" t="s">
        <v>4652</v>
      </c>
      <c r="J48" s="3195" t="s">
        <v>4654</v>
      </c>
      <c r="K48" s="3195" t="s">
        <v>4655</v>
      </c>
      <c r="L48" s="3196">
        <v>45833</v>
      </c>
      <c r="M48" s="3195" t="s">
        <v>4693</v>
      </c>
      <c r="N48" s="3195" t="s">
        <v>4657</v>
      </c>
      <c r="O48" s="3195" t="s">
        <v>4658</v>
      </c>
      <c r="P48" s="3195" t="s">
        <v>4694</v>
      </c>
      <c r="Q48" s="3197">
        <v>0</v>
      </c>
      <c r="R48" s="3195" t="s">
        <v>4652</v>
      </c>
      <c r="S48" s="3198">
        <v>31746.67</v>
      </c>
      <c r="T48" s="3195" t="s">
        <v>4695</v>
      </c>
      <c r="U48" s="3195" t="s">
        <v>4696</v>
      </c>
      <c r="V48" s="3195" t="s">
        <v>4667</v>
      </c>
      <c r="W48" s="3195" t="s">
        <v>4652</v>
      </c>
      <c r="X48" s="3195" t="s">
        <v>4652</v>
      </c>
      <c r="Y48" s="3197">
        <v>0</v>
      </c>
      <c r="Z48" s="3197">
        <v>0</v>
      </c>
      <c r="AA48" s="3195" t="s">
        <v>4652</v>
      </c>
      <c r="AB48" s="3195" t="s">
        <v>4652</v>
      </c>
      <c r="AC48" s="3195" t="s">
        <v>4652</v>
      </c>
    </row>
    <row r="49" spans="1:29">
      <c r="A49" s="3195" t="s">
        <v>4663</v>
      </c>
      <c r="B49" s="3195" t="s">
        <v>4692</v>
      </c>
      <c r="C49" s="3195" t="s">
        <v>4652</v>
      </c>
      <c r="D49" s="3195" t="s">
        <v>4652</v>
      </c>
      <c r="E49" s="3195" t="s">
        <v>4652</v>
      </c>
      <c r="F49" s="3195" t="s">
        <v>4653</v>
      </c>
      <c r="G49" s="3195" t="s">
        <v>4663</v>
      </c>
      <c r="H49" s="3195" t="s">
        <v>4652</v>
      </c>
      <c r="I49" s="3195" t="s">
        <v>4652</v>
      </c>
      <c r="J49" s="3195" t="s">
        <v>4654</v>
      </c>
      <c r="K49" s="3195" t="s">
        <v>4655</v>
      </c>
      <c r="L49" s="3196">
        <v>45833</v>
      </c>
      <c r="M49" s="3195" t="s">
        <v>4693</v>
      </c>
      <c r="N49" s="3195" t="s">
        <v>4657</v>
      </c>
      <c r="O49" s="3195" t="s">
        <v>4658</v>
      </c>
      <c r="P49" s="3195" t="s">
        <v>4694</v>
      </c>
      <c r="Q49" s="3197">
        <v>0</v>
      </c>
      <c r="R49" s="3195" t="s">
        <v>4652</v>
      </c>
      <c r="S49" s="3198">
        <v>474771.82</v>
      </c>
      <c r="T49" s="3195" t="s">
        <v>4695</v>
      </c>
      <c r="U49" s="3195" t="s">
        <v>4696</v>
      </c>
      <c r="V49" s="3195" t="s">
        <v>4675</v>
      </c>
      <c r="W49" s="3195" t="s">
        <v>4652</v>
      </c>
      <c r="X49" s="3195" t="s">
        <v>4652</v>
      </c>
      <c r="Y49" s="3197">
        <v>0</v>
      </c>
      <c r="Z49" s="3197">
        <v>0</v>
      </c>
      <c r="AA49" s="3195" t="s">
        <v>4652</v>
      </c>
      <c r="AB49" s="3195" t="s">
        <v>4652</v>
      </c>
      <c r="AC49" s="3195" t="s">
        <v>4652</v>
      </c>
    </row>
    <row r="50" spans="1:29">
      <c r="A50" s="3195" t="s">
        <v>4663</v>
      </c>
      <c r="B50" s="3195" t="s">
        <v>4692</v>
      </c>
      <c r="C50" s="3195" t="s">
        <v>4652</v>
      </c>
      <c r="D50" s="3195" t="s">
        <v>4652</v>
      </c>
      <c r="E50" s="3195" t="s">
        <v>4652</v>
      </c>
      <c r="F50" s="3195" t="s">
        <v>4653</v>
      </c>
      <c r="G50" s="3195" t="s">
        <v>4663</v>
      </c>
      <c r="H50" s="3195" t="s">
        <v>4652</v>
      </c>
      <c r="I50" s="3195" t="s">
        <v>4652</v>
      </c>
      <c r="J50" s="3195" t="s">
        <v>4654</v>
      </c>
      <c r="K50" s="3195" t="s">
        <v>4655</v>
      </c>
      <c r="L50" s="3196">
        <v>45833</v>
      </c>
      <c r="M50" s="3195" t="s">
        <v>4693</v>
      </c>
      <c r="N50" s="3195" t="s">
        <v>4657</v>
      </c>
      <c r="O50" s="3195" t="s">
        <v>4658</v>
      </c>
      <c r="P50" s="3195" t="s">
        <v>4694</v>
      </c>
      <c r="Q50" s="3197">
        <v>0</v>
      </c>
      <c r="R50" s="3195" t="s">
        <v>4652</v>
      </c>
      <c r="S50" s="3198">
        <v>13755.14</v>
      </c>
      <c r="T50" s="3195" t="s">
        <v>4695</v>
      </c>
      <c r="U50" s="3195" t="s">
        <v>4696</v>
      </c>
      <c r="V50" s="3195" t="s">
        <v>4664</v>
      </c>
      <c r="W50" s="3195" t="s">
        <v>4652</v>
      </c>
      <c r="X50" s="3195" t="s">
        <v>4652</v>
      </c>
      <c r="Y50" s="3197">
        <v>0</v>
      </c>
      <c r="Z50" s="3197">
        <v>0</v>
      </c>
      <c r="AA50" s="3195" t="s">
        <v>4652</v>
      </c>
      <c r="AB50" s="3195" t="s">
        <v>4652</v>
      </c>
      <c r="AC50" s="3195" t="s">
        <v>4652</v>
      </c>
    </row>
    <row r="51" spans="1:29">
      <c r="A51" s="3195" t="s">
        <v>4651</v>
      </c>
      <c r="B51" s="3195" t="s">
        <v>4692</v>
      </c>
      <c r="C51" s="3195" t="s">
        <v>4652</v>
      </c>
      <c r="D51" s="3195" t="s">
        <v>4652</v>
      </c>
      <c r="E51" s="3195" t="s">
        <v>4652</v>
      </c>
      <c r="F51" s="3195" t="s">
        <v>4653</v>
      </c>
      <c r="G51" s="3195" t="s">
        <v>4651</v>
      </c>
      <c r="H51" s="3195" t="s">
        <v>4652</v>
      </c>
      <c r="I51" s="3195" t="s">
        <v>4652</v>
      </c>
      <c r="J51" s="3195" t="s">
        <v>4654</v>
      </c>
      <c r="K51" s="3195" t="s">
        <v>4655</v>
      </c>
      <c r="L51" s="3196">
        <v>45833</v>
      </c>
      <c r="M51" s="3195" t="s">
        <v>4693</v>
      </c>
      <c r="N51" s="3195" t="s">
        <v>4657</v>
      </c>
      <c r="O51" s="3195" t="s">
        <v>4658</v>
      </c>
      <c r="P51" s="3195" t="s">
        <v>4694</v>
      </c>
      <c r="Q51" s="3197">
        <v>0</v>
      </c>
      <c r="R51" s="3195" t="s">
        <v>4652</v>
      </c>
      <c r="S51" s="3198">
        <v>266452.38</v>
      </c>
      <c r="T51" s="3195" t="s">
        <v>4695</v>
      </c>
      <c r="U51" s="3195" t="s">
        <v>4696</v>
      </c>
      <c r="V51" s="3195" t="s">
        <v>4668</v>
      </c>
      <c r="W51" s="3195" t="s">
        <v>4652</v>
      </c>
      <c r="X51" s="3195" t="s">
        <v>4652</v>
      </c>
      <c r="Y51" s="3197">
        <v>0</v>
      </c>
      <c r="Z51" s="3197">
        <v>0</v>
      </c>
      <c r="AA51" s="3195" t="s">
        <v>4652</v>
      </c>
      <c r="AB51" s="3195" t="s">
        <v>4652</v>
      </c>
      <c r="AC51" s="3195" t="s">
        <v>4652</v>
      </c>
    </row>
    <row r="52" spans="1:29">
      <c r="A52" s="3195" t="s">
        <v>4651</v>
      </c>
      <c r="B52" s="3195" t="s">
        <v>4692</v>
      </c>
      <c r="C52" s="3195" t="s">
        <v>4652</v>
      </c>
      <c r="D52" s="3195" t="s">
        <v>4652</v>
      </c>
      <c r="E52" s="3195" t="s">
        <v>4652</v>
      </c>
      <c r="F52" s="3195" t="s">
        <v>4653</v>
      </c>
      <c r="G52" s="3195" t="s">
        <v>4651</v>
      </c>
      <c r="H52" s="3195" t="s">
        <v>4652</v>
      </c>
      <c r="I52" s="3195" t="s">
        <v>4652</v>
      </c>
      <c r="J52" s="3195" t="s">
        <v>4654</v>
      </c>
      <c r="K52" s="3195" t="s">
        <v>4655</v>
      </c>
      <c r="L52" s="3196">
        <v>45833</v>
      </c>
      <c r="M52" s="3195" t="s">
        <v>4693</v>
      </c>
      <c r="N52" s="3195" t="s">
        <v>4657</v>
      </c>
      <c r="O52" s="3195" t="s">
        <v>4658</v>
      </c>
      <c r="P52" s="3195" t="s">
        <v>4694</v>
      </c>
      <c r="Q52" s="3197">
        <v>0</v>
      </c>
      <c r="R52" s="3195" t="s">
        <v>4652</v>
      </c>
      <c r="S52" s="3198">
        <v>8595.24</v>
      </c>
      <c r="T52" s="3195" t="s">
        <v>4695</v>
      </c>
      <c r="U52" s="3195" t="s">
        <v>4696</v>
      </c>
      <c r="V52" s="3195" t="s">
        <v>4668</v>
      </c>
      <c r="W52" s="3195" t="s">
        <v>4652</v>
      </c>
      <c r="X52" s="3195" t="s">
        <v>4652</v>
      </c>
      <c r="Y52" s="3197">
        <v>0</v>
      </c>
      <c r="Z52" s="3197">
        <v>0</v>
      </c>
      <c r="AA52" s="3195" t="s">
        <v>4652</v>
      </c>
      <c r="AB52" s="3195" t="s">
        <v>4652</v>
      </c>
      <c r="AC52" s="3195" t="s">
        <v>4652</v>
      </c>
    </row>
    <row r="53" spans="1:29">
      <c r="A53" s="3195" t="s">
        <v>4663</v>
      </c>
      <c r="B53" s="3195" t="s">
        <v>4692</v>
      </c>
      <c r="C53" s="3195" t="s">
        <v>4652</v>
      </c>
      <c r="D53" s="3195" t="s">
        <v>4652</v>
      </c>
      <c r="E53" s="3195" t="s">
        <v>4652</v>
      </c>
      <c r="F53" s="3195" t="s">
        <v>4653</v>
      </c>
      <c r="G53" s="3195" t="s">
        <v>4663</v>
      </c>
      <c r="H53" s="3195" t="s">
        <v>4652</v>
      </c>
      <c r="I53" s="3195" t="s">
        <v>4652</v>
      </c>
      <c r="J53" s="3195" t="s">
        <v>4654</v>
      </c>
      <c r="K53" s="3195" t="s">
        <v>4655</v>
      </c>
      <c r="L53" s="3196">
        <v>45833</v>
      </c>
      <c r="M53" s="3195" t="s">
        <v>4693</v>
      </c>
      <c r="N53" s="3195" t="s">
        <v>4657</v>
      </c>
      <c r="O53" s="3195" t="s">
        <v>4658</v>
      </c>
      <c r="P53" s="3195" t="s">
        <v>4694</v>
      </c>
      <c r="Q53" s="3197">
        <v>0</v>
      </c>
      <c r="R53" s="3195" t="s">
        <v>4652</v>
      </c>
      <c r="S53" s="3198">
        <v>83662.429999999993</v>
      </c>
      <c r="T53" s="3195" t="s">
        <v>4695</v>
      </c>
      <c r="U53" s="3195" t="s">
        <v>4696</v>
      </c>
      <c r="V53" s="3195" t="s">
        <v>4669</v>
      </c>
      <c r="W53" s="3195" t="s">
        <v>4652</v>
      </c>
      <c r="X53" s="3195" t="s">
        <v>4652</v>
      </c>
      <c r="Y53" s="3197">
        <v>0</v>
      </c>
      <c r="Z53" s="3197">
        <v>0</v>
      </c>
      <c r="AA53" s="3195" t="s">
        <v>4652</v>
      </c>
      <c r="AB53" s="3195" t="s">
        <v>4652</v>
      </c>
      <c r="AC53" s="3195" t="s">
        <v>4652</v>
      </c>
    </row>
    <row r="54" spans="1:29">
      <c r="A54" s="3195" t="s">
        <v>4663</v>
      </c>
      <c r="B54" s="3195" t="s">
        <v>4692</v>
      </c>
      <c r="C54" s="3195" t="s">
        <v>4652</v>
      </c>
      <c r="D54" s="3195" t="s">
        <v>4652</v>
      </c>
      <c r="E54" s="3195" t="s">
        <v>4652</v>
      </c>
      <c r="F54" s="3195" t="s">
        <v>4653</v>
      </c>
      <c r="G54" s="3195" t="s">
        <v>4663</v>
      </c>
      <c r="H54" s="3195" t="s">
        <v>4652</v>
      </c>
      <c r="I54" s="3195" t="s">
        <v>4652</v>
      </c>
      <c r="J54" s="3195" t="s">
        <v>4654</v>
      </c>
      <c r="K54" s="3195" t="s">
        <v>4655</v>
      </c>
      <c r="L54" s="3196">
        <v>45833</v>
      </c>
      <c r="M54" s="3195" t="s">
        <v>4693</v>
      </c>
      <c r="N54" s="3195" t="s">
        <v>4657</v>
      </c>
      <c r="O54" s="3195" t="s">
        <v>4658</v>
      </c>
      <c r="P54" s="3195" t="s">
        <v>4694</v>
      </c>
      <c r="Q54" s="3197">
        <v>0</v>
      </c>
      <c r="R54" s="3195" t="s">
        <v>4652</v>
      </c>
      <c r="S54" s="3198">
        <v>329557.49</v>
      </c>
      <c r="T54" s="3195" t="s">
        <v>4695</v>
      </c>
      <c r="U54" s="3195" t="s">
        <v>4696</v>
      </c>
      <c r="V54" s="3195" t="s">
        <v>4670</v>
      </c>
      <c r="W54" s="3195" t="s">
        <v>4652</v>
      </c>
      <c r="X54" s="3195" t="s">
        <v>4652</v>
      </c>
      <c r="Y54" s="3197">
        <v>0</v>
      </c>
      <c r="Z54" s="3197">
        <v>0</v>
      </c>
      <c r="AA54" s="3195" t="s">
        <v>4652</v>
      </c>
      <c r="AB54" s="3195" t="s">
        <v>4652</v>
      </c>
      <c r="AC54" s="3195" t="s">
        <v>4652</v>
      </c>
    </row>
    <row r="55" spans="1:29">
      <c r="A55" s="3199" t="s">
        <v>4652</v>
      </c>
      <c r="B55" s="3199" t="s">
        <v>4652</v>
      </c>
      <c r="C55" s="3199" t="s">
        <v>4652</v>
      </c>
      <c r="D55" s="3199" t="s">
        <v>4652</v>
      </c>
      <c r="E55" s="3199" t="s">
        <v>4652</v>
      </c>
      <c r="F55" s="3199" t="s">
        <v>4652</v>
      </c>
      <c r="G55" s="3199" t="s">
        <v>4652</v>
      </c>
      <c r="H55" s="3199" t="s">
        <v>4652</v>
      </c>
      <c r="I55" s="3199" t="s">
        <v>4652</v>
      </c>
      <c r="J55" s="3199" t="s">
        <v>4652</v>
      </c>
      <c r="K55" s="3199" t="s">
        <v>4652</v>
      </c>
      <c r="L55" s="3199" t="s">
        <v>4652</v>
      </c>
      <c r="M55" s="3199" t="s">
        <v>4652</v>
      </c>
      <c r="N55" s="3199" t="s">
        <v>4652</v>
      </c>
      <c r="O55" s="3199" t="s">
        <v>4652</v>
      </c>
      <c r="P55" s="3199" t="s">
        <v>4652</v>
      </c>
      <c r="Q55" s="3199" t="s">
        <v>4652</v>
      </c>
      <c r="R55" s="3199" t="s">
        <v>4652</v>
      </c>
      <c r="S55" s="3200">
        <f>SUM(S2:S54)</f>
        <v>7611550.7599999998</v>
      </c>
      <c r="T55" s="3199" t="s">
        <v>4652</v>
      </c>
      <c r="U55" s="3199" t="s">
        <v>4652</v>
      </c>
      <c r="V55" s="3199" t="s">
        <v>4652</v>
      </c>
      <c r="W55" s="3199" t="s">
        <v>4652</v>
      </c>
      <c r="X55" s="3199" t="s">
        <v>4652</v>
      </c>
      <c r="Y55" s="3201">
        <v>0</v>
      </c>
      <c r="Z55" s="3199" t="s">
        <v>4652</v>
      </c>
      <c r="AA55" s="3199" t="s">
        <v>4652</v>
      </c>
      <c r="AB55" s="3199" t="s">
        <v>4652</v>
      </c>
      <c r="AC55" s="3199" t="s">
        <v>4652</v>
      </c>
    </row>
    <row r="56" spans="1:29">
      <c r="S56" s="3195">
        <f>S55/365/2/(99104/18*15)</f>
        <v>0.12625260570326566</v>
      </c>
    </row>
  </sheetData>
  <phoneticPr fontId="134" type="noConversion"/>
  <pageMargins left="0.75" right="0.75" top="1" bottom="1" header="0.51180555555555551" footer="0.51180555555555551"/>
  <pageSetup paperSize="9" orientation="portrait" horizontalDpi="0" verticalDpi="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2A5D5-2E4B-4051-B346-7D7AFBE14794}">
  <sheetPr>
    <tabColor rgb="FFFFFF00"/>
  </sheetPr>
  <dimension ref="A1:F381"/>
  <sheetViews>
    <sheetView workbookViewId="0">
      <selection activeCell="J6" sqref="B6:J6"/>
    </sheetView>
  </sheetViews>
  <sheetFormatPr defaultRowHeight="13.5"/>
  <sheetData>
    <row r="1" spans="1:6" ht="54">
      <c r="A1" s="3171" t="s">
        <v>4184</v>
      </c>
      <c r="B1" s="3171" t="s">
        <v>4185</v>
      </c>
      <c r="C1" s="3171" t="s">
        <v>3420</v>
      </c>
      <c r="D1" s="3171" t="s">
        <v>3421</v>
      </c>
      <c r="E1" s="3171" t="s">
        <v>3422</v>
      </c>
      <c r="F1" s="3171" t="s">
        <v>672</v>
      </c>
    </row>
    <row r="2" spans="1:6" ht="54">
      <c r="A2" s="3171" t="s">
        <v>4186</v>
      </c>
      <c r="B2" s="3171" t="s">
        <v>4187</v>
      </c>
      <c r="C2" s="3171" t="s">
        <v>3423</v>
      </c>
      <c r="D2" s="3171" t="s">
        <v>3424</v>
      </c>
      <c r="E2" s="3171">
        <v>80.7</v>
      </c>
      <c r="F2" s="3171" t="s">
        <v>3402</v>
      </c>
    </row>
    <row r="3" spans="1:6" ht="67.5">
      <c r="A3" s="3171" t="s">
        <v>4188</v>
      </c>
      <c r="B3" s="3171" t="s">
        <v>4189</v>
      </c>
      <c r="C3" s="3171" t="s">
        <v>3425</v>
      </c>
      <c r="D3" s="3171" t="s">
        <v>3426</v>
      </c>
      <c r="E3" s="3171">
        <v>97.58</v>
      </c>
      <c r="F3" s="3171" t="s">
        <v>3427</v>
      </c>
    </row>
    <row r="4" spans="1:6" ht="67.5">
      <c r="A4" s="3171" t="s">
        <v>4190</v>
      </c>
      <c r="B4" s="3171" t="s">
        <v>4189</v>
      </c>
      <c r="C4" s="3171" t="s">
        <v>3428</v>
      </c>
      <c r="D4" s="3171" t="s">
        <v>3429</v>
      </c>
      <c r="E4" s="3171">
        <v>86.24</v>
      </c>
      <c r="F4" s="3171" t="s">
        <v>3427</v>
      </c>
    </row>
    <row r="5" spans="1:6" ht="67.5">
      <c r="A5" s="3171" t="s">
        <v>4191</v>
      </c>
      <c r="B5" s="3171" t="s">
        <v>4189</v>
      </c>
      <c r="C5" s="3171" t="s">
        <v>3430</v>
      </c>
      <c r="D5" s="3171" t="s">
        <v>3431</v>
      </c>
      <c r="E5" s="3171">
        <v>70.31</v>
      </c>
      <c r="F5" s="3171" t="s">
        <v>3427</v>
      </c>
    </row>
    <row r="6" spans="1:6" ht="67.5">
      <c r="A6" s="3171" t="s">
        <v>4192</v>
      </c>
      <c r="B6" s="3171" t="s">
        <v>4189</v>
      </c>
      <c r="C6" s="3171" t="s">
        <v>3432</v>
      </c>
      <c r="D6" s="3171" t="s">
        <v>3433</v>
      </c>
      <c r="E6" s="3171">
        <v>69.97</v>
      </c>
      <c r="F6" s="3171" t="s">
        <v>3427</v>
      </c>
    </row>
    <row r="7" spans="1:6" ht="67.5">
      <c r="A7" s="3171" t="s">
        <v>4193</v>
      </c>
      <c r="B7" s="3171" t="s">
        <v>4189</v>
      </c>
      <c r="C7" s="3171" t="s">
        <v>3434</v>
      </c>
      <c r="D7" s="3171" t="s">
        <v>3435</v>
      </c>
      <c r="E7" s="3171">
        <v>75.680000000000007</v>
      </c>
      <c r="F7" s="3171" t="s">
        <v>3427</v>
      </c>
    </row>
    <row r="8" spans="1:6" ht="67.5">
      <c r="A8" s="3171" t="s">
        <v>4194</v>
      </c>
      <c r="B8" s="3171" t="s">
        <v>4189</v>
      </c>
      <c r="C8" s="3171" t="s">
        <v>3436</v>
      </c>
      <c r="D8" s="3171" t="s">
        <v>3437</v>
      </c>
      <c r="E8" s="3171">
        <v>82.3</v>
      </c>
      <c r="F8" s="3171" t="s">
        <v>3427</v>
      </c>
    </row>
    <row r="9" spans="1:6" ht="67.5">
      <c r="A9" s="3171" t="s">
        <v>4195</v>
      </c>
      <c r="B9" s="3171" t="s">
        <v>4189</v>
      </c>
      <c r="C9" s="3171" t="s">
        <v>3438</v>
      </c>
      <c r="D9" s="3171" t="s">
        <v>3439</v>
      </c>
      <c r="E9" s="3171">
        <v>80.7</v>
      </c>
      <c r="F9" s="3171" t="s">
        <v>3427</v>
      </c>
    </row>
    <row r="10" spans="1:6" ht="67.5">
      <c r="A10" s="3171" t="s">
        <v>4196</v>
      </c>
      <c r="B10" s="3171" t="s">
        <v>4189</v>
      </c>
      <c r="C10" s="3171" t="s">
        <v>3440</v>
      </c>
      <c r="D10" s="3171" t="s">
        <v>3441</v>
      </c>
      <c r="E10" s="3171">
        <v>69.97</v>
      </c>
      <c r="F10" s="3171" t="s">
        <v>3427</v>
      </c>
    </row>
    <row r="11" spans="1:6" ht="67.5">
      <c r="A11" s="3171" t="s">
        <v>4197</v>
      </c>
      <c r="B11" s="3171" t="s">
        <v>4189</v>
      </c>
      <c r="C11" s="3171" t="s">
        <v>3442</v>
      </c>
      <c r="D11" s="3171" t="s">
        <v>3443</v>
      </c>
      <c r="E11" s="3171">
        <v>64.72</v>
      </c>
      <c r="F11" s="3171" t="s">
        <v>3427</v>
      </c>
    </row>
    <row r="12" spans="1:6" ht="67.5">
      <c r="A12" s="3171" t="s">
        <v>4198</v>
      </c>
      <c r="B12" s="3171" t="s">
        <v>4189</v>
      </c>
      <c r="C12" s="3171" t="s">
        <v>3444</v>
      </c>
      <c r="D12" s="3171" t="s">
        <v>3445</v>
      </c>
      <c r="E12" s="3171">
        <v>80.7</v>
      </c>
      <c r="F12" s="3171" t="s">
        <v>3427</v>
      </c>
    </row>
    <row r="13" spans="1:6" ht="67.5">
      <c r="A13" s="3171" t="s">
        <v>4199</v>
      </c>
      <c r="B13" s="3171" t="s">
        <v>4189</v>
      </c>
      <c r="C13" s="3171" t="s">
        <v>3446</v>
      </c>
      <c r="D13" s="3171" t="s">
        <v>3447</v>
      </c>
      <c r="E13" s="3171">
        <v>69.97</v>
      </c>
      <c r="F13" s="3171" t="s">
        <v>3427</v>
      </c>
    </row>
    <row r="14" spans="1:6" ht="67.5">
      <c r="A14" s="3171" t="s">
        <v>4200</v>
      </c>
      <c r="B14" s="3171" t="s">
        <v>4189</v>
      </c>
      <c r="C14" s="3171" t="s">
        <v>3448</v>
      </c>
      <c r="D14" s="3171" t="s">
        <v>3449</v>
      </c>
      <c r="E14" s="3171">
        <v>137.41999999999999</v>
      </c>
      <c r="F14" s="3171" t="s">
        <v>3427</v>
      </c>
    </row>
    <row r="15" spans="1:6" ht="67.5">
      <c r="A15" s="3171" t="s">
        <v>4201</v>
      </c>
      <c r="B15" s="3171" t="s">
        <v>4189</v>
      </c>
      <c r="C15" s="3171" t="s">
        <v>3450</v>
      </c>
      <c r="D15" s="3171" t="s">
        <v>3451</v>
      </c>
      <c r="E15" s="3171">
        <v>70.31</v>
      </c>
      <c r="F15" s="3171" t="s">
        <v>3427</v>
      </c>
    </row>
    <row r="16" spans="1:6" ht="67.5">
      <c r="A16" s="3171" t="s">
        <v>4202</v>
      </c>
      <c r="B16" s="3171" t="s">
        <v>4189</v>
      </c>
      <c r="C16" s="3171" t="s">
        <v>3452</v>
      </c>
      <c r="D16" s="3171" t="s">
        <v>3453</v>
      </c>
      <c r="E16" s="3171">
        <v>102.82</v>
      </c>
      <c r="F16" s="3171" t="s">
        <v>3427</v>
      </c>
    </row>
    <row r="17" spans="1:6" ht="67.5">
      <c r="A17" s="3171" t="s">
        <v>4203</v>
      </c>
      <c r="B17" s="3171" t="s">
        <v>4189</v>
      </c>
      <c r="C17" s="3171" t="s">
        <v>3454</v>
      </c>
      <c r="D17" s="3171" t="s">
        <v>3455</v>
      </c>
      <c r="E17" s="3171">
        <v>635.19000000000005</v>
      </c>
      <c r="F17" s="3171" t="s">
        <v>3427</v>
      </c>
    </row>
    <row r="18" spans="1:6" ht="67.5">
      <c r="A18" s="3171" t="s">
        <v>4204</v>
      </c>
      <c r="B18" s="3171" t="s">
        <v>4189</v>
      </c>
      <c r="C18" s="3171" t="s">
        <v>3456</v>
      </c>
      <c r="D18" s="3171" t="s">
        <v>3457</v>
      </c>
      <c r="E18" s="3171">
        <v>80.7</v>
      </c>
      <c r="F18" s="3171" t="s">
        <v>3427</v>
      </c>
    </row>
    <row r="19" spans="1:6" ht="67.5">
      <c r="A19" s="3171" t="s">
        <v>4205</v>
      </c>
      <c r="B19" s="3171" t="s">
        <v>4189</v>
      </c>
      <c r="C19" s="3171" t="s">
        <v>3458</v>
      </c>
      <c r="D19" s="3171" t="s">
        <v>3459</v>
      </c>
      <c r="E19" s="3171">
        <v>70.31</v>
      </c>
      <c r="F19" s="3171" t="s">
        <v>3427</v>
      </c>
    </row>
    <row r="20" spans="1:6" ht="67.5">
      <c r="A20" s="3171" t="s">
        <v>4206</v>
      </c>
      <c r="B20" s="3171" t="s">
        <v>4189</v>
      </c>
      <c r="C20" s="3171" t="s">
        <v>3460</v>
      </c>
      <c r="D20" s="3171" t="s">
        <v>3461</v>
      </c>
      <c r="E20" s="3171">
        <v>70.31</v>
      </c>
      <c r="F20" s="3171" t="s">
        <v>3427</v>
      </c>
    </row>
    <row r="21" spans="1:6" ht="67.5">
      <c r="A21" s="3171" t="s">
        <v>4207</v>
      </c>
      <c r="B21" s="3171" t="s">
        <v>4189</v>
      </c>
      <c r="C21" s="3171" t="s">
        <v>3462</v>
      </c>
      <c r="D21" s="3171" t="s">
        <v>3463</v>
      </c>
      <c r="E21" s="3171">
        <v>70.31</v>
      </c>
      <c r="F21" s="3171" t="s">
        <v>3427</v>
      </c>
    </row>
    <row r="22" spans="1:6" ht="67.5">
      <c r="A22" s="3171" t="s">
        <v>4208</v>
      </c>
      <c r="B22" s="3171" t="s">
        <v>4189</v>
      </c>
      <c r="C22" s="3171" t="s">
        <v>3464</v>
      </c>
      <c r="D22" s="3171" t="s">
        <v>3465</v>
      </c>
      <c r="E22" s="3171">
        <v>70.31</v>
      </c>
      <c r="F22" s="3171" t="s">
        <v>3427</v>
      </c>
    </row>
    <row r="23" spans="1:6" ht="67.5">
      <c r="A23" s="3171" t="s">
        <v>4209</v>
      </c>
      <c r="B23" s="3171" t="s">
        <v>4189</v>
      </c>
      <c r="C23" s="3171" t="s">
        <v>3466</v>
      </c>
      <c r="D23" s="3171" t="s">
        <v>3467</v>
      </c>
      <c r="E23" s="3171">
        <v>70.31</v>
      </c>
      <c r="F23" s="3171" t="s">
        <v>3427</v>
      </c>
    </row>
    <row r="24" spans="1:6" ht="67.5">
      <c r="A24" s="3171" t="s">
        <v>4210</v>
      </c>
      <c r="B24" s="3171" t="s">
        <v>4189</v>
      </c>
      <c r="C24" s="3171" t="s">
        <v>3468</v>
      </c>
      <c r="D24" s="3171" t="s">
        <v>3469</v>
      </c>
      <c r="E24" s="3171">
        <v>63.2</v>
      </c>
      <c r="F24" s="3171" t="s">
        <v>3427</v>
      </c>
    </row>
    <row r="25" spans="1:6" ht="67.5">
      <c r="A25" s="3171" t="s">
        <v>4211</v>
      </c>
      <c r="B25" s="3171" t="s">
        <v>4189</v>
      </c>
      <c r="C25" s="3171" t="s">
        <v>3470</v>
      </c>
      <c r="D25" s="3171" t="s">
        <v>3471</v>
      </c>
      <c r="E25" s="3171">
        <v>69.97</v>
      </c>
      <c r="F25" s="3171" t="s">
        <v>3427</v>
      </c>
    </row>
    <row r="26" spans="1:6" ht="67.5">
      <c r="A26" s="3171" t="s">
        <v>4212</v>
      </c>
      <c r="B26" s="3171" t="s">
        <v>4189</v>
      </c>
      <c r="C26" s="3171" t="s">
        <v>3472</v>
      </c>
      <c r="D26" s="3171" t="s">
        <v>3473</v>
      </c>
      <c r="E26" s="3171">
        <v>69.97</v>
      </c>
      <c r="F26" s="3171" t="s">
        <v>3427</v>
      </c>
    </row>
    <row r="27" spans="1:6" ht="67.5">
      <c r="A27" s="3171" t="s">
        <v>4213</v>
      </c>
      <c r="B27" s="3171" t="s">
        <v>4189</v>
      </c>
      <c r="C27" s="3171" t="s">
        <v>3474</v>
      </c>
      <c r="D27" s="3171" t="s">
        <v>3475</v>
      </c>
      <c r="E27" s="3171">
        <v>70.31</v>
      </c>
      <c r="F27" s="3171" t="s">
        <v>3427</v>
      </c>
    </row>
    <row r="28" spans="1:6" ht="67.5">
      <c r="A28" s="3171" t="s">
        <v>4214</v>
      </c>
      <c r="B28" s="3171" t="s">
        <v>4189</v>
      </c>
      <c r="C28" s="3171" t="s">
        <v>3476</v>
      </c>
      <c r="D28" s="3171" t="s">
        <v>3477</v>
      </c>
      <c r="E28" s="3171">
        <v>80.7</v>
      </c>
      <c r="F28" s="3171" t="s">
        <v>3427</v>
      </c>
    </row>
    <row r="29" spans="1:6" ht="67.5">
      <c r="A29" s="3171" t="s">
        <v>4215</v>
      </c>
      <c r="B29" s="3171" t="s">
        <v>4189</v>
      </c>
      <c r="C29" s="3171" t="s">
        <v>3478</v>
      </c>
      <c r="D29" s="3171" t="s">
        <v>3479</v>
      </c>
      <c r="E29" s="3171">
        <v>69.97</v>
      </c>
      <c r="F29" s="3171" t="s">
        <v>3427</v>
      </c>
    </row>
    <row r="30" spans="1:6" ht="67.5">
      <c r="A30" s="3171" t="s">
        <v>4216</v>
      </c>
      <c r="B30" s="3171" t="s">
        <v>4189</v>
      </c>
      <c r="C30" s="3171" t="s">
        <v>3480</v>
      </c>
      <c r="D30" s="3171" t="s">
        <v>3481</v>
      </c>
      <c r="E30" s="3171">
        <v>102.82</v>
      </c>
      <c r="F30" s="3171" t="s">
        <v>3427</v>
      </c>
    </row>
    <row r="31" spans="1:6" ht="67.5">
      <c r="A31" s="3171" t="s">
        <v>4217</v>
      </c>
      <c r="B31" s="3171" t="s">
        <v>4189</v>
      </c>
      <c r="C31" s="3171" t="s">
        <v>3482</v>
      </c>
      <c r="D31" s="3171" t="s">
        <v>3483</v>
      </c>
      <c r="E31" s="3171">
        <v>82.3</v>
      </c>
      <c r="F31" s="3171" t="s">
        <v>3427</v>
      </c>
    </row>
    <row r="32" spans="1:6" ht="67.5">
      <c r="A32" s="3171" t="s">
        <v>4218</v>
      </c>
      <c r="B32" s="3171" t="s">
        <v>4189</v>
      </c>
      <c r="C32" s="3171" t="s">
        <v>3484</v>
      </c>
      <c r="D32" s="3171" t="s">
        <v>3485</v>
      </c>
      <c r="E32" s="3171">
        <v>102.82</v>
      </c>
      <c r="F32" s="3171" t="s">
        <v>3427</v>
      </c>
    </row>
    <row r="33" spans="1:6" ht="67.5">
      <c r="A33" s="3171" t="s">
        <v>4219</v>
      </c>
      <c r="B33" s="3171" t="s">
        <v>4189</v>
      </c>
      <c r="C33" s="3171" t="s">
        <v>3486</v>
      </c>
      <c r="D33" s="3171" t="s">
        <v>3487</v>
      </c>
      <c r="E33" s="3171">
        <v>63.2</v>
      </c>
      <c r="F33" s="3171" t="s">
        <v>3427</v>
      </c>
    </row>
    <row r="34" spans="1:6" ht="67.5">
      <c r="A34" s="3171" t="s">
        <v>4220</v>
      </c>
      <c r="B34" s="3171" t="s">
        <v>4189</v>
      </c>
      <c r="C34" s="3171" t="s">
        <v>3488</v>
      </c>
      <c r="D34" s="3171" t="s">
        <v>3489</v>
      </c>
      <c r="E34" s="3171">
        <v>80.7</v>
      </c>
      <c r="F34" s="3171" t="s">
        <v>3427</v>
      </c>
    </row>
    <row r="35" spans="1:6" ht="67.5">
      <c r="A35" s="3171" t="s">
        <v>4221</v>
      </c>
      <c r="B35" s="3171" t="s">
        <v>4189</v>
      </c>
      <c r="C35" s="3171" t="s">
        <v>3490</v>
      </c>
      <c r="D35" s="3171" t="s">
        <v>3491</v>
      </c>
      <c r="E35" s="3171">
        <v>285.49</v>
      </c>
      <c r="F35" s="3171" t="s">
        <v>3427</v>
      </c>
    </row>
    <row r="36" spans="1:6" ht="67.5">
      <c r="A36" s="3171" t="s">
        <v>4222</v>
      </c>
      <c r="B36" s="3171" t="s">
        <v>4189</v>
      </c>
      <c r="C36" s="3171" t="s">
        <v>3492</v>
      </c>
      <c r="D36" s="3171" t="s">
        <v>3493</v>
      </c>
      <c r="E36" s="3171">
        <v>70.31</v>
      </c>
      <c r="F36" s="3171" t="s">
        <v>3427</v>
      </c>
    </row>
    <row r="37" spans="1:6" ht="67.5">
      <c r="A37" s="3171" t="s">
        <v>4223</v>
      </c>
      <c r="B37" s="3171" t="s">
        <v>4189</v>
      </c>
      <c r="C37" s="3171" t="s">
        <v>3494</v>
      </c>
      <c r="D37" s="3171" t="s">
        <v>3495</v>
      </c>
      <c r="E37" s="3171">
        <v>177.95</v>
      </c>
      <c r="F37" s="3171" t="s">
        <v>3427</v>
      </c>
    </row>
    <row r="38" spans="1:6" ht="67.5">
      <c r="A38" s="3171" t="s">
        <v>4224</v>
      </c>
      <c r="B38" s="3171" t="s">
        <v>4189</v>
      </c>
      <c r="C38" s="3171" t="s">
        <v>3496</v>
      </c>
      <c r="D38" s="3171" t="s">
        <v>3497</v>
      </c>
      <c r="E38" s="3171">
        <v>80.7</v>
      </c>
      <c r="F38" s="3171" t="s">
        <v>3427</v>
      </c>
    </row>
    <row r="39" spans="1:6" ht="67.5">
      <c r="A39" s="3171" t="s">
        <v>4225</v>
      </c>
      <c r="B39" s="3171" t="s">
        <v>4189</v>
      </c>
      <c r="C39" s="3171" t="s">
        <v>3498</v>
      </c>
      <c r="D39" s="3171" t="s">
        <v>3499</v>
      </c>
      <c r="E39" s="3171">
        <v>80.7</v>
      </c>
      <c r="F39" s="3171" t="s">
        <v>3427</v>
      </c>
    </row>
    <row r="40" spans="1:6" ht="67.5">
      <c r="A40" s="3171" t="s">
        <v>4226</v>
      </c>
      <c r="B40" s="3171" t="s">
        <v>4189</v>
      </c>
      <c r="C40" s="3171" t="s">
        <v>3500</v>
      </c>
      <c r="D40" s="3171" t="s">
        <v>3501</v>
      </c>
      <c r="E40" s="3171">
        <v>86.24</v>
      </c>
      <c r="F40" s="3171" t="s">
        <v>3427</v>
      </c>
    </row>
    <row r="41" spans="1:6" ht="67.5">
      <c r="A41" s="3171" t="s">
        <v>4227</v>
      </c>
      <c r="B41" s="3171" t="s">
        <v>4189</v>
      </c>
      <c r="C41" s="3171" t="s">
        <v>3502</v>
      </c>
      <c r="D41" s="3171" t="s">
        <v>3503</v>
      </c>
      <c r="E41" s="3171">
        <v>121.15</v>
      </c>
      <c r="F41" s="3171" t="s">
        <v>3427</v>
      </c>
    </row>
    <row r="42" spans="1:6" ht="67.5">
      <c r="A42" s="3171" t="s">
        <v>4228</v>
      </c>
      <c r="B42" s="3171" t="s">
        <v>4189</v>
      </c>
      <c r="C42" s="3171" t="s">
        <v>3504</v>
      </c>
      <c r="D42" s="3171" t="s">
        <v>3505</v>
      </c>
      <c r="E42" s="3171">
        <v>70.31</v>
      </c>
      <c r="F42" s="3171" t="s">
        <v>3427</v>
      </c>
    </row>
    <row r="43" spans="1:6" ht="67.5">
      <c r="A43" s="3171" t="s">
        <v>4229</v>
      </c>
      <c r="B43" s="3171" t="s">
        <v>4189</v>
      </c>
      <c r="C43" s="3171" t="s">
        <v>3506</v>
      </c>
      <c r="D43" s="3171" t="s">
        <v>3507</v>
      </c>
      <c r="E43" s="3171">
        <v>75.680000000000007</v>
      </c>
      <c r="F43" s="3171" t="s">
        <v>3427</v>
      </c>
    </row>
    <row r="44" spans="1:6" ht="67.5">
      <c r="A44" s="3171" t="s">
        <v>4230</v>
      </c>
      <c r="B44" s="3171" t="s">
        <v>4189</v>
      </c>
      <c r="C44" s="3171" t="s">
        <v>3508</v>
      </c>
      <c r="D44" s="3171" t="s">
        <v>3509</v>
      </c>
      <c r="E44" s="3171">
        <v>70.31</v>
      </c>
      <c r="F44" s="3171" t="s">
        <v>3427</v>
      </c>
    </row>
    <row r="45" spans="1:6" ht="67.5">
      <c r="A45" s="3171" t="s">
        <v>4231</v>
      </c>
      <c r="B45" s="3171" t="s">
        <v>4189</v>
      </c>
      <c r="C45" s="3171" t="s">
        <v>3510</v>
      </c>
      <c r="D45" s="3171" t="s">
        <v>3511</v>
      </c>
      <c r="E45" s="3171">
        <v>635.19000000000005</v>
      </c>
      <c r="F45" s="3171" t="s">
        <v>3427</v>
      </c>
    </row>
    <row r="46" spans="1:6" ht="67.5">
      <c r="A46" s="3171" t="s">
        <v>4232</v>
      </c>
      <c r="B46" s="3171" t="s">
        <v>4189</v>
      </c>
      <c r="C46" s="3171" t="s">
        <v>3512</v>
      </c>
      <c r="D46" s="3171" t="s">
        <v>3513</v>
      </c>
      <c r="E46" s="3171">
        <v>86.24</v>
      </c>
      <c r="F46" s="3171" t="s">
        <v>3427</v>
      </c>
    </row>
    <row r="47" spans="1:6" ht="67.5">
      <c r="A47" s="3171" t="s">
        <v>4233</v>
      </c>
      <c r="B47" s="3171" t="s">
        <v>4189</v>
      </c>
      <c r="C47" s="3171" t="s">
        <v>3514</v>
      </c>
      <c r="D47" s="3171" t="s">
        <v>3515</v>
      </c>
      <c r="E47" s="3171">
        <v>97.58</v>
      </c>
      <c r="F47" s="3171" t="s">
        <v>3427</v>
      </c>
    </row>
    <row r="48" spans="1:6" ht="67.5">
      <c r="A48" s="3171" t="s">
        <v>4234</v>
      </c>
      <c r="B48" s="3171" t="s">
        <v>4189</v>
      </c>
      <c r="C48" s="3171" t="s">
        <v>3516</v>
      </c>
      <c r="D48" s="3171" t="s">
        <v>3517</v>
      </c>
      <c r="E48" s="3171">
        <v>65.53</v>
      </c>
      <c r="F48" s="3171" t="s">
        <v>3427</v>
      </c>
    </row>
    <row r="49" spans="1:6" ht="67.5">
      <c r="A49" s="3171" t="s">
        <v>4235</v>
      </c>
      <c r="B49" s="3171" t="s">
        <v>4189</v>
      </c>
      <c r="C49" s="3171" t="s">
        <v>3518</v>
      </c>
      <c r="D49" s="3171" t="s">
        <v>3519</v>
      </c>
      <c r="E49" s="3171">
        <v>80.7</v>
      </c>
      <c r="F49" s="3171" t="s">
        <v>3427</v>
      </c>
    </row>
    <row r="50" spans="1:6" ht="67.5">
      <c r="A50" s="3171" t="s">
        <v>4236</v>
      </c>
      <c r="B50" s="3171" t="s">
        <v>4189</v>
      </c>
      <c r="C50" s="3171" t="s">
        <v>3520</v>
      </c>
      <c r="D50" s="3171" t="s">
        <v>3521</v>
      </c>
      <c r="E50" s="3171">
        <v>87.79</v>
      </c>
      <c r="F50" s="3171" t="s">
        <v>3427</v>
      </c>
    </row>
    <row r="51" spans="1:6" ht="67.5">
      <c r="A51" s="3171" t="s">
        <v>4237</v>
      </c>
      <c r="B51" s="3171" t="s">
        <v>4189</v>
      </c>
      <c r="C51" s="3171" t="s">
        <v>3522</v>
      </c>
      <c r="D51" s="3171" t="s">
        <v>3523</v>
      </c>
      <c r="E51" s="3171">
        <v>328.86</v>
      </c>
      <c r="F51" s="3171" t="s">
        <v>3427</v>
      </c>
    </row>
    <row r="52" spans="1:6" ht="67.5">
      <c r="A52" s="3171" t="s">
        <v>4238</v>
      </c>
      <c r="B52" s="3171" t="s">
        <v>4189</v>
      </c>
      <c r="C52" s="3171" t="s">
        <v>3524</v>
      </c>
      <c r="D52" s="3171" t="s">
        <v>3525</v>
      </c>
      <c r="E52" s="3171">
        <v>70.31</v>
      </c>
      <c r="F52" s="3171" t="s">
        <v>3427</v>
      </c>
    </row>
    <row r="53" spans="1:6" ht="67.5">
      <c r="A53" s="3171" t="s">
        <v>4239</v>
      </c>
      <c r="B53" s="3171" t="s">
        <v>4189</v>
      </c>
      <c r="C53" s="3171" t="s">
        <v>3526</v>
      </c>
      <c r="D53" s="3171" t="s">
        <v>3527</v>
      </c>
      <c r="E53" s="3171">
        <v>64.72</v>
      </c>
      <c r="F53" s="3171" t="s">
        <v>3427</v>
      </c>
    </row>
    <row r="54" spans="1:6" ht="67.5">
      <c r="A54" s="3171" t="s">
        <v>4240</v>
      </c>
      <c r="B54" s="3171" t="s">
        <v>4189</v>
      </c>
      <c r="C54" s="3171" t="s">
        <v>3528</v>
      </c>
      <c r="D54" s="3171" t="s">
        <v>3529</v>
      </c>
      <c r="E54" s="3171">
        <v>70.31</v>
      </c>
      <c r="F54" s="3171" t="s">
        <v>3427</v>
      </c>
    </row>
    <row r="55" spans="1:6" ht="67.5">
      <c r="A55" s="3171" t="s">
        <v>4241</v>
      </c>
      <c r="B55" s="3171" t="s">
        <v>4189</v>
      </c>
      <c r="C55" s="3171" t="s">
        <v>3530</v>
      </c>
      <c r="D55" s="3171" t="s">
        <v>3531</v>
      </c>
      <c r="E55" s="3171">
        <v>70.16</v>
      </c>
      <c r="F55" s="3171" t="s">
        <v>3427</v>
      </c>
    </row>
    <row r="56" spans="1:6" ht="67.5">
      <c r="A56" s="3171" t="s">
        <v>4242</v>
      </c>
      <c r="B56" s="3171" t="s">
        <v>4189</v>
      </c>
      <c r="C56" s="3171" t="s">
        <v>3532</v>
      </c>
      <c r="D56" s="3171" t="s">
        <v>3533</v>
      </c>
      <c r="E56" s="3171">
        <v>65.53</v>
      </c>
      <c r="F56" s="3171" t="s">
        <v>3427</v>
      </c>
    </row>
    <row r="57" spans="1:6" ht="67.5">
      <c r="A57" s="3171" t="s">
        <v>4243</v>
      </c>
      <c r="B57" s="3171" t="s">
        <v>4189</v>
      </c>
      <c r="C57" s="3171" t="s">
        <v>3534</v>
      </c>
      <c r="D57" s="3171" t="s">
        <v>3535</v>
      </c>
      <c r="E57" s="3171">
        <v>87.75</v>
      </c>
      <c r="F57" s="3171" t="s">
        <v>3427</v>
      </c>
    </row>
    <row r="58" spans="1:6" ht="67.5">
      <c r="A58" s="3171" t="s">
        <v>4244</v>
      </c>
      <c r="B58" s="3171" t="s">
        <v>4189</v>
      </c>
      <c r="C58" s="3171" t="s">
        <v>3536</v>
      </c>
      <c r="D58" s="3171" t="s">
        <v>3537</v>
      </c>
      <c r="E58" s="3171">
        <v>80.7</v>
      </c>
      <c r="F58" s="3171" t="s">
        <v>3427</v>
      </c>
    </row>
    <row r="59" spans="1:6" ht="67.5">
      <c r="A59" s="3171" t="s">
        <v>4245</v>
      </c>
      <c r="B59" s="3171" t="s">
        <v>4189</v>
      </c>
      <c r="C59" s="3171" t="s">
        <v>3538</v>
      </c>
      <c r="D59" s="3171" t="s">
        <v>3539</v>
      </c>
      <c r="E59" s="3171">
        <v>70.31</v>
      </c>
      <c r="F59" s="3171" t="s">
        <v>3427</v>
      </c>
    </row>
    <row r="60" spans="1:6" ht="67.5">
      <c r="A60" s="3171" t="s">
        <v>4246</v>
      </c>
      <c r="B60" s="3171" t="s">
        <v>4189</v>
      </c>
      <c r="C60" s="3171" t="s">
        <v>3540</v>
      </c>
      <c r="D60" s="3171" t="s">
        <v>3541</v>
      </c>
      <c r="E60" s="3171">
        <v>70.31</v>
      </c>
      <c r="F60" s="3171" t="s">
        <v>3427</v>
      </c>
    </row>
    <row r="61" spans="1:6" ht="67.5">
      <c r="A61" s="3171" t="s">
        <v>4247</v>
      </c>
      <c r="B61" s="3171" t="s">
        <v>4189</v>
      </c>
      <c r="C61" s="3171" t="s">
        <v>3542</v>
      </c>
      <c r="D61" s="3171" t="s">
        <v>3543</v>
      </c>
      <c r="E61" s="3171">
        <v>80.7</v>
      </c>
      <c r="F61" s="3171" t="s">
        <v>3427</v>
      </c>
    </row>
    <row r="62" spans="1:6" ht="67.5">
      <c r="A62" s="3171" t="s">
        <v>4248</v>
      </c>
      <c r="B62" s="3171" t="s">
        <v>4189</v>
      </c>
      <c r="C62" s="3171" t="s">
        <v>3544</v>
      </c>
      <c r="D62" s="3171" t="s">
        <v>3545</v>
      </c>
      <c r="E62" s="3171">
        <v>80.7</v>
      </c>
      <c r="F62" s="3171" t="s">
        <v>3427</v>
      </c>
    </row>
    <row r="63" spans="1:6" ht="67.5">
      <c r="A63" s="3171" t="s">
        <v>4249</v>
      </c>
      <c r="B63" s="3171" t="s">
        <v>4189</v>
      </c>
      <c r="C63" s="3171" t="s">
        <v>3546</v>
      </c>
      <c r="D63" s="3171" t="s">
        <v>3547</v>
      </c>
      <c r="E63" s="3171">
        <v>82.3</v>
      </c>
      <c r="F63" s="3171" t="s">
        <v>3427</v>
      </c>
    </row>
    <row r="64" spans="1:6" ht="67.5">
      <c r="A64" s="3171" t="s">
        <v>4250</v>
      </c>
      <c r="B64" s="3171" t="s">
        <v>4189</v>
      </c>
      <c r="C64" s="3171" t="s">
        <v>3548</v>
      </c>
      <c r="D64" s="3171" t="s">
        <v>3549</v>
      </c>
      <c r="E64" s="3171">
        <v>70.31</v>
      </c>
      <c r="F64" s="3171" t="s">
        <v>3427</v>
      </c>
    </row>
    <row r="65" spans="1:6" ht="67.5">
      <c r="A65" s="3171" t="s">
        <v>4251</v>
      </c>
      <c r="B65" s="3171" t="s">
        <v>4189</v>
      </c>
      <c r="C65" s="3171" t="s">
        <v>3550</v>
      </c>
      <c r="D65" s="3171" t="s">
        <v>3551</v>
      </c>
      <c r="E65" s="3171">
        <v>69.97</v>
      </c>
      <c r="F65" s="3171" t="s">
        <v>3427</v>
      </c>
    </row>
    <row r="66" spans="1:6" ht="67.5">
      <c r="A66" s="3171" t="s">
        <v>4252</v>
      </c>
      <c r="B66" s="3171" t="s">
        <v>4189</v>
      </c>
      <c r="C66" s="3171" t="s">
        <v>3552</v>
      </c>
      <c r="D66" s="3171" t="s">
        <v>3553</v>
      </c>
      <c r="E66" s="3171">
        <v>64.72</v>
      </c>
      <c r="F66" s="3171" t="s">
        <v>3427</v>
      </c>
    </row>
    <row r="67" spans="1:6" ht="67.5">
      <c r="A67" s="3171" t="s">
        <v>4253</v>
      </c>
      <c r="B67" s="3171" t="s">
        <v>4189</v>
      </c>
      <c r="C67" s="3171" t="s">
        <v>3554</v>
      </c>
      <c r="D67" s="3171" t="s">
        <v>3555</v>
      </c>
      <c r="E67" s="3171">
        <v>70.31</v>
      </c>
      <c r="F67" s="3171" t="s">
        <v>3427</v>
      </c>
    </row>
    <row r="68" spans="1:6" ht="67.5">
      <c r="A68" s="3171" t="s">
        <v>4254</v>
      </c>
      <c r="B68" s="3171" t="s">
        <v>4189</v>
      </c>
      <c r="C68" s="3171" t="s">
        <v>3556</v>
      </c>
      <c r="D68" s="3171" t="s">
        <v>3557</v>
      </c>
      <c r="E68" s="3171">
        <v>87.75</v>
      </c>
      <c r="F68" s="3171" t="s">
        <v>3427</v>
      </c>
    </row>
    <row r="69" spans="1:6" ht="67.5">
      <c r="A69" s="3171" t="s">
        <v>4255</v>
      </c>
      <c r="B69" s="3171" t="s">
        <v>4189</v>
      </c>
      <c r="C69" s="3171" t="s">
        <v>3558</v>
      </c>
      <c r="D69" s="3171" t="s">
        <v>3559</v>
      </c>
      <c r="E69" s="3171">
        <v>86.24</v>
      </c>
      <c r="F69" s="3171" t="s">
        <v>3427</v>
      </c>
    </row>
    <row r="70" spans="1:6" ht="67.5">
      <c r="A70" s="3171" t="s">
        <v>4256</v>
      </c>
      <c r="B70" s="3171" t="s">
        <v>4189</v>
      </c>
      <c r="C70" s="3171" t="s">
        <v>3560</v>
      </c>
      <c r="D70" s="3171" t="s">
        <v>3561</v>
      </c>
      <c r="E70" s="3171">
        <v>86.24</v>
      </c>
      <c r="F70" s="3171" t="s">
        <v>3427</v>
      </c>
    </row>
    <row r="71" spans="1:6" ht="67.5">
      <c r="A71" s="3171" t="s">
        <v>4257</v>
      </c>
      <c r="B71" s="3171" t="s">
        <v>4189</v>
      </c>
      <c r="C71" s="3171" t="s">
        <v>3562</v>
      </c>
      <c r="D71" s="3171" t="s">
        <v>3563</v>
      </c>
      <c r="E71" s="3171">
        <v>70.31</v>
      </c>
      <c r="F71" s="3171" t="s">
        <v>3427</v>
      </c>
    </row>
    <row r="72" spans="1:6" ht="67.5">
      <c r="A72" s="3171" t="s">
        <v>4258</v>
      </c>
      <c r="B72" s="3171" t="s">
        <v>4189</v>
      </c>
      <c r="C72" s="3171" t="s">
        <v>3564</v>
      </c>
      <c r="D72" s="3171" t="s">
        <v>3565</v>
      </c>
      <c r="E72" s="3171">
        <v>70.31</v>
      </c>
      <c r="F72" s="3171" t="s">
        <v>3427</v>
      </c>
    </row>
    <row r="73" spans="1:6" ht="67.5">
      <c r="A73" s="3171" t="s">
        <v>4259</v>
      </c>
      <c r="B73" s="3171" t="s">
        <v>4189</v>
      </c>
      <c r="C73" s="3171" t="s">
        <v>3566</v>
      </c>
      <c r="D73" s="3171" t="s">
        <v>3567</v>
      </c>
      <c r="E73" s="3171">
        <v>80.7</v>
      </c>
      <c r="F73" s="3171" t="s">
        <v>3427</v>
      </c>
    </row>
    <row r="74" spans="1:6" ht="67.5">
      <c r="A74" s="3171" t="s">
        <v>4260</v>
      </c>
      <c r="B74" s="3171" t="s">
        <v>4189</v>
      </c>
      <c r="C74" s="3171" t="s">
        <v>3568</v>
      </c>
      <c r="D74" s="3171" t="s">
        <v>3569</v>
      </c>
      <c r="E74" s="3171">
        <v>82.3</v>
      </c>
      <c r="F74" s="3171" t="s">
        <v>3427</v>
      </c>
    </row>
    <row r="75" spans="1:6" ht="67.5">
      <c r="A75" s="3171" t="s">
        <v>4261</v>
      </c>
      <c r="B75" s="3171" t="s">
        <v>4189</v>
      </c>
      <c r="C75" s="3171" t="s">
        <v>3570</v>
      </c>
      <c r="D75" s="3171" t="s">
        <v>3571</v>
      </c>
      <c r="E75" s="3171">
        <v>82.3</v>
      </c>
      <c r="F75" s="3171" t="s">
        <v>3427</v>
      </c>
    </row>
    <row r="76" spans="1:6" ht="67.5">
      <c r="A76" s="3171" t="s">
        <v>4262</v>
      </c>
      <c r="B76" s="3171" t="s">
        <v>4189</v>
      </c>
      <c r="C76" s="3171" t="s">
        <v>3572</v>
      </c>
      <c r="D76" s="3171" t="s">
        <v>3573</v>
      </c>
      <c r="E76" s="3171">
        <v>64.72</v>
      </c>
      <c r="F76" s="3171" t="s">
        <v>3427</v>
      </c>
    </row>
    <row r="77" spans="1:6" ht="67.5">
      <c r="A77" s="3171" t="s">
        <v>4263</v>
      </c>
      <c r="B77" s="3171" t="s">
        <v>4189</v>
      </c>
      <c r="C77" s="3171" t="s">
        <v>3574</v>
      </c>
      <c r="D77" s="3171" t="s">
        <v>3575</v>
      </c>
      <c r="E77" s="3171">
        <v>69.97</v>
      </c>
      <c r="F77" s="3171" t="s">
        <v>3427</v>
      </c>
    </row>
    <row r="78" spans="1:6" ht="67.5">
      <c r="A78" s="3171" t="s">
        <v>4264</v>
      </c>
      <c r="B78" s="3171" t="s">
        <v>4189</v>
      </c>
      <c r="C78" s="3171" t="s">
        <v>3576</v>
      </c>
      <c r="D78" s="3171" t="s">
        <v>3577</v>
      </c>
      <c r="E78" s="3171">
        <v>70.31</v>
      </c>
      <c r="F78" s="3171" t="s">
        <v>3427</v>
      </c>
    </row>
    <row r="79" spans="1:6" ht="67.5">
      <c r="A79" s="3171" t="s">
        <v>4265</v>
      </c>
      <c r="B79" s="3171" t="s">
        <v>4189</v>
      </c>
      <c r="C79" s="3171" t="s">
        <v>3578</v>
      </c>
      <c r="D79" s="3171" t="s">
        <v>3579</v>
      </c>
      <c r="E79" s="3171">
        <v>80.7</v>
      </c>
      <c r="F79" s="3171" t="s">
        <v>3427</v>
      </c>
    </row>
    <row r="80" spans="1:6" ht="67.5">
      <c r="A80" s="3171" t="s">
        <v>4266</v>
      </c>
      <c r="B80" s="3171" t="s">
        <v>4189</v>
      </c>
      <c r="C80" s="3171" t="s">
        <v>3580</v>
      </c>
      <c r="D80" s="3171" t="s">
        <v>3581</v>
      </c>
      <c r="E80" s="3171">
        <v>80.7</v>
      </c>
      <c r="F80" s="3171" t="s">
        <v>3427</v>
      </c>
    </row>
    <row r="81" spans="1:6" ht="67.5">
      <c r="A81" s="3171" t="s">
        <v>4267</v>
      </c>
      <c r="B81" s="3171" t="s">
        <v>4189</v>
      </c>
      <c r="C81" s="3171" t="s">
        <v>3582</v>
      </c>
      <c r="D81" s="3171" t="s">
        <v>3583</v>
      </c>
      <c r="E81" s="3171">
        <v>87.79</v>
      </c>
      <c r="F81" s="3171" t="s">
        <v>3427</v>
      </c>
    </row>
    <row r="82" spans="1:6" ht="67.5">
      <c r="A82" s="3171" t="s">
        <v>4268</v>
      </c>
      <c r="B82" s="3171" t="s">
        <v>4189</v>
      </c>
      <c r="C82" s="3171" t="s">
        <v>3584</v>
      </c>
      <c r="D82" s="3171" t="s">
        <v>3585</v>
      </c>
      <c r="E82" s="3171">
        <v>82.3</v>
      </c>
      <c r="F82" s="3171" t="s">
        <v>3427</v>
      </c>
    </row>
    <row r="83" spans="1:6" ht="67.5">
      <c r="A83" s="3171" t="s">
        <v>4269</v>
      </c>
      <c r="B83" s="3171" t="s">
        <v>4189</v>
      </c>
      <c r="C83" s="3171" t="s">
        <v>3586</v>
      </c>
      <c r="D83" s="3171" t="s">
        <v>3587</v>
      </c>
      <c r="E83" s="3171">
        <v>64.72</v>
      </c>
      <c r="F83" s="3171" t="s">
        <v>3427</v>
      </c>
    </row>
    <row r="84" spans="1:6" ht="67.5">
      <c r="A84" s="3171" t="s">
        <v>4270</v>
      </c>
      <c r="B84" s="3171" t="s">
        <v>4189</v>
      </c>
      <c r="C84" s="3171" t="s">
        <v>3588</v>
      </c>
      <c r="D84" s="3171" t="s">
        <v>3589</v>
      </c>
      <c r="E84" s="3171">
        <v>70.31</v>
      </c>
      <c r="F84" s="3171" t="s">
        <v>3427</v>
      </c>
    </row>
    <row r="85" spans="1:6" ht="67.5">
      <c r="A85" s="3171" t="s">
        <v>4271</v>
      </c>
      <c r="B85" s="3171" t="s">
        <v>4189</v>
      </c>
      <c r="C85" s="3171" t="s">
        <v>3590</v>
      </c>
      <c r="D85" s="3171" t="s">
        <v>3591</v>
      </c>
      <c r="E85" s="3171">
        <v>69.97</v>
      </c>
      <c r="F85" s="3171" t="s">
        <v>3427</v>
      </c>
    </row>
    <row r="86" spans="1:6" ht="67.5">
      <c r="A86" s="3171" t="s">
        <v>4272</v>
      </c>
      <c r="B86" s="3171" t="s">
        <v>4189</v>
      </c>
      <c r="C86" s="3171" t="s">
        <v>3592</v>
      </c>
      <c r="D86" s="3171" t="s">
        <v>3593</v>
      </c>
      <c r="E86" s="3171">
        <v>69.97</v>
      </c>
      <c r="F86" s="3171" t="s">
        <v>3427</v>
      </c>
    </row>
    <row r="87" spans="1:6" ht="67.5">
      <c r="A87" s="3171" t="s">
        <v>4273</v>
      </c>
      <c r="B87" s="3171" t="s">
        <v>4189</v>
      </c>
      <c r="C87" s="3171" t="s">
        <v>3594</v>
      </c>
      <c r="D87" s="3171" t="s">
        <v>3595</v>
      </c>
      <c r="E87" s="3171">
        <v>80.7</v>
      </c>
      <c r="F87" s="3171" t="s">
        <v>3427</v>
      </c>
    </row>
    <row r="88" spans="1:6" ht="67.5">
      <c r="A88" s="3171" t="s">
        <v>4274</v>
      </c>
      <c r="B88" s="3171" t="s">
        <v>4189</v>
      </c>
      <c r="C88" s="3171" t="s">
        <v>3596</v>
      </c>
      <c r="D88" s="3171" t="s">
        <v>3597</v>
      </c>
      <c r="E88" s="3171">
        <v>69.97</v>
      </c>
      <c r="F88" s="3171" t="s">
        <v>3427</v>
      </c>
    </row>
    <row r="89" spans="1:6" ht="67.5">
      <c r="A89" s="3171" t="s">
        <v>4275</v>
      </c>
      <c r="B89" s="3171" t="s">
        <v>4189</v>
      </c>
      <c r="C89" s="3171" t="s">
        <v>3598</v>
      </c>
      <c r="D89" s="3171" t="s">
        <v>3599</v>
      </c>
      <c r="E89" s="3171">
        <v>70.31</v>
      </c>
      <c r="F89" s="3171" t="s">
        <v>3427</v>
      </c>
    </row>
    <row r="90" spans="1:6" ht="67.5">
      <c r="A90" s="3171" t="s">
        <v>4276</v>
      </c>
      <c r="B90" s="3171" t="s">
        <v>4189</v>
      </c>
      <c r="C90" s="3171" t="s">
        <v>3600</v>
      </c>
      <c r="D90" s="3171" t="s">
        <v>3601</v>
      </c>
      <c r="E90" s="3171">
        <v>70.16</v>
      </c>
      <c r="F90" s="3171" t="s">
        <v>3427</v>
      </c>
    </row>
    <row r="91" spans="1:6" ht="67.5">
      <c r="A91" s="3171" t="s">
        <v>4277</v>
      </c>
      <c r="B91" s="3171" t="s">
        <v>4189</v>
      </c>
      <c r="C91" s="3171" t="s">
        <v>3602</v>
      </c>
      <c r="D91" s="3171" t="s">
        <v>3603</v>
      </c>
      <c r="E91" s="3171">
        <v>70.31</v>
      </c>
      <c r="F91" s="3171" t="s">
        <v>3427</v>
      </c>
    </row>
    <row r="92" spans="1:6" ht="67.5">
      <c r="A92" s="3171" t="s">
        <v>4278</v>
      </c>
      <c r="B92" s="3171" t="s">
        <v>4189</v>
      </c>
      <c r="C92" s="3171" t="s">
        <v>3604</v>
      </c>
      <c r="D92" s="3171" t="s">
        <v>3605</v>
      </c>
      <c r="E92" s="3171">
        <v>102.43</v>
      </c>
      <c r="F92" s="3171" t="s">
        <v>3427</v>
      </c>
    </row>
    <row r="93" spans="1:6" ht="67.5">
      <c r="A93" s="3171" t="s">
        <v>4279</v>
      </c>
      <c r="B93" s="3171" t="s">
        <v>4189</v>
      </c>
      <c r="C93" s="3171" t="s">
        <v>3606</v>
      </c>
      <c r="D93" s="3171" t="s">
        <v>3607</v>
      </c>
      <c r="E93" s="3171">
        <v>86.24</v>
      </c>
      <c r="F93" s="3171" t="s">
        <v>3427</v>
      </c>
    </row>
    <row r="94" spans="1:6" ht="67.5">
      <c r="A94" s="3171" t="s">
        <v>4280</v>
      </c>
      <c r="B94" s="3171" t="s">
        <v>4189</v>
      </c>
      <c r="C94" s="3171" t="s">
        <v>3608</v>
      </c>
      <c r="D94" s="3171" t="s">
        <v>3609</v>
      </c>
      <c r="E94" s="3171">
        <v>69.97</v>
      </c>
      <c r="F94" s="3171" t="s">
        <v>3427</v>
      </c>
    </row>
    <row r="95" spans="1:6" ht="67.5">
      <c r="A95" s="3171" t="s">
        <v>4281</v>
      </c>
      <c r="B95" s="3171" t="s">
        <v>4189</v>
      </c>
      <c r="C95" s="3171" t="s">
        <v>3610</v>
      </c>
      <c r="D95" s="3171" t="s">
        <v>3611</v>
      </c>
      <c r="E95" s="3171">
        <v>177.95</v>
      </c>
      <c r="F95" s="3171" t="s">
        <v>3427</v>
      </c>
    </row>
    <row r="96" spans="1:6" ht="67.5">
      <c r="A96" s="3171" t="s">
        <v>4282</v>
      </c>
      <c r="B96" s="3171" t="s">
        <v>4189</v>
      </c>
      <c r="C96" s="3171" t="s">
        <v>3612</v>
      </c>
      <c r="D96" s="3171" t="s">
        <v>3613</v>
      </c>
      <c r="E96" s="3171">
        <v>69.97</v>
      </c>
      <c r="F96" s="3171" t="s">
        <v>3427</v>
      </c>
    </row>
    <row r="97" spans="1:6" ht="67.5">
      <c r="A97" s="3171" t="s">
        <v>4283</v>
      </c>
      <c r="B97" s="3171" t="s">
        <v>4189</v>
      </c>
      <c r="C97" s="3171" t="s">
        <v>3614</v>
      </c>
      <c r="D97" s="3171" t="s">
        <v>3615</v>
      </c>
      <c r="E97" s="3171">
        <v>80.7</v>
      </c>
      <c r="F97" s="3171" t="s">
        <v>3427</v>
      </c>
    </row>
    <row r="98" spans="1:6" ht="67.5">
      <c r="A98" s="3171" t="s">
        <v>4284</v>
      </c>
      <c r="B98" s="3171" t="s">
        <v>4189</v>
      </c>
      <c r="C98" s="3171" t="s">
        <v>3616</v>
      </c>
      <c r="D98" s="3171" t="s">
        <v>3617</v>
      </c>
      <c r="E98" s="3171">
        <v>80.7</v>
      </c>
      <c r="F98" s="3171" t="s">
        <v>3427</v>
      </c>
    </row>
    <row r="99" spans="1:6" ht="67.5">
      <c r="A99" s="3171" t="s">
        <v>4285</v>
      </c>
      <c r="B99" s="3171" t="s">
        <v>4189</v>
      </c>
      <c r="C99" s="3171" t="s">
        <v>3618</v>
      </c>
      <c r="D99" s="3171" t="s">
        <v>3619</v>
      </c>
      <c r="E99" s="3171">
        <v>97.58</v>
      </c>
      <c r="F99" s="3171" t="s">
        <v>3427</v>
      </c>
    </row>
    <row r="100" spans="1:6" ht="67.5">
      <c r="A100" s="3171" t="s">
        <v>4286</v>
      </c>
      <c r="B100" s="3171" t="s">
        <v>4189</v>
      </c>
      <c r="C100" s="3171" t="s">
        <v>3620</v>
      </c>
      <c r="D100" s="3171" t="s">
        <v>3621</v>
      </c>
      <c r="E100" s="3171">
        <v>69.97</v>
      </c>
      <c r="F100" s="3171" t="s">
        <v>3427</v>
      </c>
    </row>
    <row r="101" spans="1:6" ht="67.5">
      <c r="A101" s="3171" t="s">
        <v>4287</v>
      </c>
      <c r="B101" s="3171" t="s">
        <v>4189</v>
      </c>
      <c r="C101" s="3171" t="s">
        <v>3622</v>
      </c>
      <c r="D101" s="3171" t="s">
        <v>3623</v>
      </c>
      <c r="E101" s="3171">
        <v>75.680000000000007</v>
      </c>
      <c r="F101" s="3171" t="s">
        <v>3427</v>
      </c>
    </row>
    <row r="102" spans="1:6" ht="67.5">
      <c r="A102" s="3171" t="s">
        <v>4288</v>
      </c>
      <c r="B102" s="3171" t="s">
        <v>4189</v>
      </c>
      <c r="C102" s="3171" t="s">
        <v>3624</v>
      </c>
      <c r="D102" s="3171" t="s">
        <v>3625</v>
      </c>
      <c r="E102" s="3171">
        <v>65.53</v>
      </c>
      <c r="F102" s="3171" t="s">
        <v>3427</v>
      </c>
    </row>
    <row r="103" spans="1:6" ht="67.5">
      <c r="A103" s="3171" t="s">
        <v>4289</v>
      </c>
      <c r="B103" s="3171" t="s">
        <v>4189</v>
      </c>
      <c r="C103" s="3171" t="s">
        <v>3626</v>
      </c>
      <c r="D103" s="3171" t="s">
        <v>3627</v>
      </c>
      <c r="E103" s="3171">
        <v>401.58</v>
      </c>
      <c r="F103" s="3171" t="s">
        <v>673</v>
      </c>
    </row>
    <row r="104" spans="1:6" ht="67.5">
      <c r="A104" s="3171" t="s">
        <v>4290</v>
      </c>
      <c r="B104" s="3171" t="s">
        <v>4189</v>
      </c>
      <c r="C104" s="3171" t="s">
        <v>3628</v>
      </c>
      <c r="D104" s="3171" t="s">
        <v>3629</v>
      </c>
      <c r="E104" s="3171">
        <v>80.7</v>
      </c>
      <c r="F104" s="3171" t="s">
        <v>3427</v>
      </c>
    </row>
    <row r="105" spans="1:6" ht="67.5">
      <c r="A105" s="3171" t="s">
        <v>4291</v>
      </c>
      <c r="B105" s="3171" t="s">
        <v>4189</v>
      </c>
      <c r="C105" s="3171" t="s">
        <v>3630</v>
      </c>
      <c r="D105" s="3171" t="s">
        <v>3631</v>
      </c>
      <c r="E105" s="3171">
        <v>97.58</v>
      </c>
      <c r="F105" s="3171" t="s">
        <v>3427</v>
      </c>
    </row>
    <row r="106" spans="1:6" ht="67.5">
      <c r="A106" s="3171" t="s">
        <v>4292</v>
      </c>
      <c r="B106" s="3171" t="s">
        <v>4189</v>
      </c>
      <c r="C106" s="3171" t="s">
        <v>3632</v>
      </c>
      <c r="D106" s="3171" t="s">
        <v>3633</v>
      </c>
      <c r="E106" s="3171">
        <v>80.7</v>
      </c>
      <c r="F106" s="3171" t="s">
        <v>3427</v>
      </c>
    </row>
    <row r="107" spans="1:6" ht="67.5">
      <c r="A107" s="3171" t="s">
        <v>4293</v>
      </c>
      <c r="B107" s="3171" t="s">
        <v>4189</v>
      </c>
      <c r="C107" s="3171" t="s">
        <v>3634</v>
      </c>
      <c r="D107" s="3171" t="s">
        <v>3635</v>
      </c>
      <c r="E107" s="3171">
        <v>80.7</v>
      </c>
      <c r="F107" s="3171" t="s">
        <v>3427</v>
      </c>
    </row>
    <row r="108" spans="1:6" ht="67.5">
      <c r="A108" s="3171" t="s">
        <v>4294</v>
      </c>
      <c r="B108" s="3171" t="s">
        <v>4189</v>
      </c>
      <c r="C108" s="3171" t="s">
        <v>3636</v>
      </c>
      <c r="D108" s="3171" t="s">
        <v>3637</v>
      </c>
      <c r="E108" s="3171">
        <v>82.3</v>
      </c>
      <c r="F108" s="3171" t="s">
        <v>3427</v>
      </c>
    </row>
    <row r="109" spans="1:6" ht="67.5">
      <c r="A109" s="3171" t="s">
        <v>4295</v>
      </c>
      <c r="B109" s="3171" t="s">
        <v>4189</v>
      </c>
      <c r="C109" s="3171" t="s">
        <v>3638</v>
      </c>
      <c r="D109" s="3171" t="s">
        <v>3639</v>
      </c>
      <c r="E109" s="3171">
        <v>70.31</v>
      </c>
      <c r="F109" s="3171" t="s">
        <v>3427</v>
      </c>
    </row>
    <row r="110" spans="1:6" ht="67.5">
      <c r="A110" s="3171" t="s">
        <v>4296</v>
      </c>
      <c r="B110" s="3171" t="s">
        <v>4189</v>
      </c>
      <c r="C110" s="3171" t="s">
        <v>3640</v>
      </c>
      <c r="D110" s="3171" t="s">
        <v>3641</v>
      </c>
      <c r="E110" s="3171">
        <v>70.16</v>
      </c>
      <c r="F110" s="3171" t="s">
        <v>3427</v>
      </c>
    </row>
    <row r="111" spans="1:6" ht="67.5">
      <c r="A111" s="3171" t="s">
        <v>4297</v>
      </c>
      <c r="B111" s="3171" t="s">
        <v>4189</v>
      </c>
      <c r="C111" s="3171" t="s">
        <v>3642</v>
      </c>
      <c r="D111" s="3171" t="s">
        <v>3643</v>
      </c>
      <c r="E111" s="3171">
        <v>69.97</v>
      </c>
      <c r="F111" s="3171" t="s">
        <v>3427</v>
      </c>
    </row>
    <row r="112" spans="1:6" ht="67.5">
      <c r="A112" s="3171" t="s">
        <v>4298</v>
      </c>
      <c r="B112" s="3171" t="s">
        <v>4189</v>
      </c>
      <c r="C112" s="3171" t="s">
        <v>3644</v>
      </c>
      <c r="D112" s="3171" t="s">
        <v>3645</v>
      </c>
      <c r="E112" s="3171">
        <v>177.95</v>
      </c>
      <c r="F112" s="3171" t="s">
        <v>3427</v>
      </c>
    </row>
    <row r="113" spans="1:6" ht="67.5">
      <c r="A113" s="3171" t="s">
        <v>4299</v>
      </c>
      <c r="B113" s="3171" t="s">
        <v>4189</v>
      </c>
      <c r="C113" s="3171" t="s">
        <v>3646</v>
      </c>
      <c r="D113" s="3171" t="s">
        <v>3647</v>
      </c>
      <c r="E113" s="3171">
        <v>185.37</v>
      </c>
      <c r="F113" s="3171" t="s">
        <v>3427</v>
      </c>
    </row>
    <row r="114" spans="1:6" ht="67.5">
      <c r="A114" s="3171" t="s">
        <v>4300</v>
      </c>
      <c r="B114" s="3171" t="s">
        <v>4189</v>
      </c>
      <c r="C114" s="3171" t="s">
        <v>3648</v>
      </c>
      <c r="D114" s="3171" t="s">
        <v>3649</v>
      </c>
      <c r="E114" s="3171">
        <v>269.14999999999998</v>
      </c>
      <c r="F114" s="3171" t="s">
        <v>3427</v>
      </c>
    </row>
    <row r="115" spans="1:6" ht="67.5">
      <c r="A115" s="3171" t="s">
        <v>4301</v>
      </c>
      <c r="B115" s="3171" t="s">
        <v>4189</v>
      </c>
      <c r="C115" s="3171" t="s">
        <v>3650</v>
      </c>
      <c r="D115" s="3171" t="s">
        <v>3651</v>
      </c>
      <c r="E115" s="3171">
        <v>70.31</v>
      </c>
      <c r="F115" s="3171" t="s">
        <v>3427</v>
      </c>
    </row>
    <row r="116" spans="1:6" ht="67.5">
      <c r="A116" s="3171" t="s">
        <v>4302</v>
      </c>
      <c r="B116" s="3171" t="s">
        <v>4189</v>
      </c>
      <c r="C116" s="3171" t="s">
        <v>3652</v>
      </c>
      <c r="D116" s="3171" t="s">
        <v>3653</v>
      </c>
      <c r="E116" s="3171">
        <v>80.7</v>
      </c>
      <c r="F116" s="3171" t="s">
        <v>3427</v>
      </c>
    </row>
    <row r="117" spans="1:6" ht="67.5">
      <c r="A117" s="3171" t="s">
        <v>4303</v>
      </c>
      <c r="B117" s="3171" t="s">
        <v>4189</v>
      </c>
      <c r="C117" s="3171" t="s">
        <v>3654</v>
      </c>
      <c r="D117" s="3171" t="s">
        <v>3655</v>
      </c>
      <c r="E117" s="3171">
        <v>63.2</v>
      </c>
      <c r="F117" s="3171" t="s">
        <v>3427</v>
      </c>
    </row>
    <row r="118" spans="1:6" ht="67.5">
      <c r="A118" s="3171" t="s">
        <v>4304</v>
      </c>
      <c r="B118" s="3171" t="s">
        <v>4189</v>
      </c>
      <c r="C118" s="3171" t="s">
        <v>3656</v>
      </c>
      <c r="D118" s="3171" t="s">
        <v>3657</v>
      </c>
      <c r="E118" s="3171">
        <v>941.03</v>
      </c>
      <c r="F118" s="3171" t="s">
        <v>3427</v>
      </c>
    </row>
    <row r="119" spans="1:6" ht="67.5">
      <c r="A119" s="3171" t="s">
        <v>4305</v>
      </c>
      <c r="B119" s="3171" t="s">
        <v>4189</v>
      </c>
      <c r="C119" s="3171" t="s">
        <v>3658</v>
      </c>
      <c r="D119" s="3171" t="s">
        <v>3659</v>
      </c>
      <c r="E119" s="3171">
        <v>75.680000000000007</v>
      </c>
      <c r="F119" s="3171" t="s">
        <v>3427</v>
      </c>
    </row>
    <row r="120" spans="1:6" ht="67.5">
      <c r="A120" s="3171" t="s">
        <v>4306</v>
      </c>
      <c r="B120" s="3171" t="s">
        <v>4189</v>
      </c>
      <c r="C120" s="3171" t="s">
        <v>3660</v>
      </c>
      <c r="D120" s="3171" t="s">
        <v>3661</v>
      </c>
      <c r="E120" s="3171">
        <v>82.3</v>
      </c>
      <c r="F120" s="3171" t="s">
        <v>3427</v>
      </c>
    </row>
    <row r="121" spans="1:6" ht="67.5">
      <c r="A121" s="3171" t="s">
        <v>4307</v>
      </c>
      <c r="B121" s="3171" t="s">
        <v>4189</v>
      </c>
      <c r="C121" s="3171" t="s">
        <v>3662</v>
      </c>
      <c r="D121" s="3171" t="s">
        <v>3663</v>
      </c>
      <c r="E121" s="3171">
        <v>86.24</v>
      </c>
      <c r="F121" s="3171" t="s">
        <v>3427</v>
      </c>
    </row>
    <row r="122" spans="1:6" ht="67.5">
      <c r="A122" s="3171" t="s">
        <v>4308</v>
      </c>
      <c r="B122" s="3171" t="s">
        <v>4189</v>
      </c>
      <c r="C122" s="3171" t="s">
        <v>3664</v>
      </c>
      <c r="D122" s="3171" t="s">
        <v>3665</v>
      </c>
      <c r="E122" s="3171">
        <v>80.7</v>
      </c>
      <c r="F122" s="3171" t="s">
        <v>3427</v>
      </c>
    </row>
    <row r="123" spans="1:6" ht="67.5">
      <c r="A123" s="3171" t="s">
        <v>4309</v>
      </c>
      <c r="B123" s="3171" t="s">
        <v>4189</v>
      </c>
      <c r="C123" s="3171" t="s">
        <v>3666</v>
      </c>
      <c r="D123" s="3171" t="s">
        <v>3667</v>
      </c>
      <c r="E123" s="3171">
        <v>75.680000000000007</v>
      </c>
      <c r="F123" s="3171" t="s">
        <v>3427</v>
      </c>
    </row>
    <row r="124" spans="1:6" ht="67.5">
      <c r="A124" s="3171" t="s">
        <v>4310</v>
      </c>
      <c r="B124" s="3171" t="s">
        <v>4189</v>
      </c>
      <c r="C124" s="3171" t="s">
        <v>3668</v>
      </c>
      <c r="D124" s="3171" t="s">
        <v>3669</v>
      </c>
      <c r="E124" s="3171">
        <v>80.7</v>
      </c>
      <c r="F124" s="3171" t="s">
        <v>3427</v>
      </c>
    </row>
    <row r="125" spans="1:6" ht="67.5">
      <c r="A125" s="3171" t="s">
        <v>4311</v>
      </c>
      <c r="B125" s="3171" t="s">
        <v>4189</v>
      </c>
      <c r="C125" s="3171" t="s">
        <v>3670</v>
      </c>
      <c r="D125" s="3171" t="s">
        <v>3671</v>
      </c>
      <c r="E125" s="3171">
        <v>75.680000000000007</v>
      </c>
      <c r="F125" s="3171" t="s">
        <v>3427</v>
      </c>
    </row>
    <row r="126" spans="1:6" ht="67.5">
      <c r="A126" s="3171" t="s">
        <v>4312</v>
      </c>
      <c r="B126" s="3171" t="s">
        <v>4189</v>
      </c>
      <c r="C126" s="3171" t="s">
        <v>3672</v>
      </c>
      <c r="D126" s="3171" t="s">
        <v>3673</v>
      </c>
      <c r="E126" s="3171">
        <v>70.31</v>
      </c>
      <c r="F126" s="3171" t="s">
        <v>3427</v>
      </c>
    </row>
    <row r="127" spans="1:6" ht="67.5">
      <c r="A127" s="3171" t="s">
        <v>4313</v>
      </c>
      <c r="B127" s="3171" t="s">
        <v>4189</v>
      </c>
      <c r="C127" s="3171" t="s">
        <v>3674</v>
      </c>
      <c r="D127" s="3171" t="s">
        <v>3675</v>
      </c>
      <c r="E127" s="3171">
        <v>70.16</v>
      </c>
      <c r="F127" s="3171" t="s">
        <v>3427</v>
      </c>
    </row>
    <row r="128" spans="1:6" ht="67.5">
      <c r="A128" s="3171" t="s">
        <v>4314</v>
      </c>
      <c r="B128" s="3171" t="s">
        <v>4189</v>
      </c>
      <c r="C128" s="3171" t="s">
        <v>3676</v>
      </c>
      <c r="D128" s="3171" t="s">
        <v>3677</v>
      </c>
      <c r="E128" s="3171">
        <v>69.97</v>
      </c>
      <c r="F128" s="3171" t="s">
        <v>3427</v>
      </c>
    </row>
    <row r="129" spans="1:6" ht="67.5">
      <c r="A129" s="3171" t="s">
        <v>4315</v>
      </c>
      <c r="B129" s="3171" t="s">
        <v>4189</v>
      </c>
      <c r="C129" s="3171" t="s">
        <v>3678</v>
      </c>
      <c r="D129" s="3171" t="s">
        <v>3679</v>
      </c>
      <c r="E129" s="3171">
        <v>75.680000000000007</v>
      </c>
      <c r="F129" s="3171" t="s">
        <v>3427</v>
      </c>
    </row>
    <row r="130" spans="1:6" ht="67.5">
      <c r="A130" s="3171" t="s">
        <v>4316</v>
      </c>
      <c r="B130" s="3171" t="s">
        <v>4189</v>
      </c>
      <c r="C130" s="3171" t="s">
        <v>3680</v>
      </c>
      <c r="D130" s="3171" t="s">
        <v>3681</v>
      </c>
      <c r="E130" s="3171">
        <v>69.97</v>
      </c>
      <c r="F130" s="3171" t="s">
        <v>3427</v>
      </c>
    </row>
    <row r="131" spans="1:6" ht="67.5">
      <c r="A131" s="3171" t="s">
        <v>4317</v>
      </c>
      <c r="B131" s="3171" t="s">
        <v>4189</v>
      </c>
      <c r="C131" s="3171" t="s">
        <v>3682</v>
      </c>
      <c r="D131" s="3171" t="s">
        <v>3683</v>
      </c>
      <c r="E131" s="3171">
        <v>941.03</v>
      </c>
      <c r="F131" s="3171" t="s">
        <v>3427</v>
      </c>
    </row>
    <row r="132" spans="1:6" ht="67.5">
      <c r="A132" s="3171" t="s">
        <v>4318</v>
      </c>
      <c r="B132" s="3171" t="s">
        <v>4189</v>
      </c>
      <c r="C132" s="3171" t="s">
        <v>3684</v>
      </c>
      <c r="D132" s="3171" t="s">
        <v>3685</v>
      </c>
      <c r="E132" s="3171">
        <v>494.34</v>
      </c>
      <c r="F132" s="3171" t="s">
        <v>673</v>
      </c>
    </row>
    <row r="133" spans="1:6" ht="67.5">
      <c r="A133" s="3171" t="s">
        <v>4319</v>
      </c>
      <c r="B133" s="3171" t="s">
        <v>4189</v>
      </c>
      <c r="C133" s="3171" t="s">
        <v>3686</v>
      </c>
      <c r="D133" s="3171" t="s">
        <v>3687</v>
      </c>
      <c r="E133" s="3171">
        <v>70.31</v>
      </c>
      <c r="F133" s="3171" t="s">
        <v>3427</v>
      </c>
    </row>
    <row r="134" spans="1:6" ht="67.5">
      <c r="A134" s="3171" t="s">
        <v>4320</v>
      </c>
      <c r="B134" s="3171" t="s">
        <v>4189</v>
      </c>
      <c r="C134" s="3171" t="s">
        <v>3688</v>
      </c>
      <c r="D134" s="3171" t="s">
        <v>3689</v>
      </c>
      <c r="E134" s="3171">
        <v>69.97</v>
      </c>
      <c r="F134" s="3171" t="s">
        <v>3427</v>
      </c>
    </row>
    <row r="135" spans="1:6" ht="67.5">
      <c r="A135" s="3171" t="s">
        <v>4321</v>
      </c>
      <c r="B135" s="3171" t="s">
        <v>4189</v>
      </c>
      <c r="C135" s="3171" t="s">
        <v>3690</v>
      </c>
      <c r="D135" s="3171" t="s">
        <v>3691</v>
      </c>
      <c r="E135" s="3171">
        <v>80.7</v>
      </c>
      <c r="F135" s="3171" t="s">
        <v>3427</v>
      </c>
    </row>
    <row r="136" spans="1:6" ht="67.5">
      <c r="A136" s="3171" t="s">
        <v>4322</v>
      </c>
      <c r="B136" s="3171" t="s">
        <v>4189</v>
      </c>
      <c r="C136" s="3171" t="s">
        <v>3692</v>
      </c>
      <c r="D136" s="3171" t="s">
        <v>3693</v>
      </c>
      <c r="E136" s="3171">
        <v>70.31</v>
      </c>
      <c r="F136" s="3171" t="s">
        <v>3427</v>
      </c>
    </row>
    <row r="137" spans="1:6" ht="67.5">
      <c r="A137" s="3171" t="s">
        <v>4323</v>
      </c>
      <c r="B137" s="3171" t="s">
        <v>4189</v>
      </c>
      <c r="C137" s="3171" t="s">
        <v>3694</v>
      </c>
      <c r="D137" s="3171" t="s">
        <v>3695</v>
      </c>
      <c r="E137" s="3171">
        <v>80.7</v>
      </c>
      <c r="F137" s="3171" t="s">
        <v>3427</v>
      </c>
    </row>
    <row r="138" spans="1:6" ht="67.5">
      <c r="A138" s="3171" t="s">
        <v>4324</v>
      </c>
      <c r="B138" s="3171" t="s">
        <v>4189</v>
      </c>
      <c r="C138" s="3171" t="s">
        <v>3696</v>
      </c>
      <c r="D138" s="3171" t="s">
        <v>3697</v>
      </c>
      <c r="E138" s="3171">
        <v>635.19000000000005</v>
      </c>
      <c r="F138" s="3171" t="s">
        <v>3427</v>
      </c>
    </row>
    <row r="139" spans="1:6" ht="67.5">
      <c r="A139" s="3171" t="s">
        <v>4325</v>
      </c>
      <c r="B139" s="3171" t="s">
        <v>4189</v>
      </c>
      <c r="C139" s="3171" t="s">
        <v>3698</v>
      </c>
      <c r="D139" s="3171" t="s">
        <v>3699</v>
      </c>
      <c r="E139" s="3171">
        <v>80.7</v>
      </c>
      <c r="F139" s="3171" t="s">
        <v>3427</v>
      </c>
    </row>
    <row r="140" spans="1:6" ht="67.5">
      <c r="A140" s="3171" t="s">
        <v>4326</v>
      </c>
      <c r="B140" s="3171" t="s">
        <v>4189</v>
      </c>
      <c r="C140" s="3171" t="s">
        <v>3700</v>
      </c>
      <c r="D140" s="3171" t="s">
        <v>3701</v>
      </c>
      <c r="E140" s="3171">
        <v>69.97</v>
      </c>
      <c r="F140" s="3171" t="s">
        <v>3427</v>
      </c>
    </row>
    <row r="141" spans="1:6" ht="67.5">
      <c r="A141" s="3171" t="s">
        <v>4327</v>
      </c>
      <c r="B141" s="3171" t="s">
        <v>4189</v>
      </c>
      <c r="C141" s="3171" t="s">
        <v>3702</v>
      </c>
      <c r="D141" s="3171" t="s">
        <v>3703</v>
      </c>
      <c r="E141" s="3171">
        <v>63.2</v>
      </c>
      <c r="F141" s="3171" t="s">
        <v>3427</v>
      </c>
    </row>
    <row r="142" spans="1:6" ht="67.5">
      <c r="A142" s="3171" t="s">
        <v>4328</v>
      </c>
      <c r="B142" s="3171" t="s">
        <v>4189</v>
      </c>
      <c r="C142" s="3171" t="s">
        <v>3704</v>
      </c>
      <c r="D142" s="3171" t="s">
        <v>3705</v>
      </c>
      <c r="E142" s="3171">
        <v>102.82</v>
      </c>
      <c r="F142" s="3171" t="s">
        <v>3427</v>
      </c>
    </row>
    <row r="143" spans="1:6" ht="67.5">
      <c r="A143" s="3171" t="s">
        <v>4329</v>
      </c>
      <c r="B143" s="3171" t="s">
        <v>4189</v>
      </c>
      <c r="C143" s="3171" t="s">
        <v>3706</v>
      </c>
      <c r="D143" s="3171" t="s">
        <v>3707</v>
      </c>
      <c r="E143" s="3171">
        <v>69.97</v>
      </c>
      <c r="F143" s="3171" t="s">
        <v>3427</v>
      </c>
    </row>
    <row r="144" spans="1:6" ht="67.5">
      <c r="A144" s="3171" t="s">
        <v>4330</v>
      </c>
      <c r="B144" s="3171" t="s">
        <v>4189</v>
      </c>
      <c r="C144" s="3171" t="s">
        <v>3708</v>
      </c>
      <c r="D144" s="3171" t="s">
        <v>3709</v>
      </c>
      <c r="E144" s="3171">
        <v>80.7</v>
      </c>
      <c r="F144" s="3171" t="s">
        <v>3427</v>
      </c>
    </row>
    <row r="145" spans="1:6" ht="67.5">
      <c r="A145" s="3171" t="s">
        <v>4331</v>
      </c>
      <c r="B145" s="3171" t="s">
        <v>4189</v>
      </c>
      <c r="C145" s="3171" t="s">
        <v>3710</v>
      </c>
      <c r="D145" s="3171" t="s">
        <v>3711</v>
      </c>
      <c r="E145" s="3171">
        <v>70.31</v>
      </c>
      <c r="F145" s="3171" t="s">
        <v>3427</v>
      </c>
    </row>
    <row r="146" spans="1:6" ht="67.5">
      <c r="A146" s="3171" t="s">
        <v>4332</v>
      </c>
      <c r="B146" s="3171" t="s">
        <v>4189</v>
      </c>
      <c r="C146" s="3171" t="s">
        <v>3712</v>
      </c>
      <c r="D146" s="3171" t="s">
        <v>3713</v>
      </c>
      <c r="E146" s="3171">
        <v>80.7</v>
      </c>
      <c r="F146" s="3171" t="s">
        <v>3427</v>
      </c>
    </row>
    <row r="147" spans="1:6" ht="67.5">
      <c r="A147" s="3171" t="s">
        <v>4333</v>
      </c>
      <c r="B147" s="3171" t="s">
        <v>4189</v>
      </c>
      <c r="C147" s="3171" t="s">
        <v>3714</v>
      </c>
      <c r="D147" s="3171" t="s">
        <v>3715</v>
      </c>
      <c r="E147" s="3171">
        <v>177.95</v>
      </c>
      <c r="F147" s="3171" t="s">
        <v>3427</v>
      </c>
    </row>
    <row r="148" spans="1:6" ht="67.5">
      <c r="A148" s="3171" t="s">
        <v>4334</v>
      </c>
      <c r="B148" s="3171" t="s">
        <v>4189</v>
      </c>
      <c r="C148" s="3171" t="s">
        <v>3716</v>
      </c>
      <c r="D148" s="3171" t="s">
        <v>3717</v>
      </c>
      <c r="E148" s="3171">
        <v>70.31</v>
      </c>
      <c r="F148" s="3171" t="s">
        <v>3427</v>
      </c>
    </row>
    <row r="149" spans="1:6" ht="67.5">
      <c r="A149" s="3171" t="s">
        <v>4335</v>
      </c>
      <c r="B149" s="3171" t="s">
        <v>4189</v>
      </c>
      <c r="C149" s="3171" t="s">
        <v>3718</v>
      </c>
      <c r="D149" s="3171" t="s">
        <v>3719</v>
      </c>
      <c r="E149" s="3171">
        <v>70.31</v>
      </c>
      <c r="F149" s="3171" t="s">
        <v>3427</v>
      </c>
    </row>
    <row r="150" spans="1:6" ht="67.5">
      <c r="A150" s="3171" t="s">
        <v>4336</v>
      </c>
      <c r="B150" s="3171" t="s">
        <v>4189</v>
      </c>
      <c r="C150" s="3171" t="s">
        <v>3720</v>
      </c>
      <c r="D150" s="3171" t="s">
        <v>3721</v>
      </c>
      <c r="E150" s="3171">
        <v>69.97</v>
      </c>
      <c r="F150" s="3171" t="s">
        <v>3427</v>
      </c>
    </row>
    <row r="151" spans="1:6" ht="67.5">
      <c r="A151" s="3171" t="s">
        <v>4337</v>
      </c>
      <c r="B151" s="3171" t="s">
        <v>4189</v>
      </c>
      <c r="C151" s="3171" t="s">
        <v>3722</v>
      </c>
      <c r="D151" s="3171" t="s">
        <v>3723</v>
      </c>
      <c r="E151" s="3171">
        <v>75.680000000000007</v>
      </c>
      <c r="F151" s="3171" t="s">
        <v>3427</v>
      </c>
    </row>
    <row r="152" spans="1:6" ht="67.5">
      <c r="A152" s="3171" t="s">
        <v>4338</v>
      </c>
      <c r="B152" s="3171" t="s">
        <v>4189</v>
      </c>
      <c r="C152" s="3171" t="s">
        <v>3724</v>
      </c>
      <c r="D152" s="3171" t="s">
        <v>3725</v>
      </c>
      <c r="E152" s="3171">
        <v>102.43</v>
      </c>
      <c r="F152" s="3171" t="s">
        <v>3427</v>
      </c>
    </row>
    <row r="153" spans="1:6" ht="67.5">
      <c r="A153" s="3171" t="s">
        <v>4339</v>
      </c>
      <c r="B153" s="3171" t="s">
        <v>4189</v>
      </c>
      <c r="C153" s="3171" t="s">
        <v>3726</v>
      </c>
      <c r="D153" s="3171" t="s">
        <v>3727</v>
      </c>
      <c r="E153" s="3171">
        <v>80.7</v>
      </c>
      <c r="F153" s="3171" t="s">
        <v>3427</v>
      </c>
    </row>
    <row r="154" spans="1:6" ht="67.5">
      <c r="A154" s="3171" t="s">
        <v>4340</v>
      </c>
      <c r="B154" s="3171" t="s">
        <v>4189</v>
      </c>
      <c r="C154" s="3171" t="s">
        <v>3728</v>
      </c>
      <c r="D154" s="3171" t="s">
        <v>3729</v>
      </c>
      <c r="E154" s="3171">
        <v>75.680000000000007</v>
      </c>
      <c r="F154" s="3171" t="s">
        <v>3427</v>
      </c>
    </row>
    <row r="155" spans="1:6" ht="67.5">
      <c r="A155" s="3171" t="s">
        <v>4341</v>
      </c>
      <c r="B155" s="3171" t="s">
        <v>4189</v>
      </c>
      <c r="C155" s="3171" t="s">
        <v>3730</v>
      </c>
      <c r="D155" s="3171" t="s">
        <v>3731</v>
      </c>
      <c r="E155" s="3171">
        <v>80.7</v>
      </c>
      <c r="F155" s="3171" t="s">
        <v>3427</v>
      </c>
    </row>
    <row r="156" spans="1:6" ht="67.5">
      <c r="A156" s="3171" t="s">
        <v>4342</v>
      </c>
      <c r="B156" s="3171" t="s">
        <v>4189</v>
      </c>
      <c r="C156" s="3171" t="s">
        <v>3732</v>
      </c>
      <c r="D156" s="3171" t="s">
        <v>3733</v>
      </c>
      <c r="E156" s="3171">
        <v>69.97</v>
      </c>
      <c r="F156" s="3171" t="s">
        <v>3427</v>
      </c>
    </row>
    <row r="157" spans="1:6" ht="67.5">
      <c r="A157" s="3171" t="s">
        <v>4343</v>
      </c>
      <c r="B157" s="3171" t="s">
        <v>4189</v>
      </c>
      <c r="C157" s="3171" t="s">
        <v>3734</v>
      </c>
      <c r="D157" s="3171" t="s">
        <v>3735</v>
      </c>
      <c r="E157" s="3171">
        <v>80.7</v>
      </c>
      <c r="F157" s="3171" t="s">
        <v>3427</v>
      </c>
    </row>
    <row r="158" spans="1:6" ht="67.5">
      <c r="A158" s="3171" t="s">
        <v>4344</v>
      </c>
      <c r="B158" s="3171" t="s">
        <v>4189</v>
      </c>
      <c r="C158" s="3171" t="s">
        <v>3736</v>
      </c>
      <c r="D158" s="3171" t="s">
        <v>3737</v>
      </c>
      <c r="E158" s="3171">
        <v>63.2</v>
      </c>
      <c r="F158" s="3171" t="s">
        <v>3427</v>
      </c>
    </row>
    <row r="159" spans="1:6" ht="67.5">
      <c r="A159" s="3171" t="s">
        <v>4345</v>
      </c>
      <c r="B159" s="3171" t="s">
        <v>4189</v>
      </c>
      <c r="C159" s="3171" t="s">
        <v>3738</v>
      </c>
      <c r="D159" s="3171" t="s">
        <v>3739</v>
      </c>
      <c r="E159" s="3171">
        <v>80.7</v>
      </c>
      <c r="F159" s="3171" t="s">
        <v>3427</v>
      </c>
    </row>
    <row r="160" spans="1:6" ht="67.5">
      <c r="A160" s="3171" t="s">
        <v>4346</v>
      </c>
      <c r="B160" s="3171" t="s">
        <v>4189</v>
      </c>
      <c r="C160" s="3171" t="s">
        <v>3740</v>
      </c>
      <c r="D160" s="3171" t="s">
        <v>3741</v>
      </c>
      <c r="E160" s="3171">
        <v>65.53</v>
      </c>
      <c r="F160" s="3171" t="s">
        <v>3427</v>
      </c>
    </row>
    <row r="161" spans="1:6" ht="67.5">
      <c r="A161" s="3171" t="s">
        <v>4347</v>
      </c>
      <c r="B161" s="3171" t="s">
        <v>4189</v>
      </c>
      <c r="C161" s="3171" t="s">
        <v>3742</v>
      </c>
      <c r="D161" s="3171" t="s">
        <v>3743</v>
      </c>
      <c r="E161" s="3171">
        <v>102.82</v>
      </c>
      <c r="F161" s="3171" t="s">
        <v>3427</v>
      </c>
    </row>
    <row r="162" spans="1:6" ht="67.5">
      <c r="A162" s="3171" t="s">
        <v>4348</v>
      </c>
      <c r="B162" s="3171" t="s">
        <v>4189</v>
      </c>
      <c r="C162" s="3171" t="s">
        <v>3744</v>
      </c>
      <c r="D162" s="3171" t="s">
        <v>3745</v>
      </c>
      <c r="E162" s="3171">
        <v>80.7</v>
      </c>
      <c r="F162" s="3171" t="s">
        <v>3427</v>
      </c>
    </row>
    <row r="163" spans="1:6" ht="67.5">
      <c r="A163" s="3171" t="s">
        <v>4349</v>
      </c>
      <c r="B163" s="3171" t="s">
        <v>4189</v>
      </c>
      <c r="C163" s="3171" t="s">
        <v>3746</v>
      </c>
      <c r="D163" s="3171" t="s">
        <v>3747</v>
      </c>
      <c r="E163" s="3171">
        <v>78.83</v>
      </c>
      <c r="F163" s="3171" t="s">
        <v>3427</v>
      </c>
    </row>
    <row r="164" spans="1:6" ht="67.5">
      <c r="A164" s="3171" t="s">
        <v>4350</v>
      </c>
      <c r="B164" s="3171" t="s">
        <v>4189</v>
      </c>
      <c r="C164" s="3171" t="s">
        <v>3748</v>
      </c>
      <c r="D164" s="3171" t="s">
        <v>3749</v>
      </c>
      <c r="E164" s="3171">
        <v>87.75</v>
      </c>
      <c r="F164" s="3171" t="s">
        <v>3427</v>
      </c>
    </row>
    <row r="165" spans="1:6" ht="67.5">
      <c r="A165" s="3171" t="s">
        <v>4351</v>
      </c>
      <c r="B165" s="3171" t="s">
        <v>4189</v>
      </c>
      <c r="C165" s="3171" t="s">
        <v>3750</v>
      </c>
      <c r="D165" s="3171" t="s">
        <v>3751</v>
      </c>
      <c r="E165" s="3171">
        <v>70.31</v>
      </c>
      <c r="F165" s="3171" t="s">
        <v>3427</v>
      </c>
    </row>
    <row r="166" spans="1:6" ht="67.5">
      <c r="A166" s="3171" t="s">
        <v>4352</v>
      </c>
      <c r="B166" s="3171" t="s">
        <v>4189</v>
      </c>
      <c r="C166" s="3171" t="s">
        <v>3752</v>
      </c>
      <c r="D166" s="3171" t="s">
        <v>3753</v>
      </c>
      <c r="E166" s="3171">
        <v>80.7</v>
      </c>
      <c r="F166" s="3171" t="s">
        <v>3427</v>
      </c>
    </row>
    <row r="167" spans="1:6" ht="67.5">
      <c r="A167" s="3171" t="s">
        <v>4353</v>
      </c>
      <c r="B167" s="3171" t="s">
        <v>4189</v>
      </c>
      <c r="C167" s="3171" t="s">
        <v>3754</v>
      </c>
      <c r="D167" s="3171" t="s">
        <v>3755</v>
      </c>
      <c r="E167" s="3171">
        <v>69.97</v>
      </c>
      <c r="F167" s="3171" t="s">
        <v>3427</v>
      </c>
    </row>
    <row r="168" spans="1:6" ht="67.5">
      <c r="A168" s="3171" t="s">
        <v>4354</v>
      </c>
      <c r="B168" s="3171" t="s">
        <v>4189</v>
      </c>
      <c r="C168" s="3171" t="s">
        <v>3756</v>
      </c>
      <c r="D168" s="3171" t="s">
        <v>3757</v>
      </c>
      <c r="E168" s="3171">
        <v>70.31</v>
      </c>
      <c r="F168" s="3171" t="s">
        <v>3427</v>
      </c>
    </row>
    <row r="169" spans="1:6" ht="67.5">
      <c r="A169" s="3171" t="s">
        <v>4355</v>
      </c>
      <c r="B169" s="3171" t="s">
        <v>4189</v>
      </c>
      <c r="C169" s="3171" t="s">
        <v>3758</v>
      </c>
      <c r="D169" s="3171" t="s">
        <v>3759</v>
      </c>
      <c r="E169" s="3171">
        <v>70.16</v>
      </c>
      <c r="F169" s="3171" t="s">
        <v>3427</v>
      </c>
    </row>
    <row r="170" spans="1:6" ht="67.5">
      <c r="A170" s="3171" t="s">
        <v>4356</v>
      </c>
      <c r="B170" s="3171" t="s">
        <v>4189</v>
      </c>
      <c r="C170" s="3171" t="s">
        <v>3760</v>
      </c>
      <c r="D170" s="3171" t="s">
        <v>3761</v>
      </c>
      <c r="E170" s="3171">
        <v>70.31</v>
      </c>
      <c r="F170" s="3171" t="s">
        <v>3427</v>
      </c>
    </row>
    <row r="171" spans="1:6" ht="67.5">
      <c r="A171" s="3171" t="s">
        <v>4357</v>
      </c>
      <c r="B171" s="3171" t="s">
        <v>4189</v>
      </c>
      <c r="C171" s="3171" t="s">
        <v>3762</v>
      </c>
      <c r="D171" s="3171" t="s">
        <v>3763</v>
      </c>
      <c r="E171" s="3171">
        <v>69.97</v>
      </c>
      <c r="F171" s="3171" t="s">
        <v>3427</v>
      </c>
    </row>
    <row r="172" spans="1:6" ht="67.5">
      <c r="A172" s="3171" t="s">
        <v>4358</v>
      </c>
      <c r="B172" s="3171" t="s">
        <v>4189</v>
      </c>
      <c r="C172" s="3171" t="s">
        <v>3764</v>
      </c>
      <c r="D172" s="3171" t="s">
        <v>3765</v>
      </c>
      <c r="E172" s="3171">
        <v>80.7</v>
      </c>
      <c r="F172" s="3171" t="s">
        <v>3427</v>
      </c>
    </row>
    <row r="173" spans="1:6" ht="67.5">
      <c r="A173" s="3171" t="s">
        <v>4359</v>
      </c>
      <c r="B173" s="3171" t="s">
        <v>4189</v>
      </c>
      <c r="C173" s="3171" t="s">
        <v>3766</v>
      </c>
      <c r="D173" s="3171" t="s">
        <v>3767</v>
      </c>
      <c r="E173" s="3171">
        <v>70.31</v>
      </c>
      <c r="F173" s="3171" t="s">
        <v>3427</v>
      </c>
    </row>
    <row r="174" spans="1:6" ht="67.5">
      <c r="A174" s="3171" t="s">
        <v>4360</v>
      </c>
      <c r="B174" s="3171" t="s">
        <v>4189</v>
      </c>
      <c r="C174" s="3171" t="s">
        <v>3768</v>
      </c>
      <c r="D174" s="3171" t="s">
        <v>3769</v>
      </c>
      <c r="E174" s="3171">
        <v>70.16</v>
      </c>
      <c r="F174" s="3171" t="s">
        <v>3427</v>
      </c>
    </row>
    <row r="175" spans="1:6" ht="67.5">
      <c r="A175" s="3171" t="s">
        <v>4361</v>
      </c>
      <c r="B175" s="3171" t="s">
        <v>4189</v>
      </c>
      <c r="C175" s="3171" t="s">
        <v>3770</v>
      </c>
      <c r="D175" s="3171" t="s">
        <v>3771</v>
      </c>
      <c r="E175" s="3171">
        <v>70.31</v>
      </c>
      <c r="F175" s="3171" t="s">
        <v>3427</v>
      </c>
    </row>
    <row r="176" spans="1:6" ht="67.5">
      <c r="A176" s="3171" t="s">
        <v>4362</v>
      </c>
      <c r="B176" s="3171" t="s">
        <v>4189</v>
      </c>
      <c r="C176" s="3171" t="s">
        <v>3772</v>
      </c>
      <c r="D176" s="3171" t="s">
        <v>3773</v>
      </c>
      <c r="E176" s="3171">
        <v>941.03</v>
      </c>
      <c r="F176" s="3171" t="s">
        <v>3427</v>
      </c>
    </row>
    <row r="177" spans="1:6" ht="67.5">
      <c r="A177" s="3171" t="s">
        <v>4363</v>
      </c>
      <c r="B177" s="3171" t="s">
        <v>4189</v>
      </c>
      <c r="C177" s="3171" t="s">
        <v>3774</v>
      </c>
      <c r="D177" s="3171" t="s">
        <v>3775</v>
      </c>
      <c r="E177" s="3171">
        <v>80.7</v>
      </c>
      <c r="F177" s="3171" t="s">
        <v>3427</v>
      </c>
    </row>
    <row r="178" spans="1:6" ht="67.5">
      <c r="A178" s="3171" t="s">
        <v>4364</v>
      </c>
      <c r="B178" s="3171" t="s">
        <v>4189</v>
      </c>
      <c r="C178" s="3171" t="s">
        <v>3776</v>
      </c>
      <c r="D178" s="3171" t="s">
        <v>3777</v>
      </c>
      <c r="E178" s="3171">
        <v>63.2</v>
      </c>
      <c r="F178" s="3171" t="s">
        <v>3427</v>
      </c>
    </row>
    <row r="179" spans="1:6" ht="67.5">
      <c r="A179" s="3171" t="s">
        <v>4365</v>
      </c>
      <c r="B179" s="3171" t="s">
        <v>4189</v>
      </c>
      <c r="C179" s="3171" t="s">
        <v>3778</v>
      </c>
      <c r="D179" s="3171" t="s">
        <v>3779</v>
      </c>
      <c r="E179" s="3171">
        <v>80.7</v>
      </c>
      <c r="F179" s="3171" t="s">
        <v>3427</v>
      </c>
    </row>
    <row r="180" spans="1:6" ht="67.5">
      <c r="A180" s="3171" t="s">
        <v>4366</v>
      </c>
      <c r="B180" s="3171" t="s">
        <v>4189</v>
      </c>
      <c r="C180" s="3171" t="s">
        <v>3780</v>
      </c>
      <c r="D180" s="3171" t="s">
        <v>3781</v>
      </c>
      <c r="E180" s="3171">
        <v>80.7</v>
      </c>
      <c r="F180" s="3171" t="s">
        <v>3427</v>
      </c>
    </row>
    <row r="181" spans="1:6" ht="67.5">
      <c r="A181" s="3171" t="s">
        <v>4367</v>
      </c>
      <c r="B181" s="3171" t="s">
        <v>4189</v>
      </c>
      <c r="C181" s="3171" t="s">
        <v>3782</v>
      </c>
      <c r="D181" s="3171" t="s">
        <v>3783</v>
      </c>
      <c r="E181" s="3171">
        <v>69.97</v>
      </c>
      <c r="F181" s="3171" t="s">
        <v>3427</v>
      </c>
    </row>
    <row r="182" spans="1:6" ht="67.5">
      <c r="A182" s="3171" t="s">
        <v>4368</v>
      </c>
      <c r="B182" s="3171" t="s">
        <v>4189</v>
      </c>
      <c r="C182" s="3171" t="s">
        <v>3784</v>
      </c>
      <c r="D182" s="3171" t="s">
        <v>3785</v>
      </c>
      <c r="E182" s="3171">
        <v>65.83</v>
      </c>
      <c r="F182" s="3171" t="s">
        <v>3427</v>
      </c>
    </row>
    <row r="183" spans="1:6" ht="67.5">
      <c r="A183" s="3171" t="s">
        <v>4369</v>
      </c>
      <c r="B183" s="3171" t="s">
        <v>4189</v>
      </c>
      <c r="C183" s="3171" t="s">
        <v>3786</v>
      </c>
      <c r="D183" s="3171" t="s">
        <v>3787</v>
      </c>
      <c r="E183" s="3171">
        <v>82.3</v>
      </c>
      <c r="F183" s="3171" t="s">
        <v>3427</v>
      </c>
    </row>
    <row r="184" spans="1:6" ht="67.5">
      <c r="A184" s="3171" t="s">
        <v>4370</v>
      </c>
      <c r="B184" s="3171" t="s">
        <v>4189</v>
      </c>
      <c r="C184" s="3171" t="s">
        <v>3788</v>
      </c>
      <c r="D184" s="3171" t="s">
        <v>3789</v>
      </c>
      <c r="E184" s="3171">
        <v>177.95</v>
      </c>
      <c r="F184" s="3171" t="s">
        <v>3427</v>
      </c>
    </row>
    <row r="185" spans="1:6" ht="67.5">
      <c r="A185" s="3171" t="s">
        <v>4371</v>
      </c>
      <c r="B185" s="3171" t="s">
        <v>4189</v>
      </c>
      <c r="C185" s="3171" t="s">
        <v>3790</v>
      </c>
      <c r="D185" s="3171" t="s">
        <v>3791</v>
      </c>
      <c r="E185" s="3171">
        <v>75.680000000000007</v>
      </c>
      <c r="F185" s="3171" t="s">
        <v>3427</v>
      </c>
    </row>
    <row r="186" spans="1:6" ht="67.5">
      <c r="A186" s="3171" t="s">
        <v>4372</v>
      </c>
      <c r="B186" s="3171" t="s">
        <v>4189</v>
      </c>
      <c r="C186" s="3171" t="s">
        <v>3792</v>
      </c>
      <c r="D186" s="3171" t="s">
        <v>3793</v>
      </c>
      <c r="E186" s="3171">
        <v>75.680000000000007</v>
      </c>
      <c r="F186" s="3171" t="s">
        <v>3427</v>
      </c>
    </row>
    <row r="187" spans="1:6" ht="67.5">
      <c r="A187" s="3171" t="s">
        <v>4373</v>
      </c>
      <c r="B187" s="3171" t="s">
        <v>4189</v>
      </c>
      <c r="C187" s="3171" t="s">
        <v>3794</v>
      </c>
      <c r="D187" s="3171" t="s">
        <v>3795</v>
      </c>
      <c r="E187" s="3171">
        <v>322.60000000000002</v>
      </c>
      <c r="F187" s="3171" t="s">
        <v>3427</v>
      </c>
    </row>
    <row r="188" spans="1:6" ht="67.5">
      <c r="A188" s="3171" t="s">
        <v>4374</v>
      </c>
      <c r="B188" s="3171" t="s">
        <v>4189</v>
      </c>
      <c r="C188" s="3171" t="s">
        <v>3796</v>
      </c>
      <c r="D188" s="3171" t="s">
        <v>3797</v>
      </c>
      <c r="E188" s="3171">
        <v>70.16</v>
      </c>
      <c r="F188" s="3171" t="s">
        <v>3427</v>
      </c>
    </row>
    <row r="189" spans="1:6" ht="67.5">
      <c r="A189" s="3171" t="s">
        <v>4375</v>
      </c>
      <c r="B189" s="3171" t="s">
        <v>4189</v>
      </c>
      <c r="C189" s="3171" t="s">
        <v>3798</v>
      </c>
      <c r="D189" s="3171" t="s">
        <v>3799</v>
      </c>
      <c r="E189" s="3171">
        <v>70.31</v>
      </c>
      <c r="F189" s="3171" t="s">
        <v>3427</v>
      </c>
    </row>
    <row r="190" spans="1:6" ht="67.5">
      <c r="A190" s="3171" t="s">
        <v>4376</v>
      </c>
      <c r="B190" s="3171" t="s">
        <v>4189</v>
      </c>
      <c r="C190" s="3171" t="s">
        <v>3800</v>
      </c>
      <c r="D190" s="3171" t="s">
        <v>3801</v>
      </c>
      <c r="E190" s="3171">
        <v>70.31</v>
      </c>
      <c r="F190" s="3171" t="s">
        <v>3427</v>
      </c>
    </row>
    <row r="191" spans="1:6" ht="67.5">
      <c r="A191" s="3171" t="s">
        <v>4377</v>
      </c>
      <c r="B191" s="3171" t="s">
        <v>4189</v>
      </c>
      <c r="C191" s="3171" t="s">
        <v>3802</v>
      </c>
      <c r="D191" s="3171" t="s">
        <v>3803</v>
      </c>
      <c r="E191" s="3171">
        <v>75.680000000000007</v>
      </c>
      <c r="F191" s="3171" t="s">
        <v>3427</v>
      </c>
    </row>
    <row r="192" spans="1:6" ht="67.5">
      <c r="A192" s="3171" t="s">
        <v>4378</v>
      </c>
      <c r="B192" s="3171" t="s">
        <v>4189</v>
      </c>
      <c r="C192" s="3171" t="s">
        <v>3804</v>
      </c>
      <c r="D192" s="3171" t="s">
        <v>3805</v>
      </c>
      <c r="E192" s="3171">
        <v>75.680000000000007</v>
      </c>
      <c r="F192" s="3171" t="s">
        <v>3427</v>
      </c>
    </row>
    <row r="193" spans="1:6" ht="67.5">
      <c r="A193" s="3171" t="s">
        <v>4379</v>
      </c>
      <c r="B193" s="3171" t="s">
        <v>4189</v>
      </c>
      <c r="C193" s="3171" t="s">
        <v>3806</v>
      </c>
      <c r="D193" s="3171" t="s">
        <v>3807</v>
      </c>
      <c r="E193" s="3171">
        <v>70.31</v>
      </c>
      <c r="F193" s="3171" t="s">
        <v>3427</v>
      </c>
    </row>
    <row r="194" spans="1:6" ht="67.5">
      <c r="A194" s="3171" t="s">
        <v>4380</v>
      </c>
      <c r="B194" s="3171" t="s">
        <v>4189</v>
      </c>
      <c r="C194" s="3171" t="s">
        <v>3808</v>
      </c>
      <c r="D194" s="3171" t="s">
        <v>3809</v>
      </c>
      <c r="E194" s="3171">
        <v>72.89</v>
      </c>
      <c r="F194" s="3171" t="s">
        <v>3427</v>
      </c>
    </row>
    <row r="195" spans="1:6" ht="67.5">
      <c r="A195" s="3171" t="s">
        <v>4381</v>
      </c>
      <c r="B195" s="3171" t="s">
        <v>4189</v>
      </c>
      <c r="C195" s="3171" t="s">
        <v>3810</v>
      </c>
      <c r="D195" s="3171" t="s">
        <v>3811</v>
      </c>
      <c r="E195" s="3171">
        <v>70.16</v>
      </c>
      <c r="F195" s="3171" t="s">
        <v>3427</v>
      </c>
    </row>
    <row r="196" spans="1:6" ht="67.5">
      <c r="A196" s="3171" t="s">
        <v>4382</v>
      </c>
      <c r="B196" s="3171" t="s">
        <v>4189</v>
      </c>
      <c r="C196" s="3171" t="s">
        <v>3812</v>
      </c>
      <c r="D196" s="3171" t="s">
        <v>3813</v>
      </c>
      <c r="E196" s="3171">
        <v>1106.79</v>
      </c>
      <c r="F196" s="3171" t="s">
        <v>673</v>
      </c>
    </row>
    <row r="197" spans="1:6" ht="67.5">
      <c r="A197" s="3171" t="s">
        <v>4383</v>
      </c>
      <c r="B197" s="3171" t="s">
        <v>4189</v>
      </c>
      <c r="C197" s="3171" t="s">
        <v>3814</v>
      </c>
      <c r="D197" s="3171" t="s">
        <v>3815</v>
      </c>
      <c r="E197" s="3171">
        <v>70.31</v>
      </c>
      <c r="F197" s="3171" t="s">
        <v>3427</v>
      </c>
    </row>
    <row r="198" spans="1:6" ht="67.5">
      <c r="A198" s="3171" t="s">
        <v>4384</v>
      </c>
      <c r="B198" s="3171" t="s">
        <v>4189</v>
      </c>
      <c r="C198" s="3171" t="s">
        <v>3816</v>
      </c>
      <c r="D198" s="3171" t="s">
        <v>3817</v>
      </c>
      <c r="E198" s="3171">
        <v>177.95</v>
      </c>
      <c r="F198" s="3171" t="s">
        <v>3427</v>
      </c>
    </row>
    <row r="199" spans="1:6" ht="67.5">
      <c r="A199" s="3171" t="s">
        <v>4385</v>
      </c>
      <c r="B199" s="3171" t="s">
        <v>4189</v>
      </c>
      <c r="C199" s="3171" t="s">
        <v>3818</v>
      </c>
      <c r="D199" s="3171" t="s">
        <v>3819</v>
      </c>
      <c r="E199" s="3171">
        <v>97.58</v>
      </c>
      <c r="F199" s="3171" t="s">
        <v>3427</v>
      </c>
    </row>
    <row r="200" spans="1:6" ht="67.5">
      <c r="A200" s="3171" t="s">
        <v>4386</v>
      </c>
      <c r="B200" s="3171" t="s">
        <v>4189</v>
      </c>
      <c r="C200" s="3171" t="s">
        <v>3820</v>
      </c>
      <c r="D200" s="3171" t="s">
        <v>3821</v>
      </c>
      <c r="E200" s="3171">
        <v>69.97</v>
      </c>
      <c r="F200" s="3171" t="s">
        <v>3427</v>
      </c>
    </row>
    <row r="201" spans="1:6" ht="67.5">
      <c r="A201" s="3171" t="s">
        <v>4387</v>
      </c>
      <c r="B201" s="3171" t="s">
        <v>4189</v>
      </c>
      <c r="C201" s="3171" t="s">
        <v>3822</v>
      </c>
      <c r="D201" s="3171" t="s">
        <v>3823</v>
      </c>
      <c r="E201" s="3171">
        <v>69.97</v>
      </c>
      <c r="F201" s="3171" t="s">
        <v>3427</v>
      </c>
    </row>
    <row r="202" spans="1:6" ht="67.5">
      <c r="A202" s="3171" t="s">
        <v>4388</v>
      </c>
      <c r="B202" s="3171" t="s">
        <v>4189</v>
      </c>
      <c r="C202" s="3171" t="s">
        <v>3824</v>
      </c>
      <c r="D202" s="3171" t="s">
        <v>3825</v>
      </c>
      <c r="E202" s="3171">
        <v>177.95</v>
      </c>
      <c r="F202" s="3171" t="s">
        <v>3427</v>
      </c>
    </row>
    <row r="203" spans="1:6" ht="67.5">
      <c r="A203" s="3171" t="s">
        <v>4389</v>
      </c>
      <c r="B203" s="3171" t="s">
        <v>4189</v>
      </c>
      <c r="C203" s="3171" t="s">
        <v>3826</v>
      </c>
      <c r="D203" s="3171" t="s">
        <v>3827</v>
      </c>
      <c r="E203" s="3171">
        <v>87.75</v>
      </c>
      <c r="F203" s="3171" t="s">
        <v>3427</v>
      </c>
    </row>
    <row r="204" spans="1:6" ht="67.5">
      <c r="A204" s="3171" t="s">
        <v>4390</v>
      </c>
      <c r="B204" s="3171" t="s">
        <v>4189</v>
      </c>
      <c r="C204" s="3171" t="s">
        <v>3828</v>
      </c>
      <c r="D204" s="3171" t="s">
        <v>3829</v>
      </c>
      <c r="E204" s="3171">
        <v>177.95</v>
      </c>
      <c r="F204" s="3171" t="s">
        <v>3427</v>
      </c>
    </row>
    <row r="205" spans="1:6" ht="67.5">
      <c r="A205" s="3171" t="s">
        <v>4391</v>
      </c>
      <c r="B205" s="3171" t="s">
        <v>4189</v>
      </c>
      <c r="C205" s="3171" t="s">
        <v>3830</v>
      </c>
      <c r="D205" s="3171" t="s">
        <v>3831</v>
      </c>
      <c r="E205" s="3171">
        <v>82.3</v>
      </c>
      <c r="F205" s="3171" t="s">
        <v>3427</v>
      </c>
    </row>
    <row r="206" spans="1:6" ht="67.5">
      <c r="A206" s="3171" t="s">
        <v>4392</v>
      </c>
      <c r="B206" s="3171" t="s">
        <v>4189</v>
      </c>
      <c r="C206" s="3171" t="s">
        <v>3832</v>
      </c>
      <c r="D206" s="3171" t="s">
        <v>3833</v>
      </c>
      <c r="E206" s="3171">
        <v>70.31</v>
      </c>
      <c r="F206" s="3171" t="s">
        <v>3427</v>
      </c>
    </row>
    <row r="207" spans="1:6" ht="67.5">
      <c r="A207" s="3171" t="s">
        <v>4393</v>
      </c>
      <c r="B207" s="3171" t="s">
        <v>4189</v>
      </c>
      <c r="C207" s="3171" t="s">
        <v>3834</v>
      </c>
      <c r="D207" s="3171" t="s">
        <v>3835</v>
      </c>
      <c r="E207" s="3171">
        <v>69.97</v>
      </c>
      <c r="F207" s="3171" t="s">
        <v>3427</v>
      </c>
    </row>
    <row r="208" spans="1:6" ht="67.5">
      <c r="A208" s="3171" t="s">
        <v>4394</v>
      </c>
      <c r="B208" s="3171" t="s">
        <v>4189</v>
      </c>
      <c r="C208" s="3171" t="s">
        <v>3836</v>
      </c>
      <c r="D208" s="3171" t="s">
        <v>3837</v>
      </c>
      <c r="E208" s="3171">
        <v>70.31</v>
      </c>
      <c r="F208" s="3171" t="s">
        <v>3427</v>
      </c>
    </row>
    <row r="209" spans="1:6" ht="67.5">
      <c r="A209" s="3171" t="s">
        <v>4395</v>
      </c>
      <c r="B209" s="3171" t="s">
        <v>4189</v>
      </c>
      <c r="C209" s="3171" t="s">
        <v>3838</v>
      </c>
      <c r="D209" s="3171" t="s">
        <v>3839</v>
      </c>
      <c r="E209" s="3171">
        <v>80.7</v>
      </c>
      <c r="F209" s="3171" t="s">
        <v>3427</v>
      </c>
    </row>
    <row r="210" spans="1:6" ht="67.5">
      <c r="A210" s="3171" t="s">
        <v>4396</v>
      </c>
      <c r="B210" s="3171" t="s">
        <v>4189</v>
      </c>
      <c r="C210" s="3171" t="s">
        <v>3840</v>
      </c>
      <c r="D210" s="3171" t="s">
        <v>3841</v>
      </c>
      <c r="E210" s="3171">
        <v>70.31</v>
      </c>
      <c r="F210" s="3171" t="s">
        <v>3427</v>
      </c>
    </row>
    <row r="211" spans="1:6" ht="67.5">
      <c r="A211" s="3171" t="s">
        <v>4397</v>
      </c>
      <c r="B211" s="3171" t="s">
        <v>4189</v>
      </c>
      <c r="C211" s="3171" t="s">
        <v>3842</v>
      </c>
      <c r="D211" s="3171" t="s">
        <v>3843</v>
      </c>
      <c r="E211" s="3171">
        <v>70.31</v>
      </c>
      <c r="F211" s="3171" t="s">
        <v>3427</v>
      </c>
    </row>
    <row r="212" spans="1:6" ht="67.5">
      <c r="A212" s="3171" t="s">
        <v>4398</v>
      </c>
      <c r="B212" s="3171" t="s">
        <v>4189</v>
      </c>
      <c r="C212" s="3171" t="s">
        <v>3844</v>
      </c>
      <c r="D212" s="3171" t="s">
        <v>3845</v>
      </c>
      <c r="E212" s="3171">
        <v>80.7</v>
      </c>
      <c r="F212" s="3171" t="s">
        <v>3427</v>
      </c>
    </row>
    <row r="213" spans="1:6" ht="67.5">
      <c r="A213" s="3171" t="s">
        <v>4399</v>
      </c>
      <c r="B213" s="3171" t="s">
        <v>4189</v>
      </c>
      <c r="C213" s="3171" t="s">
        <v>3846</v>
      </c>
      <c r="D213" s="3171" t="s">
        <v>3847</v>
      </c>
      <c r="E213" s="3171">
        <v>64.72</v>
      </c>
      <c r="F213" s="3171" t="s">
        <v>3427</v>
      </c>
    </row>
    <row r="214" spans="1:6" ht="67.5">
      <c r="A214" s="3171" t="s">
        <v>4400</v>
      </c>
      <c r="B214" s="3171" t="s">
        <v>4189</v>
      </c>
      <c r="C214" s="3171" t="s">
        <v>3848</v>
      </c>
      <c r="D214" s="3171" t="s">
        <v>3849</v>
      </c>
      <c r="E214" s="3171">
        <v>70.31</v>
      </c>
      <c r="F214" s="3171" t="s">
        <v>3427</v>
      </c>
    </row>
    <row r="215" spans="1:6" ht="67.5">
      <c r="A215" s="3171" t="s">
        <v>4401</v>
      </c>
      <c r="B215" s="3171" t="s">
        <v>4189</v>
      </c>
      <c r="C215" s="3171" t="s">
        <v>3850</v>
      </c>
      <c r="D215" s="3171" t="s">
        <v>3851</v>
      </c>
      <c r="E215" s="3171">
        <v>63.2</v>
      </c>
      <c r="F215" s="3171" t="s">
        <v>3427</v>
      </c>
    </row>
    <row r="216" spans="1:6" ht="67.5">
      <c r="A216" s="3171" t="s">
        <v>4402</v>
      </c>
      <c r="B216" s="3171" t="s">
        <v>4189</v>
      </c>
      <c r="C216" s="3171" t="s">
        <v>3852</v>
      </c>
      <c r="D216" s="3171" t="s">
        <v>3853</v>
      </c>
      <c r="E216" s="3171">
        <v>86.24</v>
      </c>
      <c r="F216" s="3171" t="s">
        <v>3427</v>
      </c>
    </row>
    <row r="217" spans="1:6" ht="67.5">
      <c r="A217" s="3171" t="s">
        <v>4403</v>
      </c>
      <c r="B217" s="3171" t="s">
        <v>4189</v>
      </c>
      <c r="C217" s="3171" t="s">
        <v>3854</v>
      </c>
      <c r="D217" s="3171" t="s">
        <v>3855</v>
      </c>
      <c r="E217" s="3171">
        <v>84.06</v>
      </c>
      <c r="F217" s="3171" t="s">
        <v>3427</v>
      </c>
    </row>
    <row r="218" spans="1:6" ht="67.5">
      <c r="A218" s="3171" t="s">
        <v>4404</v>
      </c>
      <c r="B218" s="3171" t="s">
        <v>4189</v>
      </c>
      <c r="C218" s="3171" t="s">
        <v>3856</v>
      </c>
      <c r="D218" s="3171" t="s">
        <v>3857</v>
      </c>
      <c r="E218" s="3171">
        <v>70.31</v>
      </c>
      <c r="F218" s="3171" t="s">
        <v>3427</v>
      </c>
    </row>
    <row r="219" spans="1:6" ht="67.5">
      <c r="A219" s="3171" t="s">
        <v>4405</v>
      </c>
      <c r="B219" s="3171" t="s">
        <v>4189</v>
      </c>
      <c r="C219" s="3171" t="s">
        <v>3858</v>
      </c>
      <c r="D219" s="3171" t="s">
        <v>3859</v>
      </c>
      <c r="E219" s="3171">
        <v>80.7</v>
      </c>
      <c r="F219" s="3171" t="s">
        <v>3427</v>
      </c>
    </row>
    <row r="220" spans="1:6" ht="67.5">
      <c r="A220" s="3171" t="s">
        <v>4406</v>
      </c>
      <c r="B220" s="3171" t="s">
        <v>4189</v>
      </c>
      <c r="C220" s="3171" t="s">
        <v>3860</v>
      </c>
      <c r="D220" s="3171" t="s">
        <v>3861</v>
      </c>
      <c r="E220" s="3171">
        <v>63.2</v>
      </c>
      <c r="F220" s="3171" t="s">
        <v>3427</v>
      </c>
    </row>
    <row r="221" spans="1:6" ht="67.5">
      <c r="A221" s="3171" t="s">
        <v>4407</v>
      </c>
      <c r="B221" s="3171" t="s">
        <v>4189</v>
      </c>
      <c r="C221" s="3171" t="s">
        <v>3862</v>
      </c>
      <c r="D221" s="3171" t="s">
        <v>3863</v>
      </c>
      <c r="E221" s="3171">
        <v>97.58</v>
      </c>
      <c r="F221" s="3171" t="s">
        <v>3427</v>
      </c>
    </row>
    <row r="222" spans="1:6" ht="67.5">
      <c r="A222" s="3171" t="s">
        <v>4408</v>
      </c>
      <c r="B222" s="3171" t="s">
        <v>4189</v>
      </c>
      <c r="C222" s="3171" t="s">
        <v>3864</v>
      </c>
      <c r="D222" s="3171" t="s">
        <v>3865</v>
      </c>
      <c r="E222" s="3171">
        <v>102.82</v>
      </c>
      <c r="F222" s="3171" t="s">
        <v>3427</v>
      </c>
    </row>
    <row r="223" spans="1:6" ht="67.5">
      <c r="A223" s="3171" t="s">
        <v>4409</v>
      </c>
      <c r="B223" s="3171" t="s">
        <v>4189</v>
      </c>
      <c r="C223" s="3171" t="s">
        <v>3866</v>
      </c>
      <c r="D223" s="3171" t="s">
        <v>3867</v>
      </c>
      <c r="E223" s="3171">
        <v>70.31</v>
      </c>
      <c r="F223" s="3171" t="s">
        <v>3427</v>
      </c>
    </row>
    <row r="224" spans="1:6" ht="67.5">
      <c r="A224" s="3171" t="s">
        <v>4410</v>
      </c>
      <c r="B224" s="3171" t="s">
        <v>4189</v>
      </c>
      <c r="C224" s="3171" t="s">
        <v>3868</v>
      </c>
      <c r="D224" s="3171" t="s">
        <v>3869</v>
      </c>
      <c r="E224" s="3171">
        <v>70.31</v>
      </c>
      <c r="F224" s="3171" t="s">
        <v>3427</v>
      </c>
    </row>
    <row r="225" spans="1:6" ht="67.5">
      <c r="A225" s="3171" t="s">
        <v>4411</v>
      </c>
      <c r="B225" s="3171" t="s">
        <v>4189</v>
      </c>
      <c r="C225" s="3171" t="s">
        <v>3870</v>
      </c>
      <c r="D225" s="3171" t="s">
        <v>3871</v>
      </c>
      <c r="E225" s="3171">
        <v>80.7</v>
      </c>
      <c r="F225" s="3171" t="s">
        <v>3427</v>
      </c>
    </row>
    <row r="226" spans="1:6" ht="67.5">
      <c r="A226" s="3171" t="s">
        <v>4412</v>
      </c>
      <c r="B226" s="3171" t="s">
        <v>4189</v>
      </c>
      <c r="C226" s="3171" t="s">
        <v>3872</v>
      </c>
      <c r="D226" s="3171" t="s">
        <v>3873</v>
      </c>
      <c r="E226" s="3171">
        <v>102.82</v>
      </c>
      <c r="F226" s="3171" t="s">
        <v>3427</v>
      </c>
    </row>
    <row r="227" spans="1:6" ht="67.5">
      <c r="A227" s="3171" t="s">
        <v>4413</v>
      </c>
      <c r="B227" s="3171" t="s">
        <v>4189</v>
      </c>
      <c r="C227" s="3171" t="s">
        <v>3874</v>
      </c>
      <c r="D227" s="3171" t="s">
        <v>3875</v>
      </c>
      <c r="E227" s="3171">
        <v>82.3</v>
      </c>
      <c r="F227" s="3171" t="s">
        <v>3427</v>
      </c>
    </row>
    <row r="228" spans="1:6" ht="67.5">
      <c r="A228" s="3171" t="s">
        <v>4414</v>
      </c>
      <c r="B228" s="3171" t="s">
        <v>4189</v>
      </c>
      <c r="C228" s="3171" t="s">
        <v>3876</v>
      </c>
      <c r="D228" s="3171" t="s">
        <v>3877</v>
      </c>
      <c r="E228" s="3171">
        <v>82.3</v>
      </c>
      <c r="F228" s="3171" t="s">
        <v>3427</v>
      </c>
    </row>
    <row r="229" spans="1:6" ht="67.5">
      <c r="A229" s="3171" t="s">
        <v>4415</v>
      </c>
      <c r="B229" s="3171" t="s">
        <v>4189</v>
      </c>
      <c r="C229" s="3171" t="s">
        <v>3878</v>
      </c>
      <c r="D229" s="3171" t="s">
        <v>3879</v>
      </c>
      <c r="E229" s="3171">
        <v>70.31</v>
      </c>
      <c r="F229" s="3171" t="s">
        <v>3427</v>
      </c>
    </row>
    <row r="230" spans="1:6" ht="67.5">
      <c r="A230" s="3171" t="s">
        <v>4416</v>
      </c>
      <c r="B230" s="3171" t="s">
        <v>4189</v>
      </c>
      <c r="C230" s="3171" t="s">
        <v>3880</v>
      </c>
      <c r="D230" s="3171" t="s">
        <v>3881</v>
      </c>
      <c r="E230" s="3171">
        <v>86.24</v>
      </c>
      <c r="F230" s="3171" t="s">
        <v>3427</v>
      </c>
    </row>
    <row r="231" spans="1:6" ht="67.5">
      <c r="A231" s="3171" t="s">
        <v>4417</v>
      </c>
      <c r="B231" s="3171" t="s">
        <v>4189</v>
      </c>
      <c r="C231" s="3171" t="s">
        <v>3882</v>
      </c>
      <c r="D231" s="3171" t="s">
        <v>3883</v>
      </c>
      <c r="E231" s="3171">
        <v>177.95</v>
      </c>
      <c r="F231" s="3171" t="s">
        <v>3427</v>
      </c>
    </row>
    <row r="232" spans="1:6" ht="67.5">
      <c r="A232" s="3171" t="s">
        <v>4418</v>
      </c>
      <c r="B232" s="3171" t="s">
        <v>4189</v>
      </c>
      <c r="C232" s="3171" t="s">
        <v>3884</v>
      </c>
      <c r="D232" s="3171" t="s">
        <v>3885</v>
      </c>
      <c r="E232" s="3171">
        <v>941.03</v>
      </c>
      <c r="F232" s="3171" t="s">
        <v>3427</v>
      </c>
    </row>
    <row r="233" spans="1:6" ht="67.5">
      <c r="A233" s="3171" t="s">
        <v>4419</v>
      </c>
      <c r="B233" s="3171" t="s">
        <v>4189</v>
      </c>
      <c r="C233" s="3171" t="s">
        <v>3886</v>
      </c>
      <c r="D233" s="3171" t="s">
        <v>3887</v>
      </c>
      <c r="E233" s="3171">
        <v>70.31</v>
      </c>
      <c r="F233" s="3171" t="s">
        <v>3427</v>
      </c>
    </row>
    <row r="234" spans="1:6" ht="67.5">
      <c r="A234" s="3171" t="s">
        <v>4420</v>
      </c>
      <c r="B234" s="3171" t="s">
        <v>4189</v>
      </c>
      <c r="C234" s="3171" t="s">
        <v>3888</v>
      </c>
      <c r="D234" s="3171" t="s">
        <v>3889</v>
      </c>
      <c r="E234" s="3171">
        <v>22.66</v>
      </c>
      <c r="F234" s="3171" t="s">
        <v>3427</v>
      </c>
    </row>
    <row r="235" spans="1:6" ht="67.5">
      <c r="A235" s="3171" t="s">
        <v>4421</v>
      </c>
      <c r="B235" s="3171" t="s">
        <v>4189</v>
      </c>
      <c r="C235" s="3171" t="s">
        <v>3890</v>
      </c>
      <c r="D235" s="3171" t="s">
        <v>3891</v>
      </c>
      <c r="E235" s="3171">
        <v>82.3</v>
      </c>
      <c r="F235" s="3171" t="s">
        <v>3427</v>
      </c>
    </row>
    <row r="236" spans="1:6" ht="67.5">
      <c r="A236" s="3171" t="s">
        <v>4422</v>
      </c>
      <c r="B236" s="3171" t="s">
        <v>4189</v>
      </c>
      <c r="C236" s="3171" t="s">
        <v>3892</v>
      </c>
      <c r="D236" s="3171" t="s">
        <v>3893</v>
      </c>
      <c r="E236" s="3171">
        <v>177.95</v>
      </c>
      <c r="F236" s="3171" t="s">
        <v>3427</v>
      </c>
    </row>
    <row r="237" spans="1:6" ht="67.5">
      <c r="A237" s="3171" t="s">
        <v>4423</v>
      </c>
      <c r="B237" s="3171" t="s">
        <v>4189</v>
      </c>
      <c r="C237" s="3171" t="s">
        <v>3894</v>
      </c>
      <c r="D237" s="3171" t="s">
        <v>3895</v>
      </c>
      <c r="E237" s="3171">
        <v>80.7</v>
      </c>
      <c r="F237" s="3171" t="s">
        <v>3427</v>
      </c>
    </row>
    <row r="238" spans="1:6" ht="67.5">
      <c r="A238" s="3171" t="s">
        <v>4424</v>
      </c>
      <c r="B238" s="3171" t="s">
        <v>4189</v>
      </c>
      <c r="C238" s="3171" t="s">
        <v>3896</v>
      </c>
      <c r="D238" s="3171" t="s">
        <v>3897</v>
      </c>
      <c r="E238" s="3171">
        <v>106.35</v>
      </c>
      <c r="F238" s="3171" t="s">
        <v>3427</v>
      </c>
    </row>
    <row r="239" spans="1:6" ht="67.5">
      <c r="A239" s="3171" t="s">
        <v>4425</v>
      </c>
      <c r="B239" s="3171" t="s">
        <v>4189</v>
      </c>
      <c r="C239" s="3171" t="s">
        <v>3898</v>
      </c>
      <c r="D239" s="3171" t="s">
        <v>3899</v>
      </c>
      <c r="E239" s="3171">
        <v>75.680000000000007</v>
      </c>
      <c r="F239" s="3171" t="s">
        <v>3427</v>
      </c>
    </row>
    <row r="240" spans="1:6" ht="67.5">
      <c r="A240" s="3171" t="s">
        <v>4426</v>
      </c>
      <c r="B240" s="3171" t="s">
        <v>4189</v>
      </c>
      <c r="C240" s="3171" t="s">
        <v>3900</v>
      </c>
      <c r="D240" s="3171" t="s">
        <v>3901</v>
      </c>
      <c r="E240" s="3171">
        <v>70.31</v>
      </c>
      <c r="F240" s="3171" t="s">
        <v>3427</v>
      </c>
    </row>
    <row r="241" spans="1:6" ht="67.5">
      <c r="A241" s="3171" t="s">
        <v>4427</v>
      </c>
      <c r="B241" s="3171" t="s">
        <v>4189</v>
      </c>
      <c r="C241" s="3171" t="s">
        <v>3902</v>
      </c>
      <c r="D241" s="3171" t="s">
        <v>3903</v>
      </c>
      <c r="E241" s="3171">
        <v>75.680000000000007</v>
      </c>
      <c r="F241" s="3171" t="s">
        <v>3427</v>
      </c>
    </row>
    <row r="242" spans="1:6" ht="67.5">
      <c r="A242" s="3171" t="s">
        <v>4428</v>
      </c>
      <c r="B242" s="3171" t="s">
        <v>4189</v>
      </c>
      <c r="C242" s="3171" t="s">
        <v>3904</v>
      </c>
      <c r="D242" s="3171" t="s">
        <v>3905</v>
      </c>
      <c r="E242" s="3171">
        <v>70.16</v>
      </c>
      <c r="F242" s="3171" t="s">
        <v>3427</v>
      </c>
    </row>
    <row r="243" spans="1:6" ht="67.5">
      <c r="A243" s="3171" t="s">
        <v>4429</v>
      </c>
      <c r="B243" s="3171" t="s">
        <v>4189</v>
      </c>
      <c r="C243" s="3171" t="s">
        <v>3906</v>
      </c>
      <c r="D243" s="3171" t="s">
        <v>3907</v>
      </c>
      <c r="E243" s="3171">
        <v>80.7</v>
      </c>
      <c r="F243" s="3171" t="s">
        <v>3427</v>
      </c>
    </row>
    <row r="244" spans="1:6" ht="67.5">
      <c r="A244" s="3171" t="s">
        <v>4430</v>
      </c>
      <c r="B244" s="3171" t="s">
        <v>4189</v>
      </c>
      <c r="C244" s="3171" t="s">
        <v>3908</v>
      </c>
      <c r="D244" s="3171" t="s">
        <v>3909</v>
      </c>
      <c r="E244" s="3171">
        <v>80.7</v>
      </c>
      <c r="F244" s="3171" t="s">
        <v>3427</v>
      </c>
    </row>
    <row r="245" spans="1:6" ht="67.5">
      <c r="A245" s="3171" t="s">
        <v>4431</v>
      </c>
      <c r="B245" s="3171" t="s">
        <v>4189</v>
      </c>
      <c r="C245" s="3171" t="s">
        <v>3910</v>
      </c>
      <c r="D245" s="3171" t="s">
        <v>3911</v>
      </c>
      <c r="E245" s="3171">
        <v>80.7</v>
      </c>
      <c r="F245" s="3171" t="s">
        <v>3427</v>
      </c>
    </row>
    <row r="246" spans="1:6" ht="67.5">
      <c r="A246" s="3171" t="s">
        <v>4432</v>
      </c>
      <c r="B246" s="3171" t="s">
        <v>4189</v>
      </c>
      <c r="C246" s="3171" t="s">
        <v>3912</v>
      </c>
      <c r="D246" s="3171" t="s">
        <v>3913</v>
      </c>
      <c r="E246" s="3171">
        <v>70.16</v>
      </c>
      <c r="F246" s="3171" t="s">
        <v>3427</v>
      </c>
    </row>
    <row r="247" spans="1:6" ht="67.5">
      <c r="A247" s="3171" t="s">
        <v>4433</v>
      </c>
      <c r="B247" s="3171" t="s">
        <v>4189</v>
      </c>
      <c r="C247" s="3171" t="s">
        <v>3914</v>
      </c>
      <c r="D247" s="3171" t="s">
        <v>3915</v>
      </c>
      <c r="E247" s="3171">
        <v>102.82</v>
      </c>
      <c r="F247" s="3171" t="s">
        <v>3427</v>
      </c>
    </row>
    <row r="248" spans="1:6" ht="67.5">
      <c r="A248" s="3171" t="s">
        <v>4434</v>
      </c>
      <c r="B248" s="3171" t="s">
        <v>4189</v>
      </c>
      <c r="C248" s="3171" t="s">
        <v>3916</v>
      </c>
      <c r="D248" s="3171" t="s">
        <v>3917</v>
      </c>
      <c r="E248" s="3171">
        <v>177.95</v>
      </c>
      <c r="F248" s="3171" t="s">
        <v>3427</v>
      </c>
    </row>
    <row r="249" spans="1:6" ht="67.5">
      <c r="A249" s="3171" t="s">
        <v>4435</v>
      </c>
      <c r="B249" s="3171" t="s">
        <v>4189</v>
      </c>
      <c r="C249" s="3171" t="s">
        <v>3918</v>
      </c>
      <c r="D249" s="3171" t="s">
        <v>3919</v>
      </c>
      <c r="E249" s="3171">
        <v>69.97</v>
      </c>
      <c r="F249" s="3171" t="s">
        <v>3427</v>
      </c>
    </row>
    <row r="250" spans="1:6" ht="67.5">
      <c r="A250" s="3171" t="s">
        <v>4436</v>
      </c>
      <c r="B250" s="3171" t="s">
        <v>4189</v>
      </c>
      <c r="C250" s="3171" t="s">
        <v>3920</v>
      </c>
      <c r="D250" s="3171" t="s">
        <v>3921</v>
      </c>
      <c r="E250" s="3171">
        <v>64.72</v>
      </c>
      <c r="F250" s="3171" t="s">
        <v>3427</v>
      </c>
    </row>
    <row r="251" spans="1:6" ht="67.5">
      <c r="A251" s="3171" t="s">
        <v>4437</v>
      </c>
      <c r="B251" s="3171" t="s">
        <v>4189</v>
      </c>
      <c r="C251" s="3171" t="s">
        <v>3922</v>
      </c>
      <c r="D251" s="3171" t="s">
        <v>3923</v>
      </c>
      <c r="E251" s="3171">
        <v>69.97</v>
      </c>
      <c r="F251" s="3171" t="s">
        <v>3427</v>
      </c>
    </row>
    <row r="252" spans="1:6" ht="67.5">
      <c r="A252" s="3171" t="s">
        <v>4438</v>
      </c>
      <c r="B252" s="3171" t="s">
        <v>4189</v>
      </c>
      <c r="C252" s="3171" t="s">
        <v>3924</v>
      </c>
      <c r="D252" s="3171" t="s">
        <v>3925</v>
      </c>
      <c r="E252" s="3171">
        <v>80.7</v>
      </c>
      <c r="F252" s="3171" t="s">
        <v>3427</v>
      </c>
    </row>
    <row r="253" spans="1:6" ht="67.5">
      <c r="A253" s="3171" t="s">
        <v>4439</v>
      </c>
      <c r="B253" s="3171" t="s">
        <v>4189</v>
      </c>
      <c r="C253" s="3171" t="s">
        <v>3926</v>
      </c>
      <c r="D253" s="3171" t="s">
        <v>3927</v>
      </c>
      <c r="E253" s="3171">
        <v>121.15</v>
      </c>
      <c r="F253" s="3171" t="s">
        <v>3427</v>
      </c>
    </row>
    <row r="254" spans="1:6" ht="67.5">
      <c r="A254" s="3171" t="s">
        <v>4440</v>
      </c>
      <c r="B254" s="3171" t="s">
        <v>4189</v>
      </c>
      <c r="C254" s="3171" t="s">
        <v>3928</v>
      </c>
      <c r="D254" s="3171" t="s">
        <v>3929</v>
      </c>
      <c r="E254" s="3171">
        <v>941.03</v>
      </c>
      <c r="F254" s="3171" t="s">
        <v>3427</v>
      </c>
    </row>
    <row r="255" spans="1:6" ht="67.5">
      <c r="A255" s="3171" t="s">
        <v>4441</v>
      </c>
      <c r="B255" s="3171" t="s">
        <v>4189</v>
      </c>
      <c r="C255" s="3171" t="s">
        <v>3930</v>
      </c>
      <c r="D255" s="3171" t="s">
        <v>3931</v>
      </c>
      <c r="E255" s="3171">
        <v>75.680000000000007</v>
      </c>
      <c r="F255" s="3171" t="s">
        <v>3427</v>
      </c>
    </row>
    <row r="256" spans="1:6" ht="67.5">
      <c r="A256" s="3171" t="s">
        <v>4442</v>
      </c>
      <c r="B256" s="3171" t="s">
        <v>4189</v>
      </c>
      <c r="C256" s="3171" t="s">
        <v>3932</v>
      </c>
      <c r="D256" s="3171" t="s">
        <v>3933</v>
      </c>
      <c r="E256" s="3171">
        <v>70.31</v>
      </c>
      <c r="F256" s="3171" t="s">
        <v>3427</v>
      </c>
    </row>
    <row r="257" spans="1:6" ht="67.5">
      <c r="A257" s="3171" t="s">
        <v>4443</v>
      </c>
      <c r="B257" s="3171" t="s">
        <v>4189</v>
      </c>
      <c r="C257" s="3171" t="s">
        <v>3934</v>
      </c>
      <c r="D257" s="3171" t="s">
        <v>3935</v>
      </c>
      <c r="E257" s="3171">
        <v>80.7</v>
      </c>
      <c r="F257" s="3171" t="s">
        <v>3427</v>
      </c>
    </row>
    <row r="258" spans="1:6" ht="67.5">
      <c r="A258" s="3171" t="s">
        <v>4444</v>
      </c>
      <c r="B258" s="3171" t="s">
        <v>4189</v>
      </c>
      <c r="C258" s="3171" t="s">
        <v>3936</v>
      </c>
      <c r="D258" s="3171" t="s">
        <v>3937</v>
      </c>
      <c r="E258" s="3171">
        <v>75.680000000000007</v>
      </c>
      <c r="F258" s="3171" t="s">
        <v>3427</v>
      </c>
    </row>
    <row r="259" spans="1:6" ht="67.5">
      <c r="A259" s="3171" t="s">
        <v>4445</v>
      </c>
      <c r="B259" s="3171" t="s">
        <v>4189</v>
      </c>
      <c r="C259" s="3171" t="s">
        <v>3938</v>
      </c>
      <c r="D259" s="3171" t="s">
        <v>3939</v>
      </c>
      <c r="E259" s="3171">
        <v>102.82</v>
      </c>
      <c r="F259" s="3171" t="s">
        <v>3427</v>
      </c>
    </row>
    <row r="260" spans="1:6" ht="67.5">
      <c r="A260" s="3171" t="s">
        <v>4446</v>
      </c>
      <c r="B260" s="3171" t="s">
        <v>4189</v>
      </c>
      <c r="C260" s="3171" t="s">
        <v>3940</v>
      </c>
      <c r="D260" s="3171" t="s">
        <v>3941</v>
      </c>
      <c r="E260" s="3171">
        <v>84.06</v>
      </c>
      <c r="F260" s="3171" t="s">
        <v>3427</v>
      </c>
    </row>
    <row r="261" spans="1:6" ht="67.5">
      <c r="A261" s="3171" t="s">
        <v>4447</v>
      </c>
      <c r="B261" s="3171" t="s">
        <v>4189</v>
      </c>
      <c r="C261" s="3171" t="s">
        <v>3942</v>
      </c>
      <c r="D261" s="3171" t="s">
        <v>3943</v>
      </c>
      <c r="E261" s="3171">
        <v>70.16</v>
      </c>
      <c r="F261" s="3171" t="s">
        <v>3427</v>
      </c>
    </row>
    <row r="262" spans="1:6" ht="67.5">
      <c r="A262" s="3171" t="s">
        <v>4448</v>
      </c>
      <c r="B262" s="3171" t="s">
        <v>4189</v>
      </c>
      <c r="C262" s="3171" t="s">
        <v>3944</v>
      </c>
      <c r="D262" s="3171" t="s">
        <v>3945</v>
      </c>
      <c r="E262" s="3171">
        <v>69.97</v>
      </c>
      <c r="F262" s="3171" t="s">
        <v>3427</v>
      </c>
    </row>
    <row r="263" spans="1:6" ht="67.5">
      <c r="A263" s="3171" t="s">
        <v>4449</v>
      </c>
      <c r="B263" s="3171" t="s">
        <v>4189</v>
      </c>
      <c r="C263" s="3171" t="s">
        <v>3946</v>
      </c>
      <c r="D263" s="3171" t="s">
        <v>3947</v>
      </c>
      <c r="E263" s="3171">
        <v>75.680000000000007</v>
      </c>
      <c r="F263" s="3171" t="s">
        <v>3427</v>
      </c>
    </row>
    <row r="264" spans="1:6" ht="67.5">
      <c r="A264" s="3171" t="s">
        <v>4450</v>
      </c>
      <c r="B264" s="3171" t="s">
        <v>4189</v>
      </c>
      <c r="C264" s="3171" t="s">
        <v>3948</v>
      </c>
      <c r="D264" s="3171" t="s">
        <v>3949</v>
      </c>
      <c r="E264" s="3171">
        <v>80.7</v>
      </c>
      <c r="F264" s="3171" t="s">
        <v>3427</v>
      </c>
    </row>
    <row r="265" spans="1:6" ht="67.5">
      <c r="A265" s="3171" t="s">
        <v>4451</v>
      </c>
      <c r="B265" s="3171" t="s">
        <v>4189</v>
      </c>
      <c r="C265" s="3171" t="s">
        <v>3950</v>
      </c>
      <c r="D265" s="3171" t="s">
        <v>3951</v>
      </c>
      <c r="E265" s="3171">
        <v>80.7</v>
      </c>
      <c r="F265" s="3171" t="s">
        <v>3427</v>
      </c>
    </row>
    <row r="266" spans="1:6" ht="67.5">
      <c r="A266" s="3171" t="s">
        <v>4452</v>
      </c>
      <c r="B266" s="3171" t="s">
        <v>4189</v>
      </c>
      <c r="C266" s="3171" t="s">
        <v>3952</v>
      </c>
      <c r="D266" s="3171" t="s">
        <v>3953</v>
      </c>
      <c r="E266" s="3171">
        <v>69.97</v>
      </c>
      <c r="F266" s="3171" t="s">
        <v>3427</v>
      </c>
    </row>
    <row r="267" spans="1:6" ht="67.5">
      <c r="A267" s="3171" t="s">
        <v>4453</v>
      </c>
      <c r="B267" s="3171" t="s">
        <v>4189</v>
      </c>
      <c r="C267" s="3171" t="s">
        <v>3954</v>
      </c>
      <c r="D267" s="3171" t="s">
        <v>3955</v>
      </c>
      <c r="E267" s="3171">
        <v>87.75</v>
      </c>
      <c r="F267" s="3171" t="s">
        <v>3427</v>
      </c>
    </row>
    <row r="268" spans="1:6" ht="67.5">
      <c r="A268" s="3171" t="s">
        <v>4454</v>
      </c>
      <c r="B268" s="3171" t="s">
        <v>4189</v>
      </c>
      <c r="C268" s="3171" t="s">
        <v>3956</v>
      </c>
      <c r="D268" s="3171" t="s">
        <v>3957</v>
      </c>
      <c r="E268" s="3171">
        <v>70.31</v>
      </c>
      <c r="F268" s="3171" t="s">
        <v>3427</v>
      </c>
    </row>
    <row r="269" spans="1:6" ht="67.5">
      <c r="A269" s="3171" t="s">
        <v>4455</v>
      </c>
      <c r="B269" s="3171" t="s">
        <v>4189</v>
      </c>
      <c r="C269" s="3171" t="s">
        <v>3958</v>
      </c>
      <c r="D269" s="3171" t="s">
        <v>3959</v>
      </c>
      <c r="E269" s="3171">
        <v>106.2</v>
      </c>
      <c r="F269" s="3171" t="s">
        <v>673</v>
      </c>
    </row>
    <row r="270" spans="1:6" ht="67.5">
      <c r="A270" s="3171" t="s">
        <v>4456</v>
      </c>
      <c r="B270" s="3171" t="s">
        <v>4189</v>
      </c>
      <c r="C270" s="3171" t="s">
        <v>3960</v>
      </c>
      <c r="D270" s="3171" t="s">
        <v>3961</v>
      </c>
      <c r="E270" s="3171">
        <v>70.16</v>
      </c>
      <c r="F270" s="3171" t="s">
        <v>3427</v>
      </c>
    </row>
    <row r="271" spans="1:6" ht="67.5">
      <c r="A271" s="3171" t="s">
        <v>4457</v>
      </c>
      <c r="B271" s="3171" t="s">
        <v>4189</v>
      </c>
      <c r="C271" s="3171" t="s">
        <v>3962</v>
      </c>
      <c r="D271" s="3171" t="s">
        <v>3963</v>
      </c>
      <c r="E271" s="3171">
        <v>80.7</v>
      </c>
      <c r="F271" s="3171" t="s">
        <v>3427</v>
      </c>
    </row>
    <row r="272" spans="1:6" ht="67.5">
      <c r="A272" s="3171" t="s">
        <v>4458</v>
      </c>
      <c r="B272" s="3171" t="s">
        <v>4189</v>
      </c>
      <c r="C272" s="3171" t="s">
        <v>3964</v>
      </c>
      <c r="D272" s="3171" t="s">
        <v>3965</v>
      </c>
      <c r="E272" s="3171">
        <v>69.97</v>
      </c>
      <c r="F272" s="3171" t="s">
        <v>3427</v>
      </c>
    </row>
    <row r="273" spans="1:6" ht="67.5">
      <c r="A273" s="3171" t="s">
        <v>4459</v>
      </c>
      <c r="B273" s="3171" t="s">
        <v>4189</v>
      </c>
      <c r="C273" s="3171" t="s">
        <v>3966</v>
      </c>
      <c r="D273" s="3171" t="s">
        <v>3967</v>
      </c>
      <c r="E273" s="3171">
        <v>80.7</v>
      </c>
      <c r="F273" s="3171" t="s">
        <v>3427</v>
      </c>
    </row>
    <row r="274" spans="1:6" ht="67.5">
      <c r="A274" s="3171" t="s">
        <v>4460</v>
      </c>
      <c r="B274" s="3171" t="s">
        <v>4189</v>
      </c>
      <c r="C274" s="3171" t="s">
        <v>3968</v>
      </c>
      <c r="D274" s="3171" t="s">
        <v>3969</v>
      </c>
      <c r="E274" s="3171">
        <v>102.43</v>
      </c>
      <c r="F274" s="3171" t="s">
        <v>3427</v>
      </c>
    </row>
    <row r="275" spans="1:6" ht="67.5">
      <c r="A275" s="3171" t="s">
        <v>4461</v>
      </c>
      <c r="B275" s="3171" t="s">
        <v>4189</v>
      </c>
      <c r="C275" s="3171" t="s">
        <v>3970</v>
      </c>
      <c r="D275" s="3171" t="s">
        <v>3971</v>
      </c>
      <c r="E275" s="3171">
        <v>63.2</v>
      </c>
      <c r="F275" s="3171" t="s">
        <v>3427</v>
      </c>
    </row>
    <row r="276" spans="1:6" ht="67.5">
      <c r="A276" s="3171" t="s">
        <v>4462</v>
      </c>
      <c r="B276" s="3171" t="s">
        <v>4189</v>
      </c>
      <c r="C276" s="3171" t="s">
        <v>3972</v>
      </c>
      <c r="D276" s="3171" t="s">
        <v>3973</v>
      </c>
      <c r="E276" s="3171">
        <v>69.97</v>
      </c>
      <c r="F276" s="3171" t="s">
        <v>3427</v>
      </c>
    </row>
    <row r="277" spans="1:6" ht="67.5">
      <c r="A277" s="3171" t="s">
        <v>4463</v>
      </c>
      <c r="B277" s="3171" t="s">
        <v>4189</v>
      </c>
      <c r="C277" s="3171" t="s">
        <v>3974</v>
      </c>
      <c r="D277" s="3171" t="s">
        <v>3975</v>
      </c>
      <c r="E277" s="3171">
        <v>70.31</v>
      </c>
      <c r="F277" s="3171" t="s">
        <v>3427</v>
      </c>
    </row>
    <row r="278" spans="1:6" ht="67.5">
      <c r="A278" s="3171" t="s">
        <v>4464</v>
      </c>
      <c r="B278" s="3171" t="s">
        <v>4189</v>
      </c>
      <c r="C278" s="3171" t="s">
        <v>3976</v>
      </c>
      <c r="D278" s="3171" t="s">
        <v>3977</v>
      </c>
      <c r="E278" s="3171">
        <v>80.7</v>
      </c>
      <c r="F278" s="3171" t="s">
        <v>3427</v>
      </c>
    </row>
    <row r="279" spans="1:6" ht="67.5">
      <c r="A279" s="3171" t="s">
        <v>4465</v>
      </c>
      <c r="B279" s="3171" t="s">
        <v>4189</v>
      </c>
      <c r="C279" s="3171" t="s">
        <v>3978</v>
      </c>
      <c r="D279" s="3171" t="s">
        <v>3979</v>
      </c>
      <c r="E279" s="3171">
        <v>70.31</v>
      </c>
      <c r="F279" s="3171" t="s">
        <v>3427</v>
      </c>
    </row>
    <row r="280" spans="1:6" ht="67.5">
      <c r="A280" s="3171" t="s">
        <v>4466</v>
      </c>
      <c r="B280" s="3171" t="s">
        <v>4189</v>
      </c>
      <c r="C280" s="3171" t="s">
        <v>3980</v>
      </c>
      <c r="D280" s="3171" t="s">
        <v>3981</v>
      </c>
      <c r="E280" s="3171">
        <v>80.7</v>
      </c>
      <c r="F280" s="3171" t="s">
        <v>3427</v>
      </c>
    </row>
    <row r="281" spans="1:6" ht="67.5">
      <c r="A281" s="3171" t="s">
        <v>4467</v>
      </c>
      <c r="B281" s="3171" t="s">
        <v>4189</v>
      </c>
      <c r="C281" s="3171" t="s">
        <v>3982</v>
      </c>
      <c r="D281" s="3171" t="s">
        <v>3983</v>
      </c>
      <c r="E281" s="3171">
        <v>75.680000000000007</v>
      </c>
      <c r="F281" s="3171" t="s">
        <v>3427</v>
      </c>
    </row>
    <row r="282" spans="1:6" ht="67.5">
      <c r="A282" s="3171" t="s">
        <v>4468</v>
      </c>
      <c r="B282" s="3171" t="s">
        <v>4189</v>
      </c>
      <c r="C282" s="3171" t="s">
        <v>3984</v>
      </c>
      <c r="D282" s="3171" t="s">
        <v>3985</v>
      </c>
      <c r="E282" s="3171">
        <v>70.31</v>
      </c>
      <c r="F282" s="3171" t="s">
        <v>3427</v>
      </c>
    </row>
    <row r="283" spans="1:6" ht="67.5">
      <c r="A283" s="3171" t="s">
        <v>4469</v>
      </c>
      <c r="B283" s="3171" t="s">
        <v>4189</v>
      </c>
      <c r="C283" s="3171" t="s">
        <v>3986</v>
      </c>
      <c r="D283" s="3171" t="s">
        <v>3987</v>
      </c>
      <c r="E283" s="3171">
        <v>75.680000000000007</v>
      </c>
      <c r="F283" s="3171" t="s">
        <v>3427</v>
      </c>
    </row>
    <row r="284" spans="1:6" ht="67.5">
      <c r="A284" s="3171" t="s">
        <v>4470</v>
      </c>
      <c r="B284" s="3171" t="s">
        <v>4189</v>
      </c>
      <c r="C284" s="3171" t="s">
        <v>3988</v>
      </c>
      <c r="D284" s="3171" t="s">
        <v>3989</v>
      </c>
      <c r="E284" s="3171">
        <v>70.31</v>
      </c>
      <c r="F284" s="3171" t="s">
        <v>3427</v>
      </c>
    </row>
    <row r="285" spans="1:6" ht="67.5">
      <c r="A285" s="3171" t="s">
        <v>4471</v>
      </c>
      <c r="B285" s="3171" t="s">
        <v>4189</v>
      </c>
      <c r="C285" s="3171" t="s">
        <v>3990</v>
      </c>
      <c r="D285" s="3171" t="s">
        <v>3991</v>
      </c>
      <c r="E285" s="3171">
        <v>84.06</v>
      </c>
      <c r="F285" s="3171" t="s">
        <v>3427</v>
      </c>
    </row>
    <row r="286" spans="1:6" ht="67.5">
      <c r="A286" s="3171" t="s">
        <v>4472</v>
      </c>
      <c r="B286" s="3171" t="s">
        <v>4189</v>
      </c>
      <c r="C286" s="3171" t="s">
        <v>3992</v>
      </c>
      <c r="D286" s="3171" t="s">
        <v>3993</v>
      </c>
      <c r="E286" s="3171">
        <v>70.31</v>
      </c>
      <c r="F286" s="3171" t="s">
        <v>3427</v>
      </c>
    </row>
    <row r="287" spans="1:6" ht="67.5">
      <c r="A287" s="3171" t="s">
        <v>4473</v>
      </c>
      <c r="B287" s="3171" t="s">
        <v>4189</v>
      </c>
      <c r="C287" s="3171" t="s">
        <v>3994</v>
      </c>
      <c r="D287" s="3171" t="s">
        <v>3995</v>
      </c>
      <c r="E287" s="3171">
        <v>941.03</v>
      </c>
      <c r="F287" s="3171" t="s">
        <v>3427</v>
      </c>
    </row>
    <row r="288" spans="1:6" ht="67.5">
      <c r="A288" s="3171" t="s">
        <v>4474</v>
      </c>
      <c r="B288" s="3171" t="s">
        <v>4189</v>
      </c>
      <c r="C288" s="3171" t="s">
        <v>3996</v>
      </c>
      <c r="D288" s="3171" t="s">
        <v>3997</v>
      </c>
      <c r="E288" s="3171">
        <v>84.06</v>
      </c>
      <c r="F288" s="3171" t="s">
        <v>3427</v>
      </c>
    </row>
    <row r="289" spans="1:6" ht="67.5">
      <c r="A289" s="3171" t="s">
        <v>4475</v>
      </c>
      <c r="B289" s="3171" t="s">
        <v>4189</v>
      </c>
      <c r="C289" s="3171" t="s">
        <v>3998</v>
      </c>
      <c r="D289" s="3171" t="s">
        <v>3999</v>
      </c>
      <c r="E289" s="3171">
        <v>87.75</v>
      </c>
      <c r="F289" s="3171" t="s">
        <v>3427</v>
      </c>
    </row>
    <row r="290" spans="1:6" ht="67.5">
      <c r="A290" s="3171" t="s">
        <v>4476</v>
      </c>
      <c r="B290" s="3171" t="s">
        <v>4189</v>
      </c>
      <c r="C290" s="3171" t="s">
        <v>4000</v>
      </c>
      <c r="D290" s="3171" t="s">
        <v>4001</v>
      </c>
      <c r="E290" s="3171">
        <v>809.09</v>
      </c>
      <c r="F290" s="3171" t="s">
        <v>673</v>
      </c>
    </row>
    <row r="291" spans="1:6" ht="67.5">
      <c r="A291" s="3171" t="s">
        <v>4477</v>
      </c>
      <c r="B291" s="3171" t="s">
        <v>4189</v>
      </c>
      <c r="C291" s="3171" t="s">
        <v>4002</v>
      </c>
      <c r="D291" s="3171" t="s">
        <v>4003</v>
      </c>
      <c r="E291" s="3171">
        <v>65.53</v>
      </c>
      <c r="F291" s="3171" t="s">
        <v>3427</v>
      </c>
    </row>
    <row r="292" spans="1:6" ht="67.5">
      <c r="A292" s="3171" t="s">
        <v>4478</v>
      </c>
      <c r="B292" s="3171" t="s">
        <v>4189</v>
      </c>
      <c r="C292" s="3171" t="s">
        <v>4004</v>
      </c>
      <c r="D292" s="3171" t="s">
        <v>4005</v>
      </c>
      <c r="E292" s="3171">
        <v>80.7</v>
      </c>
      <c r="F292" s="3171" t="s">
        <v>3427</v>
      </c>
    </row>
    <row r="293" spans="1:6" ht="67.5">
      <c r="A293" s="3171" t="s">
        <v>4479</v>
      </c>
      <c r="B293" s="3171" t="s">
        <v>4189</v>
      </c>
      <c r="C293" s="3171" t="s">
        <v>4006</v>
      </c>
      <c r="D293" s="3171" t="s">
        <v>4007</v>
      </c>
      <c r="E293" s="3171">
        <v>70.16</v>
      </c>
      <c r="F293" s="3171" t="s">
        <v>3427</v>
      </c>
    </row>
    <row r="294" spans="1:6" ht="67.5">
      <c r="A294" s="3171" t="s">
        <v>4480</v>
      </c>
      <c r="B294" s="3171" t="s">
        <v>4189</v>
      </c>
      <c r="C294" s="3171" t="s">
        <v>4008</v>
      </c>
      <c r="D294" s="3171" t="s">
        <v>4009</v>
      </c>
      <c r="E294" s="3171">
        <v>87.79</v>
      </c>
      <c r="F294" s="3171" t="s">
        <v>3427</v>
      </c>
    </row>
    <row r="295" spans="1:6" ht="67.5">
      <c r="A295" s="3171" t="s">
        <v>4481</v>
      </c>
      <c r="B295" s="3171" t="s">
        <v>4189</v>
      </c>
      <c r="C295" s="3171" t="s">
        <v>4010</v>
      </c>
      <c r="D295" s="3171" t="s">
        <v>4011</v>
      </c>
      <c r="E295" s="3171">
        <v>80.7</v>
      </c>
      <c r="F295" s="3171" t="s">
        <v>3427</v>
      </c>
    </row>
    <row r="296" spans="1:6" ht="67.5">
      <c r="A296" s="3171" t="s">
        <v>4482</v>
      </c>
      <c r="B296" s="3171" t="s">
        <v>4189</v>
      </c>
      <c r="C296" s="3171" t="s">
        <v>4012</v>
      </c>
      <c r="D296" s="3171" t="s">
        <v>4013</v>
      </c>
      <c r="E296" s="3171">
        <v>143.57</v>
      </c>
      <c r="F296" s="3171" t="s">
        <v>3427</v>
      </c>
    </row>
    <row r="297" spans="1:6" ht="67.5">
      <c r="A297" s="3171" t="s">
        <v>4483</v>
      </c>
      <c r="B297" s="3171" t="s">
        <v>4189</v>
      </c>
      <c r="C297" s="3171" t="s">
        <v>4014</v>
      </c>
      <c r="D297" s="3171" t="s">
        <v>4015</v>
      </c>
      <c r="E297" s="3171">
        <v>3402.49</v>
      </c>
      <c r="F297" s="3171" t="s">
        <v>673</v>
      </c>
    </row>
    <row r="298" spans="1:6" ht="67.5">
      <c r="A298" s="3171" t="s">
        <v>4484</v>
      </c>
      <c r="B298" s="3171" t="s">
        <v>4189</v>
      </c>
      <c r="C298" s="3171" t="s">
        <v>4016</v>
      </c>
      <c r="D298" s="3171" t="s">
        <v>4017</v>
      </c>
      <c r="E298" s="3171">
        <v>69.97</v>
      </c>
      <c r="F298" s="3171" t="s">
        <v>3427</v>
      </c>
    </row>
    <row r="299" spans="1:6" ht="67.5">
      <c r="A299" s="3171" t="s">
        <v>4485</v>
      </c>
      <c r="B299" s="3171" t="s">
        <v>4189</v>
      </c>
      <c r="C299" s="3171" t="s">
        <v>4018</v>
      </c>
      <c r="D299" s="3171" t="s">
        <v>4019</v>
      </c>
      <c r="E299" s="3171">
        <v>80.7</v>
      </c>
      <c r="F299" s="3171" t="s">
        <v>3427</v>
      </c>
    </row>
    <row r="300" spans="1:6" ht="67.5">
      <c r="A300" s="3171" t="s">
        <v>4486</v>
      </c>
      <c r="B300" s="3171" t="s">
        <v>4189</v>
      </c>
      <c r="C300" s="3171" t="s">
        <v>4020</v>
      </c>
      <c r="D300" s="3171" t="s">
        <v>4021</v>
      </c>
      <c r="E300" s="3171">
        <v>97.58</v>
      </c>
      <c r="F300" s="3171" t="s">
        <v>3427</v>
      </c>
    </row>
    <row r="301" spans="1:6" ht="67.5">
      <c r="A301" s="3171" t="s">
        <v>4487</v>
      </c>
      <c r="B301" s="3171" t="s">
        <v>4189</v>
      </c>
      <c r="C301" s="3171" t="s">
        <v>4022</v>
      </c>
      <c r="D301" s="3171" t="s">
        <v>4023</v>
      </c>
      <c r="E301" s="3171">
        <v>70.31</v>
      </c>
      <c r="F301" s="3171" t="s">
        <v>3427</v>
      </c>
    </row>
    <row r="302" spans="1:6" ht="67.5">
      <c r="A302" s="3171" t="s">
        <v>4488</v>
      </c>
      <c r="B302" s="3171" t="s">
        <v>4189</v>
      </c>
      <c r="C302" s="3171" t="s">
        <v>4024</v>
      </c>
      <c r="D302" s="3171" t="s">
        <v>4025</v>
      </c>
      <c r="E302" s="3171">
        <v>97.58</v>
      </c>
      <c r="F302" s="3171" t="s">
        <v>3427</v>
      </c>
    </row>
    <row r="303" spans="1:6" ht="67.5">
      <c r="A303" s="3171" t="s">
        <v>4489</v>
      </c>
      <c r="B303" s="3171" t="s">
        <v>4189</v>
      </c>
      <c r="C303" s="3171" t="s">
        <v>4026</v>
      </c>
      <c r="D303" s="3171" t="s">
        <v>4027</v>
      </c>
      <c r="E303" s="3171">
        <v>70.31</v>
      </c>
      <c r="F303" s="3171" t="s">
        <v>3427</v>
      </c>
    </row>
    <row r="304" spans="1:6" ht="67.5">
      <c r="A304" s="3171" t="s">
        <v>4490</v>
      </c>
      <c r="B304" s="3171" t="s">
        <v>4189</v>
      </c>
      <c r="C304" s="3171" t="s">
        <v>4028</v>
      </c>
      <c r="D304" s="3171" t="s">
        <v>4029</v>
      </c>
      <c r="E304" s="3171">
        <v>75.680000000000007</v>
      </c>
      <c r="F304" s="3171" t="s">
        <v>3427</v>
      </c>
    </row>
    <row r="305" spans="1:6" ht="67.5">
      <c r="A305" s="3171" t="s">
        <v>4491</v>
      </c>
      <c r="B305" s="3171" t="s">
        <v>4189</v>
      </c>
      <c r="C305" s="3171" t="s">
        <v>4030</v>
      </c>
      <c r="D305" s="3171" t="s">
        <v>4031</v>
      </c>
      <c r="E305" s="3171">
        <v>84.06</v>
      </c>
      <c r="F305" s="3171" t="s">
        <v>3427</v>
      </c>
    </row>
    <row r="306" spans="1:6" ht="67.5">
      <c r="A306" s="3171" t="s">
        <v>4492</v>
      </c>
      <c r="B306" s="3171" t="s">
        <v>4189</v>
      </c>
      <c r="C306" s="3171" t="s">
        <v>4032</v>
      </c>
      <c r="D306" s="3171" t="s">
        <v>4033</v>
      </c>
      <c r="E306" s="3171">
        <v>4231.63</v>
      </c>
      <c r="F306" s="3171" t="s">
        <v>673</v>
      </c>
    </row>
    <row r="307" spans="1:6" ht="67.5">
      <c r="A307" s="3171" t="s">
        <v>4493</v>
      </c>
      <c r="B307" s="3171" t="s">
        <v>4189</v>
      </c>
      <c r="C307" s="3171" t="s">
        <v>4034</v>
      </c>
      <c r="D307" s="3171" t="s">
        <v>4035</v>
      </c>
      <c r="E307" s="3171">
        <v>87.75</v>
      </c>
      <c r="F307" s="3171" t="s">
        <v>3427</v>
      </c>
    </row>
    <row r="308" spans="1:6" ht="67.5">
      <c r="A308" s="3171" t="s">
        <v>4494</v>
      </c>
      <c r="B308" s="3171" t="s">
        <v>4189</v>
      </c>
      <c r="C308" s="3171" t="s">
        <v>4036</v>
      </c>
      <c r="D308" s="3171" t="s">
        <v>4037</v>
      </c>
      <c r="E308" s="3171">
        <v>80.7</v>
      </c>
      <c r="F308" s="3171" t="s">
        <v>3427</v>
      </c>
    </row>
    <row r="309" spans="1:6" ht="67.5">
      <c r="A309" s="3171" t="s">
        <v>4495</v>
      </c>
      <c r="B309" s="3171" t="s">
        <v>4189</v>
      </c>
      <c r="C309" s="3171" t="s">
        <v>4038</v>
      </c>
      <c r="D309" s="3171" t="s">
        <v>4039</v>
      </c>
      <c r="E309" s="3171">
        <v>80.7</v>
      </c>
      <c r="F309" s="3171" t="s">
        <v>3427</v>
      </c>
    </row>
    <row r="310" spans="1:6" ht="67.5">
      <c r="A310" s="3171" t="s">
        <v>4496</v>
      </c>
      <c r="B310" s="3171" t="s">
        <v>4189</v>
      </c>
      <c r="C310" s="3171" t="s">
        <v>4040</v>
      </c>
      <c r="D310" s="3171" t="s">
        <v>4041</v>
      </c>
      <c r="E310" s="3171">
        <v>70.16</v>
      </c>
      <c r="F310" s="3171" t="s">
        <v>3427</v>
      </c>
    </row>
    <row r="311" spans="1:6" ht="67.5">
      <c r="A311" s="3171" t="s">
        <v>4497</v>
      </c>
      <c r="B311" s="3171" t="s">
        <v>4189</v>
      </c>
      <c r="C311" s="3171" t="s">
        <v>4042</v>
      </c>
      <c r="D311" s="3171" t="s">
        <v>4043</v>
      </c>
      <c r="E311" s="3171">
        <v>70.31</v>
      </c>
      <c r="F311" s="3171" t="s">
        <v>3427</v>
      </c>
    </row>
    <row r="312" spans="1:6" ht="67.5">
      <c r="A312" s="3171" t="s">
        <v>4498</v>
      </c>
      <c r="B312" s="3171" t="s">
        <v>4189</v>
      </c>
      <c r="C312" s="3171" t="s">
        <v>4044</v>
      </c>
      <c r="D312" s="3171" t="s">
        <v>4045</v>
      </c>
      <c r="E312" s="3171">
        <v>69.97</v>
      </c>
      <c r="F312" s="3171" t="s">
        <v>3427</v>
      </c>
    </row>
    <row r="313" spans="1:6" ht="67.5">
      <c r="A313" s="3171" t="s">
        <v>4499</v>
      </c>
      <c r="B313" s="3171" t="s">
        <v>4189</v>
      </c>
      <c r="C313" s="3171" t="s">
        <v>4046</v>
      </c>
      <c r="D313" s="3171" t="s">
        <v>4047</v>
      </c>
      <c r="E313" s="3171">
        <v>97.58</v>
      </c>
      <c r="F313" s="3171" t="s">
        <v>3427</v>
      </c>
    </row>
    <row r="314" spans="1:6" ht="67.5">
      <c r="A314" s="3171" t="s">
        <v>4500</v>
      </c>
      <c r="B314" s="3171" t="s">
        <v>4189</v>
      </c>
      <c r="C314" s="3171" t="s">
        <v>4048</v>
      </c>
      <c r="D314" s="3171" t="s">
        <v>4049</v>
      </c>
      <c r="E314" s="3171">
        <v>63.2</v>
      </c>
      <c r="F314" s="3171" t="s">
        <v>3427</v>
      </c>
    </row>
    <row r="315" spans="1:6" ht="67.5">
      <c r="A315" s="3171" t="s">
        <v>4501</v>
      </c>
      <c r="B315" s="3171" t="s">
        <v>4189</v>
      </c>
      <c r="C315" s="3171" t="s">
        <v>4050</v>
      </c>
      <c r="D315" s="3171" t="s">
        <v>4051</v>
      </c>
      <c r="E315" s="3171">
        <v>70.31</v>
      </c>
      <c r="F315" s="3171" t="s">
        <v>3427</v>
      </c>
    </row>
    <row r="316" spans="1:6" ht="67.5">
      <c r="A316" s="3171" t="s">
        <v>4502</v>
      </c>
      <c r="B316" s="3171" t="s">
        <v>4189</v>
      </c>
      <c r="C316" s="3171" t="s">
        <v>4052</v>
      </c>
      <c r="D316" s="3171" t="s">
        <v>4053</v>
      </c>
      <c r="E316" s="3171">
        <v>80.7</v>
      </c>
      <c r="F316" s="3171" t="s">
        <v>3427</v>
      </c>
    </row>
    <row r="317" spans="1:6" ht="67.5">
      <c r="A317" s="3171" t="s">
        <v>4503</v>
      </c>
      <c r="B317" s="3171" t="s">
        <v>4189</v>
      </c>
      <c r="C317" s="3171" t="s">
        <v>4054</v>
      </c>
      <c r="D317" s="3171" t="s">
        <v>4055</v>
      </c>
      <c r="E317" s="3171">
        <v>70.31</v>
      </c>
      <c r="F317" s="3171" t="s">
        <v>3427</v>
      </c>
    </row>
    <row r="318" spans="1:6" ht="67.5">
      <c r="A318" s="3171" t="s">
        <v>4504</v>
      </c>
      <c r="B318" s="3171" t="s">
        <v>4189</v>
      </c>
      <c r="C318" s="3171" t="s">
        <v>4056</v>
      </c>
      <c r="D318" s="3171" t="s">
        <v>4057</v>
      </c>
      <c r="E318" s="3171">
        <v>70.16</v>
      </c>
      <c r="F318" s="3171" t="s">
        <v>3427</v>
      </c>
    </row>
    <row r="319" spans="1:6" ht="67.5">
      <c r="A319" s="3171" t="s">
        <v>4505</v>
      </c>
      <c r="B319" s="3171" t="s">
        <v>4189</v>
      </c>
      <c r="C319" s="3171" t="s">
        <v>4058</v>
      </c>
      <c r="D319" s="3171" t="s">
        <v>4059</v>
      </c>
      <c r="E319" s="3171">
        <v>69.97</v>
      </c>
      <c r="F319" s="3171" t="s">
        <v>3427</v>
      </c>
    </row>
    <row r="320" spans="1:6" ht="67.5">
      <c r="A320" s="3171" t="s">
        <v>4506</v>
      </c>
      <c r="B320" s="3171" t="s">
        <v>4189</v>
      </c>
      <c r="C320" s="3171" t="s">
        <v>4060</v>
      </c>
      <c r="D320" s="3171" t="s">
        <v>4061</v>
      </c>
      <c r="E320" s="3171">
        <v>70.31</v>
      </c>
      <c r="F320" s="3171" t="s">
        <v>3427</v>
      </c>
    </row>
    <row r="321" spans="1:6" ht="67.5">
      <c r="A321" s="3171" t="s">
        <v>4507</v>
      </c>
      <c r="B321" s="3171" t="s">
        <v>4189</v>
      </c>
      <c r="C321" s="3171" t="s">
        <v>4062</v>
      </c>
      <c r="D321" s="3171" t="s">
        <v>4063</v>
      </c>
      <c r="E321" s="3171">
        <v>64.72</v>
      </c>
      <c r="F321" s="3171" t="s">
        <v>3427</v>
      </c>
    </row>
    <row r="322" spans="1:6" ht="67.5">
      <c r="A322" s="3171" t="s">
        <v>4508</v>
      </c>
      <c r="B322" s="3171" t="s">
        <v>4189</v>
      </c>
      <c r="C322" s="3171" t="s">
        <v>4064</v>
      </c>
      <c r="D322" s="3171" t="s">
        <v>4065</v>
      </c>
      <c r="E322" s="3171">
        <v>70.31</v>
      </c>
      <c r="F322" s="3171" t="s">
        <v>3427</v>
      </c>
    </row>
    <row r="323" spans="1:6" ht="67.5">
      <c r="A323" s="3171" t="s">
        <v>4509</v>
      </c>
      <c r="B323" s="3171" t="s">
        <v>4189</v>
      </c>
      <c r="C323" s="3171" t="s">
        <v>4066</v>
      </c>
      <c r="D323" s="3171" t="s">
        <v>4067</v>
      </c>
      <c r="E323" s="3171">
        <v>82.3</v>
      </c>
      <c r="F323" s="3171" t="s">
        <v>3427</v>
      </c>
    </row>
    <row r="324" spans="1:6" ht="67.5">
      <c r="A324" s="3171" t="s">
        <v>4510</v>
      </c>
      <c r="B324" s="3171" t="s">
        <v>4189</v>
      </c>
      <c r="C324" s="3171" t="s">
        <v>4068</v>
      </c>
      <c r="D324" s="3171" t="s">
        <v>4069</v>
      </c>
      <c r="E324" s="3171">
        <v>941.03</v>
      </c>
      <c r="F324" s="3171" t="s">
        <v>3427</v>
      </c>
    </row>
    <row r="325" spans="1:6" ht="67.5">
      <c r="A325" s="3171" t="s">
        <v>4511</v>
      </c>
      <c r="B325" s="3171" t="s">
        <v>4189</v>
      </c>
      <c r="C325" s="3171" t="s">
        <v>4070</v>
      </c>
      <c r="D325" s="3171" t="s">
        <v>4071</v>
      </c>
      <c r="E325" s="3171">
        <v>80.7</v>
      </c>
      <c r="F325" s="3171" t="s">
        <v>3427</v>
      </c>
    </row>
    <row r="326" spans="1:6" ht="67.5">
      <c r="A326" s="3171" t="s">
        <v>4512</v>
      </c>
      <c r="B326" s="3171" t="s">
        <v>4189</v>
      </c>
      <c r="C326" s="3171" t="s">
        <v>4072</v>
      </c>
      <c r="D326" s="3171" t="s">
        <v>4073</v>
      </c>
      <c r="E326" s="3171">
        <v>97.58</v>
      </c>
      <c r="F326" s="3171" t="s">
        <v>3427</v>
      </c>
    </row>
    <row r="327" spans="1:6" ht="67.5">
      <c r="A327" s="3171" t="s">
        <v>4513</v>
      </c>
      <c r="B327" s="3171" t="s">
        <v>4189</v>
      </c>
      <c r="C327" s="3171" t="s">
        <v>4074</v>
      </c>
      <c r="D327" s="3171" t="s">
        <v>4075</v>
      </c>
      <c r="E327" s="3171">
        <v>70.31</v>
      </c>
      <c r="F327" s="3171" t="s">
        <v>3427</v>
      </c>
    </row>
    <row r="328" spans="1:6" ht="67.5">
      <c r="A328" s="3171" t="s">
        <v>4514</v>
      </c>
      <c r="B328" s="3171" t="s">
        <v>4189</v>
      </c>
      <c r="C328" s="3171" t="s">
        <v>4076</v>
      </c>
      <c r="D328" s="3171" t="s">
        <v>4077</v>
      </c>
      <c r="E328" s="3171">
        <v>70.31</v>
      </c>
      <c r="F328" s="3171" t="s">
        <v>3427</v>
      </c>
    </row>
    <row r="329" spans="1:6" ht="67.5">
      <c r="A329" s="3171" t="s">
        <v>4515</v>
      </c>
      <c r="B329" s="3171" t="s">
        <v>4189</v>
      </c>
      <c r="C329" s="3171" t="s">
        <v>4078</v>
      </c>
      <c r="D329" s="3171" t="s">
        <v>4079</v>
      </c>
      <c r="E329" s="3171">
        <v>69.97</v>
      </c>
      <c r="F329" s="3171" t="s">
        <v>3427</v>
      </c>
    </row>
    <row r="330" spans="1:6" ht="67.5">
      <c r="A330" s="3171" t="s">
        <v>4516</v>
      </c>
      <c r="B330" s="3171" t="s">
        <v>4189</v>
      </c>
      <c r="C330" s="3171" t="s">
        <v>4080</v>
      </c>
      <c r="D330" s="3171" t="s">
        <v>4081</v>
      </c>
      <c r="E330" s="3171">
        <v>80.7</v>
      </c>
      <c r="F330" s="3171" t="s">
        <v>3427</v>
      </c>
    </row>
    <row r="331" spans="1:6" ht="67.5">
      <c r="A331" s="3171" t="s">
        <v>4517</v>
      </c>
      <c r="B331" s="3171" t="s">
        <v>4189</v>
      </c>
      <c r="C331" s="3171" t="s">
        <v>4082</v>
      </c>
      <c r="D331" s="3171" t="s">
        <v>4083</v>
      </c>
      <c r="E331" s="3171">
        <v>70.31</v>
      </c>
      <c r="F331" s="3171" t="s">
        <v>3427</v>
      </c>
    </row>
    <row r="332" spans="1:6" ht="67.5">
      <c r="A332" s="3171" t="s">
        <v>4518</v>
      </c>
      <c r="B332" s="3171" t="s">
        <v>4189</v>
      </c>
      <c r="C332" s="3171" t="s">
        <v>4084</v>
      </c>
      <c r="D332" s="3171" t="s">
        <v>4085</v>
      </c>
      <c r="E332" s="3171">
        <v>86.24</v>
      </c>
      <c r="F332" s="3171" t="s">
        <v>3427</v>
      </c>
    </row>
    <row r="333" spans="1:6" ht="67.5">
      <c r="A333" s="3171" t="s">
        <v>4519</v>
      </c>
      <c r="B333" s="3171" t="s">
        <v>4189</v>
      </c>
      <c r="C333" s="3171" t="s">
        <v>4086</v>
      </c>
      <c r="D333" s="3171" t="s">
        <v>4087</v>
      </c>
      <c r="E333" s="3171">
        <v>64.72</v>
      </c>
      <c r="F333" s="3171" t="s">
        <v>3427</v>
      </c>
    </row>
    <row r="334" spans="1:6" ht="67.5">
      <c r="A334" s="3171" t="s">
        <v>4520</v>
      </c>
      <c r="B334" s="3171" t="s">
        <v>4189</v>
      </c>
      <c r="C334" s="3171" t="s">
        <v>4088</v>
      </c>
      <c r="D334" s="3171" t="s">
        <v>4089</v>
      </c>
      <c r="E334" s="3171">
        <v>80.7</v>
      </c>
      <c r="F334" s="3171" t="s">
        <v>3427</v>
      </c>
    </row>
    <row r="335" spans="1:6" ht="67.5">
      <c r="A335" s="3171" t="s">
        <v>4521</v>
      </c>
      <c r="B335" s="3171" t="s">
        <v>4189</v>
      </c>
      <c r="C335" s="3171" t="s">
        <v>4090</v>
      </c>
      <c r="D335" s="3171" t="s">
        <v>4091</v>
      </c>
      <c r="E335" s="3171">
        <v>102.82</v>
      </c>
      <c r="F335" s="3171" t="s">
        <v>3427</v>
      </c>
    </row>
    <row r="336" spans="1:6" ht="67.5">
      <c r="A336" s="3171" t="s">
        <v>4522</v>
      </c>
      <c r="B336" s="3171" t="s">
        <v>4189</v>
      </c>
      <c r="C336" s="3171" t="s">
        <v>4092</v>
      </c>
      <c r="D336" s="3171" t="s">
        <v>4093</v>
      </c>
      <c r="E336" s="3171">
        <v>63.2</v>
      </c>
      <c r="F336" s="3171" t="s">
        <v>3427</v>
      </c>
    </row>
    <row r="337" spans="1:6" ht="67.5">
      <c r="A337" s="3171" t="s">
        <v>4523</v>
      </c>
      <c r="B337" s="3171" t="s">
        <v>4189</v>
      </c>
      <c r="C337" s="3171" t="s">
        <v>4094</v>
      </c>
      <c r="D337" s="3171" t="s">
        <v>4095</v>
      </c>
      <c r="E337" s="3171">
        <v>2408.4499999999998</v>
      </c>
      <c r="F337" s="3171" t="s">
        <v>3427</v>
      </c>
    </row>
    <row r="338" spans="1:6" ht="67.5">
      <c r="A338" s="3171" t="s">
        <v>4524</v>
      </c>
      <c r="B338" s="3171" t="s">
        <v>4189</v>
      </c>
      <c r="C338" s="3171" t="s">
        <v>4096</v>
      </c>
      <c r="D338" s="3171" t="s">
        <v>4097</v>
      </c>
      <c r="E338" s="3171">
        <v>69.97</v>
      </c>
      <c r="F338" s="3171" t="s">
        <v>3427</v>
      </c>
    </row>
    <row r="339" spans="1:6" ht="67.5">
      <c r="A339" s="3171" t="s">
        <v>4525</v>
      </c>
      <c r="B339" s="3171" t="s">
        <v>4189</v>
      </c>
      <c r="C339" s="3171" t="s">
        <v>4098</v>
      </c>
      <c r="D339" s="3171" t="s">
        <v>4099</v>
      </c>
      <c r="E339" s="3171">
        <v>86.24</v>
      </c>
      <c r="F339" s="3171" t="s">
        <v>3427</v>
      </c>
    </row>
    <row r="340" spans="1:6" ht="67.5">
      <c r="A340" s="3171" t="s">
        <v>4526</v>
      </c>
      <c r="B340" s="3171" t="s">
        <v>4189</v>
      </c>
      <c r="C340" s="3171" t="s">
        <v>4100</v>
      </c>
      <c r="D340" s="3171" t="s">
        <v>4101</v>
      </c>
      <c r="E340" s="3171">
        <v>87.75</v>
      </c>
      <c r="F340" s="3171" t="s">
        <v>3427</v>
      </c>
    </row>
    <row r="341" spans="1:6" ht="67.5">
      <c r="A341" s="3171" t="s">
        <v>4527</v>
      </c>
      <c r="B341" s="3171" t="s">
        <v>4189</v>
      </c>
      <c r="C341" s="3171" t="s">
        <v>4102</v>
      </c>
      <c r="D341" s="3171" t="s">
        <v>4103</v>
      </c>
      <c r="E341" s="3171">
        <v>80.7</v>
      </c>
      <c r="F341" s="3171" t="s">
        <v>3427</v>
      </c>
    </row>
    <row r="342" spans="1:6" ht="67.5">
      <c r="A342" s="3171" t="s">
        <v>4528</v>
      </c>
      <c r="B342" s="3171" t="s">
        <v>4189</v>
      </c>
      <c r="C342" s="3171" t="s">
        <v>4104</v>
      </c>
      <c r="D342" s="3171" t="s">
        <v>4105</v>
      </c>
      <c r="E342" s="3171">
        <v>121.15</v>
      </c>
      <c r="F342" s="3171" t="s">
        <v>3427</v>
      </c>
    </row>
    <row r="343" spans="1:6" ht="67.5">
      <c r="A343" s="3171" t="s">
        <v>4529</v>
      </c>
      <c r="B343" s="3171" t="s">
        <v>4189</v>
      </c>
      <c r="C343" s="3171" t="s">
        <v>4106</v>
      </c>
      <c r="D343" s="3171" t="s">
        <v>4107</v>
      </c>
      <c r="E343" s="3171">
        <v>941.03</v>
      </c>
      <c r="F343" s="3171" t="s">
        <v>3427</v>
      </c>
    </row>
    <row r="344" spans="1:6" ht="67.5">
      <c r="A344" s="3171" t="s">
        <v>4530</v>
      </c>
      <c r="B344" s="3171" t="s">
        <v>4189</v>
      </c>
      <c r="C344" s="3171" t="s">
        <v>4108</v>
      </c>
      <c r="D344" s="3171" t="s">
        <v>4109</v>
      </c>
      <c r="E344" s="3171">
        <v>64.72</v>
      </c>
      <c r="F344" s="3171" t="s">
        <v>3427</v>
      </c>
    </row>
    <row r="345" spans="1:6" ht="67.5">
      <c r="A345" s="3171" t="s">
        <v>4531</v>
      </c>
      <c r="B345" s="3171" t="s">
        <v>4189</v>
      </c>
      <c r="C345" s="3171" t="s">
        <v>4110</v>
      </c>
      <c r="D345" s="3171" t="s">
        <v>4111</v>
      </c>
      <c r="E345" s="3171">
        <v>80.7</v>
      </c>
      <c r="F345" s="3171" t="s">
        <v>3427</v>
      </c>
    </row>
    <row r="346" spans="1:6" ht="67.5">
      <c r="A346" s="3171" t="s">
        <v>4532</v>
      </c>
      <c r="B346" s="3171" t="s">
        <v>4189</v>
      </c>
      <c r="C346" s="3171" t="s">
        <v>4112</v>
      </c>
      <c r="D346" s="3171" t="s">
        <v>4113</v>
      </c>
      <c r="E346" s="3171">
        <v>70.31</v>
      </c>
      <c r="F346" s="3171" t="s">
        <v>3427</v>
      </c>
    </row>
    <row r="347" spans="1:6" ht="67.5">
      <c r="A347" s="3171" t="s">
        <v>4533</v>
      </c>
      <c r="B347" s="3171" t="s">
        <v>4189</v>
      </c>
      <c r="C347" s="3171" t="s">
        <v>4114</v>
      </c>
      <c r="D347" s="3171" t="s">
        <v>4115</v>
      </c>
      <c r="E347" s="3171">
        <v>69.97</v>
      </c>
      <c r="F347" s="3171" t="s">
        <v>3427</v>
      </c>
    </row>
    <row r="348" spans="1:6" ht="67.5">
      <c r="A348" s="3171" t="s">
        <v>4534</v>
      </c>
      <c r="B348" s="3171" t="s">
        <v>4189</v>
      </c>
      <c r="C348" s="3171" t="s">
        <v>4116</v>
      </c>
      <c r="D348" s="3171" t="s">
        <v>4117</v>
      </c>
      <c r="E348" s="3171">
        <v>70.31</v>
      </c>
      <c r="F348" s="3171" t="s">
        <v>3427</v>
      </c>
    </row>
    <row r="349" spans="1:6" ht="67.5">
      <c r="A349" s="3171" t="s">
        <v>4535</v>
      </c>
      <c r="B349" s="3171" t="s">
        <v>4189</v>
      </c>
      <c r="C349" s="3171" t="s">
        <v>4118</v>
      </c>
      <c r="D349" s="3171" t="s">
        <v>4119</v>
      </c>
      <c r="E349" s="3171">
        <v>80.7</v>
      </c>
      <c r="F349" s="3171" t="s">
        <v>3427</v>
      </c>
    </row>
    <row r="350" spans="1:6" ht="67.5">
      <c r="A350" s="3171" t="s">
        <v>4536</v>
      </c>
      <c r="B350" s="3171" t="s">
        <v>4189</v>
      </c>
      <c r="C350" s="3171" t="s">
        <v>4120</v>
      </c>
      <c r="D350" s="3171" t="s">
        <v>4121</v>
      </c>
      <c r="E350" s="3171">
        <v>69.97</v>
      </c>
      <c r="F350" s="3171" t="s">
        <v>3427</v>
      </c>
    </row>
    <row r="351" spans="1:6" ht="67.5">
      <c r="A351" s="3171" t="s">
        <v>4537</v>
      </c>
      <c r="B351" s="3171" t="s">
        <v>4189</v>
      </c>
      <c r="C351" s="3171" t="s">
        <v>4122</v>
      </c>
      <c r="D351" s="3171" t="s">
        <v>4123</v>
      </c>
      <c r="E351" s="3171">
        <v>70.31</v>
      </c>
      <c r="F351" s="3171" t="s">
        <v>3427</v>
      </c>
    </row>
    <row r="352" spans="1:6" ht="67.5">
      <c r="A352" s="3171" t="s">
        <v>4538</v>
      </c>
      <c r="B352" s="3171" t="s">
        <v>4189</v>
      </c>
      <c r="C352" s="3171" t="s">
        <v>4124</v>
      </c>
      <c r="D352" s="3171" t="s">
        <v>4125</v>
      </c>
      <c r="E352" s="3171">
        <v>69.97</v>
      </c>
      <c r="F352" s="3171" t="s">
        <v>3427</v>
      </c>
    </row>
    <row r="353" spans="1:6" ht="67.5">
      <c r="A353" s="3171" t="s">
        <v>4539</v>
      </c>
      <c r="B353" s="3171" t="s">
        <v>4189</v>
      </c>
      <c r="C353" s="3171" t="s">
        <v>4126</v>
      </c>
      <c r="D353" s="3171" t="s">
        <v>4127</v>
      </c>
      <c r="E353" s="3171">
        <v>63.2</v>
      </c>
      <c r="F353" s="3171" t="s">
        <v>3427</v>
      </c>
    </row>
    <row r="354" spans="1:6" ht="67.5">
      <c r="A354" s="3171" t="s">
        <v>4540</v>
      </c>
      <c r="B354" s="3171" t="s">
        <v>4189</v>
      </c>
      <c r="C354" s="3171" t="s">
        <v>4128</v>
      </c>
      <c r="D354" s="3171" t="s">
        <v>4129</v>
      </c>
      <c r="E354" s="3171">
        <v>75.680000000000007</v>
      </c>
      <c r="F354" s="3171" t="s">
        <v>3427</v>
      </c>
    </row>
    <row r="355" spans="1:6" ht="67.5">
      <c r="A355" s="3171" t="s">
        <v>4541</v>
      </c>
      <c r="B355" s="3171" t="s">
        <v>4189</v>
      </c>
      <c r="C355" s="3171" t="s">
        <v>4130</v>
      </c>
      <c r="D355" s="3171" t="s">
        <v>4131</v>
      </c>
      <c r="E355" s="3171">
        <v>69.97</v>
      </c>
      <c r="F355" s="3171" t="s">
        <v>3427</v>
      </c>
    </row>
    <row r="356" spans="1:6" ht="67.5">
      <c r="A356" s="3171" t="s">
        <v>4542</v>
      </c>
      <c r="B356" s="3171" t="s">
        <v>4189</v>
      </c>
      <c r="C356" s="3171" t="s">
        <v>4132</v>
      </c>
      <c r="D356" s="3171" t="s">
        <v>4133</v>
      </c>
      <c r="E356" s="3171">
        <v>551.62</v>
      </c>
      <c r="F356" s="3171" t="s">
        <v>673</v>
      </c>
    </row>
    <row r="357" spans="1:6" ht="67.5">
      <c r="A357" s="3171" t="s">
        <v>4543</v>
      </c>
      <c r="B357" s="3171" t="s">
        <v>4189</v>
      </c>
      <c r="C357" s="3171" t="s">
        <v>4134</v>
      </c>
      <c r="D357" s="3171" t="s">
        <v>4135</v>
      </c>
      <c r="E357" s="3171">
        <v>80.7</v>
      </c>
      <c r="F357" s="3171" t="s">
        <v>3427</v>
      </c>
    </row>
    <row r="358" spans="1:6" ht="67.5">
      <c r="A358" s="3171" t="s">
        <v>4544</v>
      </c>
      <c r="B358" s="3171" t="s">
        <v>4189</v>
      </c>
      <c r="C358" s="3171" t="s">
        <v>4136</v>
      </c>
      <c r="D358" s="3171" t="s">
        <v>4137</v>
      </c>
      <c r="E358" s="3171">
        <v>64.72</v>
      </c>
      <c r="F358" s="3171" t="s">
        <v>3427</v>
      </c>
    </row>
    <row r="359" spans="1:6" ht="67.5">
      <c r="A359" s="3171" t="s">
        <v>4545</v>
      </c>
      <c r="B359" s="3171" t="s">
        <v>4189</v>
      </c>
      <c r="C359" s="3171" t="s">
        <v>4138</v>
      </c>
      <c r="D359" s="3171" t="s">
        <v>4139</v>
      </c>
      <c r="E359" s="3171">
        <v>84.06</v>
      </c>
      <c r="F359" s="3171" t="s">
        <v>3427</v>
      </c>
    </row>
    <row r="360" spans="1:6" ht="67.5">
      <c r="A360" s="3171" t="s">
        <v>4546</v>
      </c>
      <c r="B360" s="3171" t="s">
        <v>4189</v>
      </c>
      <c r="C360" s="3171" t="s">
        <v>4140</v>
      </c>
      <c r="D360" s="3171" t="s">
        <v>4141</v>
      </c>
      <c r="E360" s="3171">
        <v>80.7</v>
      </c>
      <c r="F360" s="3171" t="s">
        <v>3427</v>
      </c>
    </row>
    <row r="361" spans="1:6" ht="67.5">
      <c r="A361" s="3171" t="s">
        <v>4547</v>
      </c>
      <c r="B361" s="3171" t="s">
        <v>4189</v>
      </c>
      <c r="C361" s="3171" t="s">
        <v>4142</v>
      </c>
      <c r="D361" s="3171" t="s">
        <v>4143</v>
      </c>
      <c r="E361" s="3171">
        <v>70.16</v>
      </c>
      <c r="F361" s="3171" t="s">
        <v>3427</v>
      </c>
    </row>
    <row r="362" spans="1:6" ht="67.5">
      <c r="A362" s="3171" t="s">
        <v>4548</v>
      </c>
      <c r="B362" s="3171" t="s">
        <v>4189</v>
      </c>
      <c r="C362" s="3171" t="s">
        <v>4144</v>
      </c>
      <c r="D362" s="3171" t="s">
        <v>4145</v>
      </c>
      <c r="E362" s="3171">
        <v>64.72</v>
      </c>
      <c r="F362" s="3171" t="s">
        <v>3427</v>
      </c>
    </row>
    <row r="363" spans="1:6" ht="67.5">
      <c r="A363" s="3171" t="s">
        <v>4549</v>
      </c>
      <c r="B363" s="3171" t="s">
        <v>4189</v>
      </c>
      <c r="C363" s="3171" t="s">
        <v>4146</v>
      </c>
      <c r="D363" s="3171" t="s">
        <v>4147</v>
      </c>
      <c r="E363" s="3171">
        <v>69.97</v>
      </c>
      <c r="F363" s="3171" t="s">
        <v>3427</v>
      </c>
    </row>
    <row r="364" spans="1:6" ht="67.5">
      <c r="A364" s="3171" t="s">
        <v>4550</v>
      </c>
      <c r="B364" s="3171" t="s">
        <v>4189</v>
      </c>
      <c r="C364" s="3171" t="s">
        <v>4148</v>
      </c>
      <c r="D364" s="3171" t="s">
        <v>4149</v>
      </c>
      <c r="E364" s="3171">
        <v>86.24</v>
      </c>
      <c r="F364" s="3171" t="s">
        <v>3427</v>
      </c>
    </row>
    <row r="365" spans="1:6" ht="67.5">
      <c r="A365" s="3171" t="s">
        <v>4551</v>
      </c>
      <c r="B365" s="3171" t="s">
        <v>4189</v>
      </c>
      <c r="C365" s="3171" t="s">
        <v>4150</v>
      </c>
      <c r="D365" s="3171" t="s">
        <v>4151</v>
      </c>
      <c r="E365" s="3171">
        <v>70.16</v>
      </c>
      <c r="F365" s="3171" t="s">
        <v>3427</v>
      </c>
    </row>
    <row r="366" spans="1:6" ht="67.5">
      <c r="A366" s="3171" t="s">
        <v>4552</v>
      </c>
      <c r="B366" s="3171" t="s">
        <v>4189</v>
      </c>
      <c r="C366" s="3171" t="s">
        <v>4152</v>
      </c>
      <c r="D366" s="3171" t="s">
        <v>4153</v>
      </c>
      <c r="E366" s="3171">
        <v>87.75</v>
      </c>
      <c r="F366" s="3171" t="s">
        <v>3427</v>
      </c>
    </row>
    <row r="367" spans="1:6" ht="67.5">
      <c r="A367" s="3171" t="s">
        <v>4553</v>
      </c>
      <c r="B367" s="3171" t="s">
        <v>4189</v>
      </c>
      <c r="C367" s="3171" t="s">
        <v>4154</v>
      </c>
      <c r="D367" s="3171" t="s">
        <v>4155</v>
      </c>
      <c r="E367" s="3171">
        <v>97.58</v>
      </c>
      <c r="F367" s="3171" t="s">
        <v>3427</v>
      </c>
    </row>
    <row r="368" spans="1:6" ht="67.5">
      <c r="A368" s="3171" t="s">
        <v>4554</v>
      </c>
      <c r="B368" s="3171" t="s">
        <v>4189</v>
      </c>
      <c r="C368" s="3171" t="s">
        <v>4156</v>
      </c>
      <c r="D368" s="3171" t="s">
        <v>4157</v>
      </c>
      <c r="E368" s="3171">
        <v>80.7</v>
      </c>
      <c r="F368" s="3171" t="s">
        <v>3427</v>
      </c>
    </row>
    <row r="369" spans="1:6" ht="67.5">
      <c r="A369" s="3171" t="s">
        <v>4555</v>
      </c>
      <c r="B369" s="3171" t="s">
        <v>4189</v>
      </c>
      <c r="C369" s="3171" t="s">
        <v>4158</v>
      </c>
      <c r="D369" s="3171" t="s">
        <v>4159</v>
      </c>
      <c r="E369" s="3171">
        <v>102.82</v>
      </c>
      <c r="F369" s="3171" t="s">
        <v>3427</v>
      </c>
    </row>
    <row r="370" spans="1:6" ht="67.5">
      <c r="A370" s="3171" t="s">
        <v>4556</v>
      </c>
      <c r="B370" s="3171" t="s">
        <v>4189</v>
      </c>
      <c r="C370" s="3171" t="s">
        <v>4160</v>
      </c>
      <c r="D370" s="3171" t="s">
        <v>4161</v>
      </c>
      <c r="E370" s="3171">
        <v>97.58</v>
      </c>
      <c r="F370" s="3171" t="s">
        <v>3427</v>
      </c>
    </row>
    <row r="371" spans="1:6" ht="67.5">
      <c r="A371" s="3171" t="s">
        <v>4557</v>
      </c>
      <c r="B371" s="3171" t="s">
        <v>4189</v>
      </c>
      <c r="C371" s="3171" t="s">
        <v>4162</v>
      </c>
      <c r="D371" s="3171" t="s">
        <v>4163</v>
      </c>
      <c r="E371" s="3171">
        <v>80.7</v>
      </c>
      <c r="F371" s="3171" t="s">
        <v>3427</v>
      </c>
    </row>
    <row r="372" spans="1:6" ht="67.5">
      <c r="A372" s="3171" t="s">
        <v>4558</v>
      </c>
      <c r="B372" s="3171" t="s">
        <v>4189</v>
      </c>
      <c r="C372" s="3171" t="s">
        <v>4164</v>
      </c>
      <c r="D372" s="3171" t="s">
        <v>4165</v>
      </c>
      <c r="E372" s="3171">
        <v>69.97</v>
      </c>
      <c r="F372" s="3171" t="s">
        <v>3427</v>
      </c>
    </row>
    <row r="373" spans="1:6" ht="67.5">
      <c r="A373" s="3171" t="s">
        <v>4559</v>
      </c>
      <c r="B373" s="3171" t="s">
        <v>4189</v>
      </c>
      <c r="C373" s="3171" t="s">
        <v>4166</v>
      </c>
      <c r="D373" s="3171" t="s">
        <v>4167</v>
      </c>
      <c r="E373" s="3171">
        <v>82.3</v>
      </c>
      <c r="F373" s="3171" t="s">
        <v>3427</v>
      </c>
    </row>
    <row r="374" spans="1:6" ht="67.5">
      <c r="A374" s="3171" t="s">
        <v>4560</v>
      </c>
      <c r="B374" s="3171" t="s">
        <v>4189</v>
      </c>
      <c r="C374" s="3171" t="s">
        <v>4168</v>
      </c>
      <c r="D374" s="3171" t="s">
        <v>4169</v>
      </c>
      <c r="E374" s="3171">
        <v>80.7</v>
      </c>
      <c r="F374" s="3171" t="s">
        <v>3427</v>
      </c>
    </row>
    <row r="375" spans="1:6" ht="67.5">
      <c r="A375" s="3171" t="s">
        <v>4561</v>
      </c>
      <c r="B375" s="3171" t="s">
        <v>4189</v>
      </c>
      <c r="C375" s="3171" t="s">
        <v>4170</v>
      </c>
      <c r="D375" s="3171" t="s">
        <v>4171</v>
      </c>
      <c r="E375" s="3171">
        <v>91.45</v>
      </c>
      <c r="F375" s="3171" t="s">
        <v>3427</v>
      </c>
    </row>
    <row r="376" spans="1:6" ht="67.5">
      <c r="A376" s="3171" t="s">
        <v>4562</v>
      </c>
      <c r="B376" s="3171" t="s">
        <v>4189</v>
      </c>
      <c r="C376" s="3171" t="s">
        <v>4172</v>
      </c>
      <c r="D376" s="3171" t="s">
        <v>4173</v>
      </c>
      <c r="E376" s="3171">
        <v>75.680000000000007</v>
      </c>
      <c r="F376" s="3171" t="s">
        <v>3427</v>
      </c>
    </row>
    <row r="377" spans="1:6" ht="67.5">
      <c r="A377" s="3171" t="s">
        <v>4563</v>
      </c>
      <c r="B377" s="3171" t="s">
        <v>4189</v>
      </c>
      <c r="C377" s="3171" t="s">
        <v>4174</v>
      </c>
      <c r="D377" s="3171" t="s">
        <v>4175</v>
      </c>
      <c r="E377" s="3171">
        <v>65.53</v>
      </c>
      <c r="F377" s="3171" t="s">
        <v>3427</v>
      </c>
    </row>
    <row r="378" spans="1:6">
      <c r="A378" s="3172" t="s">
        <v>4564</v>
      </c>
      <c r="B378" s="3172" t="s">
        <v>4189</v>
      </c>
      <c r="C378" s="3172" t="s">
        <v>4176</v>
      </c>
      <c r="D378" s="3172" t="s">
        <v>4177</v>
      </c>
      <c r="E378" s="3172">
        <v>102.82</v>
      </c>
      <c r="F378" s="3172" t="s">
        <v>3427</v>
      </c>
    </row>
    <row r="379" spans="1:6">
      <c r="A379" s="3172" t="s">
        <v>4565</v>
      </c>
      <c r="B379" s="3172" t="s">
        <v>4189</v>
      </c>
      <c r="C379" s="3172" t="s">
        <v>4178</v>
      </c>
      <c r="D379" s="3172" t="s">
        <v>4179</v>
      </c>
      <c r="E379" s="3172">
        <v>69.97</v>
      </c>
      <c r="F379" s="3172" t="s">
        <v>3427</v>
      </c>
    </row>
    <row r="380" spans="1:6">
      <c r="A380" s="3172" t="s">
        <v>4566</v>
      </c>
      <c r="B380" s="3172" t="s">
        <v>4189</v>
      </c>
      <c r="C380" s="3172" t="s">
        <v>4180</v>
      </c>
      <c r="D380" s="3172" t="s">
        <v>4181</v>
      </c>
      <c r="E380" s="3172">
        <v>70.31</v>
      </c>
      <c r="F380" s="3172" t="s">
        <v>3427</v>
      </c>
    </row>
    <row r="381" spans="1:6">
      <c r="A381" s="3172" t="s">
        <v>4567</v>
      </c>
      <c r="B381" s="3172" t="s">
        <v>4189</v>
      </c>
      <c r="C381" s="3172" t="s">
        <v>4182</v>
      </c>
      <c r="D381" s="3172" t="s">
        <v>4183</v>
      </c>
      <c r="E381" s="3172">
        <v>121.1</v>
      </c>
      <c r="F381" s="3172" t="s">
        <v>3427</v>
      </c>
    </row>
  </sheetData>
  <autoFilter ref="F1:F423" xr:uid="{C712A5D5-2E4B-4051-B346-7D7AFBE14794}"/>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A40DE-60D3-476B-BFFB-75501BCF3C74}">
  <sheetPr>
    <tabColor rgb="FF92D050"/>
  </sheetPr>
  <dimension ref="B4:J13"/>
  <sheetViews>
    <sheetView workbookViewId="0">
      <selection activeCell="J16" sqref="J16"/>
    </sheetView>
  </sheetViews>
  <sheetFormatPr defaultRowHeight="13.5"/>
  <cols>
    <col min="1" max="4" width="9" style="2813"/>
    <col min="5" max="5" width="9.5" style="2813" bestFit="1" customWidth="1"/>
    <col min="6" max="8" width="9" style="2813"/>
    <col min="9" max="9" width="11" style="2813" bestFit="1" customWidth="1"/>
    <col min="10" max="16384" width="9" style="2813"/>
  </cols>
  <sheetData>
    <row r="4" spans="2:10">
      <c r="B4" s="1420"/>
      <c r="C4" s="1420"/>
      <c r="E4" s="3203" t="s">
        <v>3403</v>
      </c>
      <c r="F4" s="1428" t="s">
        <v>3404</v>
      </c>
      <c r="G4" s="1420"/>
      <c r="I4" s="3214" t="s">
        <v>3411</v>
      </c>
      <c r="J4" s="3205">
        <v>52990.34</v>
      </c>
    </row>
    <row r="5" spans="2:10">
      <c r="E5" s="3204" t="s">
        <v>3405</v>
      </c>
      <c r="F5" s="3205">
        <v>401.58</v>
      </c>
      <c r="I5" s="3214" t="s">
        <v>3403</v>
      </c>
      <c r="J5" s="3205">
        <f>F13</f>
        <v>11103.74</v>
      </c>
    </row>
    <row r="6" spans="2:10">
      <c r="E6" s="3206" t="s">
        <v>3406</v>
      </c>
      <c r="F6" s="3207">
        <v>494.34</v>
      </c>
      <c r="I6" s="3214" t="s">
        <v>3402</v>
      </c>
      <c r="J6" s="3205">
        <f>J4-J5</f>
        <v>41886.6</v>
      </c>
    </row>
    <row r="7" spans="2:10">
      <c r="D7" s="3210" t="s">
        <v>3412</v>
      </c>
      <c r="E7" s="3212" t="s">
        <v>3407</v>
      </c>
      <c r="F7" s="3213">
        <v>1106.79</v>
      </c>
      <c r="G7" s="3211">
        <f>SUM(F5:F7)</f>
        <v>2002.71</v>
      </c>
    </row>
    <row r="8" spans="2:10">
      <c r="E8" s="3208" t="s">
        <v>3408</v>
      </c>
      <c r="F8" s="3209">
        <v>106.2</v>
      </c>
    </row>
    <row r="9" spans="2:10">
      <c r="E9" s="1428" t="s">
        <v>3409</v>
      </c>
      <c r="F9" s="3205">
        <v>809.09</v>
      </c>
    </row>
    <row r="10" spans="2:10">
      <c r="D10" s="3211" t="s">
        <v>3413</v>
      </c>
      <c r="E10" s="1428" t="s">
        <v>3410</v>
      </c>
      <c r="F10" s="3205">
        <v>551.62</v>
      </c>
      <c r="G10" s="3211">
        <f>SUM(F8:F10)</f>
        <v>1466.91</v>
      </c>
    </row>
    <row r="11" spans="2:10">
      <c r="D11" s="3211" t="s">
        <v>3414</v>
      </c>
      <c r="E11" s="3205">
        <v>201</v>
      </c>
      <c r="F11" s="3211">
        <v>3402.49</v>
      </c>
    </row>
    <row r="12" spans="2:10">
      <c r="D12" s="3211" t="s">
        <v>3415</v>
      </c>
      <c r="E12" s="3205">
        <v>301</v>
      </c>
      <c r="F12" s="3211">
        <v>4231.63</v>
      </c>
    </row>
    <row r="13" spans="2:10">
      <c r="E13" s="1428" t="s">
        <v>2571</v>
      </c>
      <c r="F13" s="3211">
        <f>SUM(F5:F12)</f>
        <v>11103.74</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6" sqref="F16:I16"/>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58" t="str">
        <f>IF(B10="北京市","北京市",C10)&amp;F10&amp;IF(结果表!G1="在建","出让国有建设用地使用权及在建建筑物",IF(结果表!G1="土地","出让国有建设用地使用权",))&amp;B9&amp;"预评估"</f>
        <v>北京市房地产抵押价值预评估</v>
      </c>
      <c r="C1" s="3259"/>
      <c r="D1" s="3259"/>
      <c r="E1" s="3259"/>
      <c r="F1" s="3259"/>
      <c r="G1" s="3259"/>
      <c r="H1" s="3259"/>
      <c r="I1" s="3260"/>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2169</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3" t="s">
        <v>2170</v>
      </c>
      <c r="B3" s="2184"/>
      <c r="C3" s="2185" t="s">
        <v>2171</v>
      </c>
      <c r="D3" s="2184">
        <v>45862</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3398</v>
      </c>
      <c r="C8" s="2200"/>
      <c r="D8" s="3261" t="s">
        <v>2177</v>
      </c>
      <c r="E8" s="2201" t="s">
        <v>3399</v>
      </c>
      <c r="F8" s="2202"/>
      <c r="G8" s="2441"/>
      <c r="H8" s="2441"/>
      <c r="I8" s="2441"/>
      <c r="J8" s="2244"/>
      <c r="K8" s="2399"/>
      <c r="L8" s="2398"/>
      <c r="M8" s="2398"/>
      <c r="N8" s="2244"/>
      <c r="O8" s="1669"/>
      <c r="P8" s="2244"/>
      <c r="Q8" s="2244"/>
      <c r="R8" s="2244"/>
    </row>
    <row r="9" spans="1:30" ht="13.5" thickBot="1">
      <c r="A9" s="2203" t="s">
        <v>2178</v>
      </c>
      <c r="B9" s="2204" t="s">
        <v>3399</v>
      </c>
      <c r="C9" s="2205"/>
      <c r="D9" s="3262"/>
      <c r="E9" s="2204" t="s">
        <v>43</v>
      </c>
      <c r="F9" s="2206"/>
      <c r="G9" s="2442"/>
      <c r="H9" s="2442"/>
      <c r="I9" s="2442"/>
      <c r="J9" s="2244"/>
      <c r="K9" s="2401"/>
      <c r="L9" s="2398"/>
      <c r="M9" s="2398"/>
      <c r="N9" s="2244"/>
      <c r="O9" s="1669"/>
      <c r="P9" s="2244"/>
      <c r="Q9" s="2244"/>
      <c r="R9" s="2244"/>
    </row>
    <row r="10" spans="1:30" ht="13.5" thickTop="1">
      <c r="A10" s="2207" t="s">
        <v>2179</v>
      </c>
      <c r="B10" s="2208" t="s">
        <v>3400</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3401</v>
      </c>
      <c r="C11" s="2213"/>
      <c r="D11" s="2214"/>
      <c r="E11" s="2181"/>
      <c r="F11" s="2181"/>
      <c r="G11" s="2181"/>
      <c r="H11" s="2181"/>
      <c r="I11" s="2181"/>
      <c r="J11" s="2801"/>
      <c r="K11" s="2398"/>
      <c r="L11" s="2398"/>
      <c r="M11" s="2398"/>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800" t="s">
        <v>2555</v>
      </c>
      <c r="J12" s="2802"/>
      <c r="K12" s="2398"/>
      <c r="L12" s="2398"/>
      <c r="M12" s="2244"/>
      <c r="N12" s="1669"/>
      <c r="O12" s="2244"/>
      <c r="P12" s="2244"/>
      <c r="Q12" s="2244"/>
      <c r="AD12" s="1617"/>
    </row>
    <row r="13" spans="1:30">
      <c r="A13" s="3121" t="s">
        <v>3311</v>
      </c>
      <c r="B13" s="2217" t="s">
        <v>2190</v>
      </c>
      <c r="C13" s="802"/>
      <c r="D13" s="802">
        <v>52716</v>
      </c>
      <c r="E13" s="802"/>
      <c r="F13" s="802"/>
      <c r="G13" s="802"/>
      <c r="H13" s="802"/>
      <c r="I13" s="802"/>
      <c r="J13" s="2802"/>
      <c r="K13" s="2398"/>
      <c r="L13" s="2398"/>
      <c r="M13" s="2244"/>
      <c r="N13" s="1669"/>
      <c r="O13" s="2244"/>
      <c r="P13" s="2244"/>
      <c r="Q13" s="2244"/>
      <c r="AD13" s="1617"/>
    </row>
    <row r="14" spans="1:30">
      <c r="A14" s="1017"/>
      <c r="B14" s="2217" t="s">
        <v>2191</v>
      </c>
      <c r="C14" s="2218"/>
      <c r="D14" s="2218">
        <v>40</v>
      </c>
      <c r="E14" s="2218"/>
      <c r="F14" s="2218"/>
      <c r="G14" s="2218"/>
      <c r="H14" s="2218"/>
      <c r="I14" s="2218"/>
      <c r="J14" s="2803"/>
      <c r="K14" s="2398"/>
      <c r="L14" s="2398"/>
      <c r="M14" s="2244"/>
      <c r="N14" s="1669"/>
      <c r="O14" s="2244"/>
      <c r="P14" s="2244"/>
      <c r="Q14" s="2244"/>
      <c r="AD14" s="1617"/>
    </row>
    <row r="15" spans="1:30">
      <c r="A15" s="311"/>
      <c r="B15" s="2219" t="s">
        <v>2192</v>
      </c>
      <c r="C15" s="2220" t="str">
        <f>IF(A13="出让",IF(C13="","",ROUNDDOWN(MIN((C13-$D$3)/365,C14),2)),C14)</f>
        <v/>
      </c>
      <c r="D15" s="2220">
        <f>IF(A13="出让",IF(D13="","",ROUNDDOWN(MIN((D13-$D$3)/365,D14),2)),D14)</f>
        <v>18.77</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68"/>
      <c r="C16" s="3269"/>
      <c r="D16" s="3270"/>
      <c r="E16" s="2221" t="s">
        <v>2194</v>
      </c>
      <c r="F16" s="3271"/>
      <c r="G16" s="3272"/>
      <c r="H16" s="3272"/>
      <c r="I16" s="3273"/>
      <c r="J16" s="2244"/>
      <c r="K16" s="2402"/>
      <c r="L16" s="1669"/>
      <c r="M16" s="1669"/>
      <c r="N16" s="2244"/>
      <c r="O16" s="1669"/>
      <c r="P16" s="2244"/>
      <c r="Q16" s="2244"/>
      <c r="R16" s="2244"/>
    </row>
    <row r="17" spans="1:28">
      <c r="A17" s="304" t="s">
        <v>2195</v>
      </c>
      <c r="B17" s="293" t="s">
        <v>2196</v>
      </c>
      <c r="C17" s="8">
        <f>'数据-汇总表'!E3</f>
        <v>52990.34</v>
      </c>
      <c r="D17" s="1255" t="s">
        <v>2197</v>
      </c>
      <c r="E17" s="3274" t="s">
        <v>2198</v>
      </c>
      <c r="F17" s="3275"/>
      <c r="G17" s="3275"/>
      <c r="H17" s="3275"/>
      <c r="I17" s="3276"/>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277" t="s">
        <v>2202</v>
      </c>
      <c r="F18" s="3278"/>
      <c r="G18" s="3278"/>
      <c r="H18" s="3278"/>
      <c r="I18" s="3279"/>
      <c r="J18" s="2244"/>
      <c r="K18" s="2403"/>
      <c r="L18" s="1669"/>
      <c r="M18" s="1669"/>
      <c r="N18" s="2244"/>
      <c r="O18" s="1669"/>
      <c r="P18" s="2244"/>
      <c r="Q18" s="2244"/>
      <c r="R18" s="2244"/>
      <c r="S18" s="2244"/>
      <c r="T18" s="2244"/>
      <c r="U18" s="2244"/>
      <c r="V18" s="2244"/>
    </row>
    <row r="19" spans="1:28" ht="37.5" thickTop="1" thickBot="1">
      <c r="A19" s="318" t="s">
        <v>1055</v>
      </c>
      <c r="B19" s="298"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64" t="s">
        <v>2206</v>
      </c>
      <c r="C20" s="3265"/>
      <c r="D20" s="3266" t="s">
        <v>2207</v>
      </c>
      <c r="E20" s="3267"/>
      <c r="F20" s="2429" t="s">
        <v>1056</v>
      </c>
      <c r="G20" s="2441"/>
      <c r="H20" s="2441"/>
      <c r="I20" s="2441"/>
      <c r="J20" s="2244"/>
      <c r="K20" s="3263"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6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6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81" t="s">
        <v>2214</v>
      </c>
      <c r="B27" s="311"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81"/>
      <c r="B28" s="293"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81"/>
      <c r="B29" s="293"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82"/>
      <c r="B30" s="293" t="s">
        <v>2218</v>
      </c>
      <c r="C30" s="3283"/>
      <c r="D30" s="3284"/>
      <c r="E30" s="2441"/>
      <c r="F30" s="2441"/>
      <c r="G30" s="2441"/>
      <c r="H30" s="2441"/>
      <c r="I30" s="2441"/>
      <c r="J30" s="2244"/>
      <c r="K30" s="2401"/>
      <c r="L30" s="2398"/>
      <c r="M30" s="2398"/>
      <c r="N30" s="2244"/>
      <c r="O30" s="1669"/>
      <c r="P30" s="2244"/>
      <c r="Q30" s="2244"/>
      <c r="R30" s="2244"/>
      <c r="S30" s="2244"/>
      <c r="T30" s="2244"/>
      <c r="U30" s="2244"/>
      <c r="V30" s="2244"/>
    </row>
    <row r="31" spans="1:28">
      <c r="A31" s="3285"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86"/>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86"/>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2220</v>
      </c>
      <c r="B34" s="1869"/>
      <c r="C34" s="1869"/>
      <c r="D34" s="1869"/>
      <c r="E34" s="1869"/>
      <c r="F34" s="1869"/>
      <c r="G34" s="1869"/>
      <c r="H34" s="1869"/>
      <c r="I34" s="2441"/>
      <c r="J34" s="2244"/>
      <c r="K34" s="8">
        <f>COUNTIF(B34:H34,"——")</f>
        <v>0</v>
      </c>
      <c r="L34" s="314" t="s">
        <v>2221</v>
      </c>
      <c r="M34" s="314" t="s">
        <v>2222</v>
      </c>
      <c r="N34" s="314" t="s">
        <v>2223</v>
      </c>
      <c r="O34" s="314" t="s">
        <v>2224</v>
      </c>
      <c r="P34" s="314" t="s">
        <v>2225</v>
      </c>
      <c r="Q34" s="314" t="s">
        <v>2226</v>
      </c>
      <c r="R34" s="314" t="s">
        <v>2227</v>
      </c>
      <c r="S34" s="3280" t="s">
        <v>2228</v>
      </c>
      <c r="T34" s="314" t="str">
        <f>NUMBERSTRING(7-K34,1)&amp;"通"</f>
        <v>七通</v>
      </c>
      <c r="U34" s="2244"/>
      <c r="V34" s="2244"/>
    </row>
    <row r="35" spans="1:30">
      <c r="A35" s="2235"/>
      <c r="B35" s="3280" t="s">
        <v>2229</v>
      </c>
      <c r="C35" s="3280"/>
      <c r="D35" s="3280"/>
      <c r="E35" s="3280"/>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80"/>
      <c r="T35" s="137" t="str">
        <f>IF(T34="一通",L35,IF(T34="二通",M35,IF(T34="三通",N35,IF(T34="四通",O35,IF(T34="五通",P35,IF(T34="六通",Q35,R35))))))</f>
        <v>、、、、、、</v>
      </c>
      <c r="U35" s="2244"/>
      <c r="V35" s="2244"/>
    </row>
    <row r="36" spans="1:30">
      <c r="A36" s="2182"/>
      <c r="B36" s="8" t="s">
        <v>2185</v>
      </c>
      <c r="C36" s="8" t="s">
        <v>2186</v>
      </c>
      <c r="D36" s="8" t="s">
        <v>2184</v>
      </c>
      <c r="E36" s="8" t="s">
        <v>2189</v>
      </c>
      <c r="F36" s="2800" t="s">
        <v>2558</v>
      </c>
      <c r="G36" s="2441"/>
      <c r="H36" s="2441"/>
      <c r="I36" s="2441"/>
      <c r="J36" s="2244"/>
      <c r="K36" s="2401"/>
      <c r="L36" s="2398"/>
      <c r="M36" s="2398"/>
      <c r="N36" s="2244"/>
      <c r="O36" s="1669"/>
      <c r="P36" s="2244"/>
      <c r="Q36" s="2244"/>
      <c r="R36" s="2244"/>
      <c r="S36" s="2244"/>
      <c r="T36" s="2244"/>
      <c r="U36" s="2244"/>
      <c r="V36" s="2244"/>
    </row>
    <row r="37" spans="1:30">
      <c r="A37" s="2414" t="s">
        <v>2230</v>
      </c>
      <c r="B37" s="2236" t="s">
        <v>144</v>
      </c>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t="s">
        <v>4570</v>
      </c>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152095.24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152095.24</v>
      </c>
      <c r="H5" s="13">
        <f t="shared" ref="H5:AT5" si="0">SUM(H13:H656)</f>
        <v>152095.24</v>
      </c>
      <c r="I5" s="13">
        <f t="shared" si="0"/>
        <v>108205.93</v>
      </c>
      <c r="J5" s="13">
        <f t="shared" si="0"/>
        <v>0</v>
      </c>
      <c r="K5" s="13">
        <f t="shared" si="0"/>
        <v>2002.71</v>
      </c>
      <c r="L5" s="13">
        <f t="shared" si="0"/>
        <v>0</v>
      </c>
      <c r="M5" s="13">
        <f t="shared" si="0"/>
        <v>41886.6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52990.34</v>
      </c>
      <c r="BA5" s="15">
        <f t="shared" si="1"/>
        <v>52990.34</v>
      </c>
      <c r="BB5" s="15">
        <f t="shared" si="1"/>
        <v>9101.0299999999988</v>
      </c>
      <c r="BC5" s="15">
        <f t="shared" si="1"/>
        <v>2002.71</v>
      </c>
      <c r="BD5" s="15">
        <f t="shared" si="1"/>
        <v>41886.6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3417</v>
      </c>
      <c r="J9" s="760"/>
      <c r="K9" s="1490" t="s">
        <v>3418</v>
      </c>
      <c r="L9" s="760"/>
      <c r="M9" s="1490" t="s">
        <v>3417</v>
      </c>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t="s">
        <v>673</v>
      </c>
      <c r="L10" s="760"/>
      <c r="M10" s="1496" t="s">
        <v>21</v>
      </c>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t="str">
        <f>M9</f>
        <v>地上</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t="str">
        <f>K10</f>
        <v>商业</v>
      </c>
      <c r="BD11" s="1486" t="str">
        <f>M10</f>
        <v>办公</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3169" t="s">
        <v>3416</v>
      </c>
      <c r="D13" s="1512" t="s">
        <v>4568</v>
      </c>
      <c r="E13" s="13">
        <f>IF($C$3="是",ROUND($A$3*G13/$B$3,2),ROUND($A$3*(G13-AT13)/$B$3,2))</f>
        <v>0</v>
      </c>
      <c r="F13" s="29"/>
      <c r="G13" s="30">
        <f>H13+AC13+AT13</f>
        <v>11103.739999999998</v>
      </c>
      <c r="H13" s="17">
        <f>SUMIF(I$12:AB$12,"总值",I13:AB13)</f>
        <v>11103.739999999998</v>
      </c>
      <c r="I13" s="1513">
        <f>面积!G10+面积!F11+面积!F12</f>
        <v>9101.0299999999988</v>
      </c>
      <c r="J13" s="1513"/>
      <c r="K13" s="1513">
        <f>面积!F5+面积!F6+面积!F7</f>
        <v>2002.71</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商业</v>
      </c>
      <c r="AY13" s="1259">
        <f>ROUND($AY$6*AZ13/$AZ$5,2)</f>
        <v>0</v>
      </c>
      <c r="AZ13" s="13">
        <f>BA13+BL13</f>
        <v>11103.739999999998</v>
      </c>
      <c r="BA13" s="13">
        <f>SUM(BB13:BK13)</f>
        <v>11103.739999999998</v>
      </c>
      <c r="BB13" s="13">
        <f>IF($D13="是",I13-J13,0)</f>
        <v>9101.0299999999988</v>
      </c>
      <c r="BC13" s="13">
        <f>IF($D13="是",K13-L13,0)</f>
        <v>2002.71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3170" t="s">
        <v>3419</v>
      </c>
      <c r="D14" s="1512" t="s">
        <v>4568</v>
      </c>
      <c r="E14" s="13">
        <f>IF($C$3="是",ROUND($A$3*G14/$B$3,2),ROUND($A$3*(G14-AT14)/$B$3,2))</f>
        <v>0</v>
      </c>
      <c r="F14" s="29"/>
      <c r="G14" s="30">
        <f>H14+AC14+AT14</f>
        <v>41886.6</v>
      </c>
      <c r="H14" s="17">
        <f>SUMIF(I$12:AB$12,"总值",I14:AB14)</f>
        <v>41886.6</v>
      </c>
      <c r="I14" s="1513"/>
      <c r="J14" s="1513"/>
      <c r="K14" s="1513"/>
      <c r="L14" s="1513"/>
      <c r="M14" s="1513">
        <f>面积!J6</f>
        <v>41886.6</v>
      </c>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酒店式公寓</v>
      </c>
      <c r="AY14" s="1259">
        <f>ROUND($AY$6*AZ14/$AZ$5,2)</f>
        <v>0</v>
      </c>
      <c r="AZ14" s="13">
        <f>BA14+BL14</f>
        <v>41886.6</v>
      </c>
      <c r="BA14" s="13">
        <f>SUM(BB14:BK14)</f>
        <v>41886.6</v>
      </c>
      <c r="BB14" s="13">
        <f>IF($D14="是",I14-J14,0)</f>
        <v>0</v>
      </c>
      <c r="BC14" s="13">
        <f>IF($D14="是",K14-L14,0)</f>
        <v>0</v>
      </c>
      <c r="BD14" s="13">
        <f>IF($D14="是",M14-N14,0)</f>
        <v>41886.6</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t="s">
        <v>4615</v>
      </c>
      <c r="D15" s="1512" t="s">
        <v>4614</v>
      </c>
      <c r="E15" s="13">
        <f>IF($C$3="是",ROUND($A$3*G15/$B$3,2),ROUND($A$3*(G15-AT15)/$B$3,2))</f>
        <v>0</v>
      </c>
      <c r="F15" s="29"/>
      <c r="G15" s="30">
        <f>H15+AC15+AT15</f>
        <v>99104.9</v>
      </c>
      <c r="H15" s="17">
        <f>SUMIF(I$12:AB$12,"总值",I15:AB15)</f>
        <v>99104.9</v>
      </c>
      <c r="I15" s="1513">
        <v>99104.9</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2号楼</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4"/>
  <sheetViews>
    <sheetView view="pageBreakPreview" zoomScale="85" zoomScaleNormal="100" zoomScaleSheetLayoutView="85" workbookViewId="0">
      <selection activeCell="G34" sqref="G34"/>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96" t="s">
        <v>1131</v>
      </c>
      <c r="B2" s="3296"/>
      <c r="C2" s="3296"/>
      <c r="D2" s="747" t="s">
        <v>1107</v>
      </c>
      <c r="E2" s="1522" t="s">
        <v>1108</v>
      </c>
      <c r="F2" s="2438"/>
      <c r="G2" s="2431"/>
      <c r="H2" s="2432"/>
      <c r="I2" s="2145" t="s">
        <v>1132</v>
      </c>
      <c r="J2" s="2438"/>
      <c r="K2" s="2438"/>
      <c r="L2" s="2438"/>
      <c r="M2" s="2438"/>
      <c r="N2" s="2439"/>
      <c r="O2" s="2438"/>
      <c r="P2" s="2438"/>
    </row>
    <row r="3" spans="1:16" ht="15.75" thickBot="1">
      <c r="A3" s="3297" t="s">
        <v>1105</v>
      </c>
      <c r="B3" s="3297"/>
      <c r="C3" s="3297"/>
      <c r="D3" s="41">
        <f>'数据-基础表'!AY6</f>
        <v>0</v>
      </c>
      <c r="E3" s="41">
        <f>'数据-基础表'!AZ5</f>
        <v>52990.34</v>
      </c>
      <c r="F3" s="2438"/>
      <c r="G3" s="42"/>
      <c r="H3" s="43" t="s">
        <v>1106</v>
      </c>
      <c r="I3" s="801" t="e">
        <f>ROUND('数据-基础表'!B3/'数据-基础表'!A3,2)</f>
        <v>#DIV/0!</v>
      </c>
      <c r="J3" s="2438"/>
      <c r="K3" s="2438"/>
      <c r="L3" s="2438"/>
      <c r="M3" s="2438"/>
      <c r="N3" s="2439"/>
      <c r="O3" s="2438"/>
      <c r="P3" s="2438"/>
    </row>
    <row r="4" spans="1:16" ht="15">
      <c r="A4" s="3298"/>
      <c r="B4" s="3299"/>
      <c r="C4" s="3300"/>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301" t="s">
        <v>1110</v>
      </c>
      <c r="C5" s="3301"/>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301" t="s">
        <v>1111</v>
      </c>
      <c r="C6" s="3301"/>
      <c r="D6" s="43">
        <f>ROUND($D$3*E6/$E$3,2)</f>
        <v>0</v>
      </c>
      <c r="E6" s="44">
        <f>E3-E5</f>
        <v>52990.34</v>
      </c>
      <c r="F6" s="2438"/>
      <c r="G6" s="1528" t="s">
        <v>1112</v>
      </c>
      <c r="H6" s="45" t="s">
        <v>1113</v>
      </c>
      <c r="I6" s="2434" t="e">
        <f>ROUND(F31/D31,2)</f>
        <v>#DIV/0!</v>
      </c>
      <c r="J6" s="2438"/>
      <c r="K6" s="2438"/>
      <c r="L6" s="2438"/>
      <c r="M6" s="2438"/>
      <c r="N6" s="2438"/>
      <c r="O6" s="2438"/>
      <c r="P6" s="2438"/>
    </row>
    <row r="7" spans="1:16" ht="15.75" thickBot="1">
      <c r="A7" s="3293"/>
      <c r="B7" s="3294"/>
      <c r="C7" s="3295"/>
      <c r="D7" s="1523" t="s">
        <v>1107</v>
      </c>
      <c r="E7" s="1527" t="s">
        <v>1114</v>
      </c>
      <c r="F7" s="2438"/>
      <c r="G7" s="2435" t="s">
        <v>1115</v>
      </c>
      <c r="H7" s="94"/>
      <c r="I7" s="2436">
        <v>9</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50987.63</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2002.71</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52990.34</v>
      </c>
      <c r="F16" s="2438"/>
      <c r="G16" s="2438"/>
      <c r="H16" s="1530" t="s">
        <v>1135</v>
      </c>
      <c r="I16" s="1531"/>
      <c r="J16" s="1070"/>
      <c r="K16" s="3290" t="s">
        <v>1135</v>
      </c>
      <c r="L16" s="3291"/>
      <c r="M16" s="3291"/>
      <c r="N16" s="3291"/>
      <c r="O16" s="3291"/>
      <c r="P16" s="3292"/>
    </row>
    <row r="17" spans="1:19" ht="15">
      <c r="A17" s="1532" t="s">
        <v>1136</v>
      </c>
      <c r="B17" s="1533" t="s">
        <v>1137</v>
      </c>
      <c r="C17" s="1534" t="s">
        <v>1138</v>
      </c>
      <c r="D17" s="1535" t="s">
        <v>1126</v>
      </c>
      <c r="E17" s="1536" t="s">
        <v>1127</v>
      </c>
      <c r="F17" s="1537"/>
      <c r="G17" s="1538"/>
      <c r="H17" s="1539" t="s">
        <v>1139</v>
      </c>
      <c r="I17" s="1540" t="s">
        <v>1124</v>
      </c>
      <c r="J17" s="1070"/>
      <c r="K17" s="3287" t="s">
        <v>1140</v>
      </c>
      <c r="L17" s="3288"/>
      <c r="M17" s="3289"/>
      <c r="N17" s="3287" t="s">
        <v>1141</v>
      </c>
      <c r="O17" s="3288"/>
      <c r="P17" s="3289"/>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
        <v>4621</v>
      </c>
      <c r="D19" s="43">
        <f>ROUND($D$3*E19/$E$3,2)</f>
        <v>0</v>
      </c>
      <c r="E19" s="51">
        <f t="shared" ref="E19:E26" si="1">SUM(F19:G19)</f>
        <v>52990.34</v>
      </c>
      <c r="F19" s="2557">
        <f>'数据-基础表'!I13+'数据-基础表'!M14</f>
        <v>50987.63</v>
      </c>
      <c r="G19" s="1242">
        <f>'数据-基础表'!K13</f>
        <v>2002.71</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52990.34</v>
      </c>
    </row>
    <row r="20" spans="1:19">
      <c r="A20" s="1548"/>
      <c r="B20" s="45" t="s">
        <v>1153</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52990.34</v>
      </c>
      <c r="F27" s="1071">
        <f>IF(SUM(F19:F26)=E8,SUM(F19:F26),"地上面积有误")</f>
        <v>50987.63</v>
      </c>
      <c r="G27" s="1073">
        <f>SUM(G19:G26)</f>
        <v>2002.71</v>
      </c>
      <c r="H27" s="1074">
        <f>SUM(H19:H26)</f>
        <v>0</v>
      </c>
      <c r="I27" s="1075">
        <f>SUM(I19:I26)</f>
        <v>0</v>
      </c>
      <c r="J27" s="1070"/>
      <c r="K27" s="1076">
        <f>SUM(K19:K26)</f>
        <v>0</v>
      </c>
      <c r="L27" s="784">
        <f>SUM(L19:L26)</f>
        <v>0</v>
      </c>
      <c r="M27" s="1077">
        <f>SUM(M19:M26)</f>
        <v>0</v>
      </c>
      <c r="N27" s="1076">
        <f t="shared" ref="N27:O27" si="10">SUM(N19:N26)</f>
        <v>0</v>
      </c>
      <c r="O27" s="784">
        <f t="shared" si="10"/>
        <v>0</v>
      </c>
      <c r="P27" s="93">
        <f>SUM(P19:P26)</f>
        <v>0</v>
      </c>
      <c r="R27" s="967">
        <f>IF(SUM(R19:R26)=$D$3,SUM(R19:R26),SUM(R19:R26)&amp;"误差"&amp;ROUND(SUM(R19:R26)-$D$3,2))</f>
        <v>0</v>
      </c>
      <c r="S27" s="43">
        <f>IF(SUM(S19:S26)=$E$3,SUM(S19:S26),SUM(S19:S26)&amp;"误差"&amp;ROUND(SUM(S19:S26)-E3,2))</f>
        <v>52990.34</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5"/>
      <c r="C31" s="784" t="s">
        <v>1158</v>
      </c>
      <c r="D31" s="642">
        <f>D27+D30</f>
        <v>0</v>
      </c>
      <c r="E31" s="642">
        <f>E27+E30</f>
        <v>52990.34</v>
      </c>
      <c r="F31" s="643">
        <f>F27+F30</f>
        <v>50987.63</v>
      </c>
      <c r="G31" s="644">
        <f>G27+G30</f>
        <v>2002.71</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7">
      <c r="D33" s="1557"/>
    </row>
    <row r="34" spans="4:7">
      <c r="G34" s="1521">
        <f>G27/E27</f>
        <v>3.7793869599628917E-2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45862</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4569</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酒店</v>
      </c>
      <c r="B6" s="1586" t="str">
        <f>IF(A6=0,"","经营性")</f>
        <v>经营性</v>
      </c>
      <c r="C6" s="1587" t="s">
        <v>673</v>
      </c>
      <c r="D6" s="804">
        <f>SUMIF(项目基本情况!C$12:I$12,C6,项目基本情况!C$14:I$14)</f>
        <v>40</v>
      </c>
      <c r="E6" s="803">
        <f>IF(B6="","",SUMIF(项目基本情况!C$12:I$12,C6,项目基本情况!C$13:I$13))</f>
        <v>52716</v>
      </c>
      <c r="F6" s="61">
        <f>SUMIF(项目基本情况!C$12:I$12,C6,项目基本情况!C$15:I$15)</f>
        <v>18.77</v>
      </c>
      <c r="G6" s="62">
        <f>IF(ISERROR(ROUND(POWER(1+H6,D6-F6)*(POWER(1+H6,F6)-1)/(POWER(1+H6,D6)-1),3)),0,ROUND(POWER(1+H6,D6-F6)*(POWER(1+H6,F6)-1)/(POWER(1+H6,D6)-1),3))</f>
        <v>0.69899999999999995</v>
      </c>
      <c r="H6" s="690">
        <v>0.05</v>
      </c>
      <c r="I6" s="690">
        <v>0.06</v>
      </c>
      <c r="J6" s="63">
        <v>7.0000000000000007E-2</v>
      </c>
      <c r="K6" s="969">
        <f>SUMIF('数据-汇总表'!C$19:C$33,A6,'数据-汇总表'!E$19:E$33)</f>
        <v>52990.34</v>
      </c>
      <c r="L6" s="691">
        <v>8000</v>
      </c>
      <c r="M6" s="64">
        <f t="shared" ref="M6:M14" si="0">ROUND(K6*L6/10000,0)</f>
        <v>42392</v>
      </c>
      <c r="N6" s="689">
        <f>O21</f>
        <v>0.79</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6">
        <v>10</v>
      </c>
      <c r="V6" s="67">
        <v>0.02</v>
      </c>
      <c r="W6" s="67">
        <v>0.1</v>
      </c>
      <c r="X6" s="978"/>
      <c r="Y6" s="68">
        <f>N6</f>
        <v>0.79</v>
      </c>
      <c r="Z6" s="69"/>
      <c r="AA6" s="63"/>
      <c r="AB6" s="63"/>
      <c r="AC6" s="978"/>
      <c r="AD6" s="70"/>
      <c r="AE6" s="979">
        <f ca="1">IF(AN6="",0,SUMIF(INDIRECT("'"&amp;AN6&amp;"'"&amp;"!E:E"),$AE$5,INDIRECT("'"&amp;AN6&amp;"'"&amp;"!F:F")))</f>
        <v>18.77</v>
      </c>
      <c r="AF6" s="74"/>
      <c r="AG6" s="129">
        <f>IF(AF6="",0,AE6-AF6)</f>
        <v>0</v>
      </c>
      <c r="AH6" s="71"/>
      <c r="AI6" s="73">
        <v>365</v>
      </c>
      <c r="AJ6" s="74"/>
      <c r="AK6" s="75">
        <v>2E-3</v>
      </c>
      <c r="AL6" s="76">
        <v>1E-3</v>
      </c>
      <c r="AM6" s="77">
        <v>0.01</v>
      </c>
      <c r="AN6" s="1588" t="s">
        <v>4616</v>
      </c>
      <c r="AO6" s="50">
        <f ca="1">SUMIF(INDIRECT("'"&amp;AN6&amp;"'"&amp;"!A:A"),"总价",INDIRECT("'"&amp;AN6&amp;"'"&amp;"!B:B"))</f>
        <v>188957</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f t="shared" ref="N8:N14" si="12">ROUND(1-(1-0%)*(2025-2008)/60,2)</f>
        <v>0.72</v>
      </c>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f t="shared" si="12"/>
        <v>0.72</v>
      </c>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f t="shared" si="12"/>
        <v>0.72</v>
      </c>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f t="shared" si="12"/>
        <v>0.72</v>
      </c>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0"/>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f t="shared" si="12"/>
        <v>0.72</v>
      </c>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0"/>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689">
        <f t="shared" si="12"/>
        <v>0.72</v>
      </c>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1205</v>
      </c>
      <c r="B14" s="1586" t="s">
        <v>1206</v>
      </c>
      <c r="C14" s="1591" t="s">
        <v>1205</v>
      </c>
      <c r="D14" s="804"/>
      <c r="E14" s="803"/>
      <c r="F14" s="61"/>
      <c r="G14" s="62"/>
      <c r="H14" s="968"/>
      <c r="I14" s="968"/>
      <c r="J14" s="968"/>
      <c r="K14" s="969">
        <f>SUMIF('数据-汇总表'!C$19:C$33,A14,'数据-汇总表'!E$19:E$33)</f>
        <v>0</v>
      </c>
      <c r="L14" s="79"/>
      <c r="M14" s="64">
        <f t="shared" si="0"/>
        <v>0</v>
      </c>
      <c r="N14" s="689">
        <f t="shared" si="12"/>
        <v>0.72</v>
      </c>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1"/>
      <c r="C16" s="782"/>
      <c r="D16" s="1593"/>
      <c r="E16" s="81"/>
      <c r="F16" s="81"/>
      <c r="G16" s="82">
        <f>ROUND(SUMPRODUCT(G6:G13,K6:K13)/SUMPRODUCT((G6:G13&gt;0)*(K6:K13)),3)</f>
        <v>0.69899999999999995</v>
      </c>
      <c r="H16" s="83">
        <f>ROUND(SUMPRODUCT(H6:H13,K6:K13)/SUMPRODUCT((H6:H13&gt;0)*(K6:K13)),3)</f>
        <v>0.05</v>
      </c>
      <c r="I16" s="84"/>
      <c r="J16" s="84"/>
      <c r="K16" s="85">
        <f>SUM(K6:K15)</f>
        <v>52990.34</v>
      </c>
      <c r="L16" s="86">
        <f>ROUND(M16*10000/SUM(K6:K14),0)</f>
        <v>8000</v>
      </c>
      <c r="M16" s="86">
        <f>SUM(M6:M14)</f>
        <v>42392</v>
      </c>
      <c r="N16" s="87">
        <f>ROUND(SUMPRODUCT(M6:M14,N6:N14)/M16,3)</f>
        <v>0.79</v>
      </c>
      <c r="O16" s="86">
        <f>SUM(O6:O14)</f>
        <v>0</v>
      </c>
      <c r="P16" s="86">
        <f>SUM(P6:P14)</f>
        <v>0</v>
      </c>
      <c r="Q16" s="88">
        <f>ROUND(SUMPRODUCT(Q6:Q13,K6:K13)/SUMPRODUCT((Q6:Q13&gt;0)*(K6:K13)),2)</f>
        <v>0.2</v>
      </c>
      <c r="R16" s="973">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6">
        <v>0</v>
      </c>
      <c r="C19" s="2560" t="s">
        <v>2293</v>
      </c>
      <c r="D19" s="2451"/>
      <c r="E19" s="2438"/>
      <c r="F19" s="2438"/>
      <c r="G19" s="2438"/>
      <c r="H19" s="2438"/>
      <c r="I19" s="3581" t="s">
        <v>4704</v>
      </c>
      <c r="J19" s="3581"/>
      <c r="K19" s="3581"/>
      <c r="L19" s="3572" t="s">
        <v>4702</v>
      </c>
      <c r="M19" s="2448"/>
      <c r="N19" s="3202" t="s">
        <v>4699</v>
      </c>
      <c r="O19" s="2448">
        <f>ROUND(1-(1-0%)*(2025-2008)/60,2)</f>
        <v>0.72</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7">
        <v>2</v>
      </c>
      <c r="C20" s="2561" t="s">
        <v>2291</v>
      </c>
      <c r="D20" s="2451"/>
      <c r="E20" s="2438"/>
      <c r="F20" s="2438"/>
      <c r="G20" s="2438"/>
      <c r="H20" s="2438"/>
      <c r="I20" s="3581" t="s">
        <v>4705</v>
      </c>
      <c r="J20" s="3581"/>
      <c r="K20" s="3215"/>
      <c r="L20" s="3573" t="s">
        <v>4703</v>
      </c>
      <c r="M20" s="2448"/>
      <c r="N20" s="3202" t="s">
        <v>4700</v>
      </c>
      <c r="O20" s="2448">
        <v>0.85</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7">
        <v>2</v>
      </c>
      <c r="C21" s="2438"/>
      <c r="D21" s="2451"/>
      <c r="E21" s="2438"/>
      <c r="F21" s="2438"/>
      <c r="G21" s="2438"/>
      <c r="H21" s="2438"/>
      <c r="I21" s="3581"/>
      <c r="J21" s="3581"/>
      <c r="K21" s="3582" t="s">
        <v>4706</v>
      </c>
      <c r="L21" s="3572">
        <v>12</v>
      </c>
      <c r="M21" s="2448"/>
      <c r="N21" s="3202" t="s">
        <v>4701</v>
      </c>
      <c r="O21" s="2448">
        <f>ROUND((O19+O20)/2,2)</f>
        <v>0.79</v>
      </c>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8">
        <f>B19+B20</f>
        <v>2</v>
      </c>
      <c r="C22" s="2438"/>
      <c r="D22" s="2451"/>
      <c r="E22" s="2438"/>
      <c r="F22" s="2438"/>
      <c r="G22" s="2438"/>
      <c r="H22" s="2438"/>
      <c r="I22" s="3581"/>
      <c r="J22" s="3581"/>
      <c r="K22" s="3582" t="s">
        <v>4707</v>
      </c>
      <c r="L22" s="3572">
        <v>4</v>
      </c>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8">
        <f>B19+B21</f>
        <v>2</v>
      </c>
      <c r="C23" s="2438"/>
      <c r="D23" s="2451"/>
      <c r="E23" s="2438"/>
      <c r="F23" s="2438"/>
      <c r="G23" s="2438"/>
      <c r="H23" s="2438"/>
      <c r="I23" s="3581" t="s">
        <v>4708</v>
      </c>
      <c r="J23" s="3581"/>
      <c r="K23" s="3579" t="s">
        <v>4709</v>
      </c>
      <c r="L23" s="3572">
        <f>'数据-汇总表'!E3</f>
        <v>52990.34</v>
      </c>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99">
        <f>B20-B21</f>
        <v>0</v>
      </c>
      <c r="C24" s="2438"/>
      <c r="D24" s="2451"/>
      <c r="E24" s="2438"/>
      <c r="F24" s="2438"/>
      <c r="G24" s="2438"/>
      <c r="H24" s="2438"/>
      <c r="I24" s="3581"/>
      <c r="J24" s="3581"/>
      <c r="K24" s="3582" t="s">
        <v>4706</v>
      </c>
      <c r="L24" s="3574">
        <f>L23-L25</f>
        <v>50987.63</v>
      </c>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3581"/>
      <c r="J25" s="3581"/>
      <c r="K25" s="3582" t="s">
        <v>4707</v>
      </c>
      <c r="L25" s="3574">
        <f>面积!G7</f>
        <v>2002.71</v>
      </c>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3583" t="s">
        <v>4710</v>
      </c>
      <c r="J26" s="3584" t="s">
        <v>4711</v>
      </c>
      <c r="K26" s="3585"/>
      <c r="L26" s="3575">
        <f t="shared" ref="L26" si="13">L27+L31+L30</f>
        <v>7871</v>
      </c>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ustomHeight="1">
      <c r="A27" s="1600" t="s">
        <v>1220</v>
      </c>
      <c r="B27" s="100">
        <v>160</v>
      </c>
      <c r="C27" s="2562" t="s">
        <v>2295</v>
      </c>
      <c r="D27" s="2454"/>
      <c r="E27" s="2439"/>
      <c r="F27" s="2439"/>
      <c r="G27" s="2438"/>
      <c r="H27" s="2438"/>
      <c r="I27" s="3583"/>
      <c r="J27" s="3581" t="s">
        <v>4712</v>
      </c>
      <c r="K27" s="3586" t="s">
        <v>4709</v>
      </c>
      <c r="L27" s="3576">
        <f>ROUND(M27/L23,0)</f>
        <v>2371</v>
      </c>
      <c r="M27" s="2448">
        <f>M28+M29</f>
        <v>125618471.06999999</v>
      </c>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2">
        <v>200</v>
      </c>
      <c r="C28" s="2455"/>
      <c r="D28" s="2454"/>
      <c r="E28" s="2439"/>
      <c r="F28" s="2439"/>
      <c r="G28" s="2438"/>
      <c r="H28" s="2438"/>
      <c r="I28" s="3583"/>
      <c r="J28" s="3581"/>
      <c r="K28" s="3582" t="s">
        <v>4706</v>
      </c>
      <c r="L28" s="3574">
        <v>2280</v>
      </c>
      <c r="M28" s="2448">
        <f>L28*L24</f>
        <v>116251796.39999999</v>
      </c>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4">
        <f ca="1">成本法!C10</f>
        <v>1060</v>
      </c>
      <c r="C29" s="2563" t="s">
        <v>2285</v>
      </c>
      <c r="D29" s="2454"/>
      <c r="E29" s="2439"/>
      <c r="F29" s="2439"/>
      <c r="G29" s="2438"/>
      <c r="H29" s="2438"/>
      <c r="I29" s="3583"/>
      <c r="J29" s="3581"/>
      <c r="K29" s="3582" t="s">
        <v>4707</v>
      </c>
      <c r="L29" s="3574">
        <v>4677</v>
      </c>
      <c r="M29" s="2448">
        <f>L29*L25</f>
        <v>9366674.6699999999</v>
      </c>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3583"/>
      <c r="J30" s="3587" t="s">
        <v>4713</v>
      </c>
      <c r="K30" s="3587"/>
      <c r="L30" s="3577">
        <v>2500</v>
      </c>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3">
        <f>B30-B32</f>
        <v>200</v>
      </c>
      <c r="C31" s="2453"/>
      <c r="D31" s="2454"/>
      <c r="E31" s="2439"/>
      <c r="F31" s="2439"/>
      <c r="G31" s="2438"/>
      <c r="H31" s="2438"/>
      <c r="I31" s="3583"/>
      <c r="J31" s="3588" t="s">
        <v>4714</v>
      </c>
      <c r="K31" s="3588"/>
      <c r="L31" s="3578">
        <v>3000</v>
      </c>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3579"/>
      <c r="J32" s="3579"/>
      <c r="K32" s="3579"/>
      <c r="L32" s="357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0.1</v>
      </c>
      <c r="C33" s="2564" t="s">
        <v>3362</v>
      </c>
      <c r="D33" s="2451"/>
      <c r="E33" s="2438"/>
      <c r="F33" s="2438"/>
      <c r="G33" s="2438"/>
      <c r="H33" s="2438"/>
      <c r="I33" s="3579"/>
      <c r="J33" s="3579"/>
      <c r="K33" s="3579"/>
      <c r="L33" s="357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5">
        <v>0</v>
      </c>
      <c r="C34" s="2564" t="s">
        <v>2286</v>
      </c>
      <c r="D34" s="2459" t="s">
        <v>2292</v>
      </c>
      <c r="E34" s="2457"/>
      <c r="F34" s="2438"/>
      <c r="G34" s="2438"/>
      <c r="H34" s="2438"/>
      <c r="I34" s="3579"/>
      <c r="J34" s="3589" t="s">
        <v>4715</v>
      </c>
      <c r="K34" s="3579"/>
      <c r="L34" s="357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2">
        <v>200</v>
      </c>
      <c r="C35" s="2564" t="s">
        <v>2287</v>
      </c>
      <c r="D35" s="2454"/>
      <c r="E35" s="2439"/>
      <c r="F35" s="2439"/>
      <c r="G35" s="2438"/>
      <c r="H35" s="2438"/>
      <c r="I35" s="3579"/>
      <c r="J35" s="3589" t="s">
        <v>4716</v>
      </c>
      <c r="K35" s="3579"/>
      <c r="L35" s="3580">
        <f t="shared" ref="L35" si="14">L27/L26</f>
        <v>0.30123237199847541</v>
      </c>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6">
        <v>0.03</v>
      </c>
      <c r="C36" s="2564" t="s">
        <v>3380</v>
      </c>
      <c r="D36" s="2451"/>
      <c r="E36" s="2438"/>
      <c r="F36" s="2438"/>
      <c r="G36" s="2438"/>
      <c r="H36" s="2438"/>
      <c r="I36" s="3579"/>
      <c r="J36" s="3589" t="s">
        <v>4717</v>
      </c>
      <c r="K36" s="3579"/>
      <c r="L36" s="3580">
        <f t="shared" ref="L36" si="15">L30/L26</f>
        <v>0.31762164909160207</v>
      </c>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7">
        <v>0.03</v>
      </c>
      <c r="C37" s="2564" t="s">
        <v>3363</v>
      </c>
      <c r="D37" s="2451"/>
      <c r="E37" s="2438"/>
      <c r="F37" s="2438"/>
      <c r="G37" s="2438"/>
      <c r="H37" s="2438"/>
      <c r="I37" s="3579"/>
      <c r="J37" s="3589" t="s">
        <v>4718</v>
      </c>
      <c r="K37" s="3579"/>
      <c r="L37" s="3580">
        <f t="shared" ref="L37" si="16">L31/L26</f>
        <v>0.38114597890992252</v>
      </c>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5">
        <v>0.03</v>
      </c>
      <c r="C38" s="2564" t="s">
        <v>3364</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2301</v>
      </c>
      <c r="B40" s="1014">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1">
        <v>7.0000000000000007E-2</v>
      </c>
      <c r="C44" s="2564" t="s">
        <v>3365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09">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09">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c r="C47" s="2566"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09">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30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144</v>
      </c>
      <c r="C53" s="2439" t="s">
        <v>1246</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mergeCells count="8">
    <mergeCell ref="I19:K19"/>
    <mergeCell ref="I20:J22"/>
    <mergeCell ref="I23:J25"/>
    <mergeCell ref="I26:I31"/>
    <mergeCell ref="J26:K26"/>
    <mergeCell ref="J27:J29"/>
    <mergeCell ref="J30:K30"/>
    <mergeCell ref="J31:K31"/>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302" t="s">
        <v>2277</v>
      </c>
      <c r="B1" s="3303"/>
      <c r="C1" s="3303"/>
      <c r="D1" s="3303"/>
      <c r="E1" s="3303"/>
      <c r="F1" s="3303"/>
      <c r="G1" s="330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4"/>
      <c r="E2" s="2259"/>
      <c r="F2" s="2262"/>
      <c r="G2" s="2261" t="s">
        <v>2275</v>
      </c>
      <c r="H2" s="750"/>
      <c r="I2" s="750"/>
      <c r="J2" s="750"/>
      <c r="K2" s="750"/>
      <c r="L2" s="750"/>
      <c r="M2" s="750"/>
      <c r="N2" s="750"/>
      <c r="O2" s="750"/>
      <c r="P2" s="750"/>
      <c r="Q2" s="750"/>
    </row>
    <row r="3" spans="1:29" ht="24">
      <c r="A3" s="2246" t="s">
        <v>2276</v>
      </c>
      <c r="B3" s="2263" t="s">
        <v>2252</v>
      </c>
      <c r="C3" s="2264"/>
      <c r="D3" s="2265"/>
      <c r="E3" s="2247" t="s">
        <v>2276</v>
      </c>
      <c r="F3" s="2266" t="s">
        <v>2253</v>
      </c>
      <c r="G3" s="2267"/>
      <c r="H3" s="750"/>
      <c r="I3" s="750"/>
      <c r="J3" s="750"/>
      <c r="K3" s="750"/>
      <c r="L3" s="750"/>
      <c r="M3" s="750"/>
      <c r="N3" s="750"/>
      <c r="O3" s="750"/>
      <c r="P3" s="750"/>
      <c r="Q3" s="750"/>
    </row>
    <row r="4" spans="1:29">
      <c r="A4" s="2247"/>
      <c r="B4" s="314" t="s">
        <v>2254</v>
      </c>
      <c r="C4" s="2268"/>
      <c r="D4" s="2265"/>
      <c r="E4" s="2269"/>
      <c r="F4" s="1280" t="s">
        <v>2255</v>
      </c>
      <c r="G4" s="2270"/>
      <c r="H4" s="750"/>
      <c r="I4" s="750"/>
      <c r="J4" s="750"/>
      <c r="K4" s="750"/>
      <c r="L4" s="750"/>
      <c r="M4" s="750"/>
      <c r="N4" s="750"/>
      <c r="O4" s="750"/>
      <c r="P4" s="750"/>
      <c r="Q4" s="750"/>
    </row>
    <row r="5" spans="1:29">
      <c r="A5" s="2247"/>
      <c r="B5" s="314" t="s">
        <v>2256</v>
      </c>
      <c r="C5" s="2268"/>
      <c r="D5" s="2265"/>
      <c r="E5" s="2269"/>
      <c r="F5" s="314" t="s">
        <v>2257</v>
      </c>
      <c r="G5" s="2270"/>
      <c r="H5" s="750"/>
      <c r="I5" s="750"/>
      <c r="J5" s="750"/>
      <c r="K5" s="750"/>
      <c r="L5" s="750"/>
      <c r="M5" s="750"/>
      <c r="N5" s="750"/>
      <c r="O5" s="750"/>
      <c r="P5" s="750"/>
      <c r="Q5" s="750"/>
    </row>
    <row r="6" spans="1:29">
      <c r="A6" s="2247"/>
      <c r="B6" s="314" t="s">
        <v>2258</v>
      </c>
      <c r="C6" s="2270"/>
      <c r="D6" s="2265"/>
      <c r="E6" s="2269"/>
      <c r="F6" s="314" t="s">
        <v>2259</v>
      </c>
      <c r="G6" s="2270"/>
      <c r="H6" s="750"/>
      <c r="I6" s="750"/>
      <c r="J6" s="750"/>
      <c r="K6" s="750"/>
      <c r="L6" s="750"/>
      <c r="M6" s="750"/>
      <c r="N6" s="750"/>
      <c r="O6" s="750"/>
      <c r="P6" s="750"/>
      <c r="Q6" s="750"/>
    </row>
    <row r="7" spans="1:29" ht="15" thickBot="1">
      <c r="A7" s="2247"/>
      <c r="B7" s="314" t="s">
        <v>2257</v>
      </c>
      <c r="C7" s="2270"/>
      <c r="D7" s="2244"/>
      <c r="E7" s="2271"/>
      <c r="F7" s="2272" t="s">
        <v>2260</v>
      </c>
      <c r="G7" s="2273"/>
      <c r="H7" s="750"/>
      <c r="I7" s="750"/>
      <c r="J7" s="750"/>
      <c r="K7" s="750"/>
      <c r="L7" s="750"/>
      <c r="M7" s="750"/>
      <c r="N7" s="750"/>
      <c r="O7" s="750"/>
      <c r="P7" s="750"/>
      <c r="Q7" s="750"/>
    </row>
    <row r="8" spans="1:29">
      <c r="A8" s="2247"/>
      <c r="B8" s="314" t="s">
        <v>2259</v>
      </c>
      <c r="C8" s="2270"/>
      <c r="D8" s="2244"/>
      <c r="E8" s="2244"/>
      <c r="F8" s="120"/>
      <c r="G8" s="120"/>
      <c r="H8" s="750"/>
      <c r="I8" s="750"/>
      <c r="J8" s="750"/>
      <c r="K8" s="750"/>
      <c r="L8" s="750"/>
      <c r="M8" s="750"/>
      <c r="N8" s="750"/>
      <c r="O8" s="750"/>
      <c r="P8" s="750"/>
      <c r="Q8" s="750"/>
    </row>
    <row r="9" spans="1:29">
      <c r="A9" s="2247"/>
      <c r="B9" s="314" t="s">
        <v>2261</v>
      </c>
      <c r="C9" s="2268"/>
      <c r="D9" s="2265"/>
      <c r="E9" s="2244"/>
      <c r="F9" s="120"/>
      <c r="G9" s="120"/>
      <c r="H9" s="750"/>
      <c r="I9" s="750"/>
      <c r="J9" s="750"/>
      <c r="K9" s="750"/>
      <c r="L9" s="750"/>
      <c r="M9" s="750"/>
      <c r="N9" s="750"/>
      <c r="O9" s="750"/>
      <c r="P9" s="750"/>
      <c r="Q9" s="750"/>
    </row>
    <row r="10" spans="1:29" ht="15" thickBot="1">
      <c r="A10" s="2248"/>
      <c r="B10" s="2274" t="s">
        <v>2262</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4" t="s">
        <v>2257</v>
      </c>
      <c r="G19" s="2293">
        <f>G5</f>
        <v>0</v>
      </c>
    </row>
    <row r="20" spans="1:17">
      <c r="A20" s="2251"/>
      <c r="B20" s="2292" t="s">
        <v>2270</v>
      </c>
      <c r="C20" s="2291">
        <f>C9</f>
        <v>0</v>
      </c>
      <c r="D20" s="2244"/>
      <c r="E20" s="2252"/>
      <c r="F20" s="314" t="s">
        <v>2259</v>
      </c>
      <c r="G20" s="2293">
        <f>G6</f>
        <v>0</v>
      </c>
    </row>
    <row r="21" spans="1:17">
      <c r="A21" s="2251"/>
      <c r="B21" s="314" t="s">
        <v>2257</v>
      </c>
      <c r="C21" s="2293">
        <f>C7</f>
        <v>0</v>
      </c>
      <c r="D21" s="2265"/>
      <c r="E21" s="2252"/>
      <c r="F21" s="2292" t="s">
        <v>2271</v>
      </c>
      <c r="G21" s="2295"/>
    </row>
    <row r="22" spans="1:17" ht="13.5" customHeight="1">
      <c r="A22" s="2251"/>
      <c r="B22" s="314" t="s">
        <v>2259</v>
      </c>
      <c r="C22" s="2293">
        <f>C8</f>
        <v>0</v>
      </c>
      <c r="D22" s="2265"/>
      <c r="E22" s="2252"/>
      <c r="F22" s="2292" t="s">
        <v>2262</v>
      </c>
      <c r="G22" s="2294"/>
    </row>
    <row r="23" spans="1:17" s="750" customFormat="1" ht="15" thickBot="1">
      <c r="A23" s="2251"/>
      <c r="B23" s="2292" t="s">
        <v>2271</v>
      </c>
      <c r="C23" s="2295"/>
      <c r="D23" s="1613"/>
      <c r="E23" s="2253"/>
      <c r="F23" s="2296" t="s">
        <v>2272</v>
      </c>
      <c r="G23" s="2297"/>
      <c r="H23" s="2276"/>
      <c r="I23" s="2276"/>
      <c r="J23" s="2276"/>
      <c r="K23" s="2276"/>
      <c r="L23" s="2276"/>
      <c r="M23" s="2276"/>
      <c r="N23" s="2276"/>
      <c r="O23" s="2276"/>
      <c r="P23" s="2276"/>
      <c r="Q23" s="2276"/>
    </row>
    <row r="24" spans="1:17" s="750" customFormat="1" ht="15" thickBot="1">
      <c r="A24" s="2254"/>
      <c r="B24" s="2296" t="s">
        <v>2273</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16" t="str">
        <f>项目基本情况!B1</f>
        <v>北京市房地产抵押价值预评估</v>
      </c>
      <c r="C37" s="3216"/>
      <c r="D37" s="3216"/>
      <c r="E37" s="3216"/>
      <c r="F37" s="3216"/>
      <c r="G37" s="3216"/>
      <c r="H37" s="3216"/>
      <c r="I37" s="3216"/>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14" sqref="H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52990.34</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45862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180495</v>
      </c>
      <c r="C5" s="2299">
        <f ca="1">IF(B5=D14,结果表!H102,ROUND(B5*10000/$B$1,0))</f>
        <v>34062</v>
      </c>
      <c r="D5" s="2299" t="e">
        <f ca="1">ROUND(B5*10000/$B$2,0)</f>
        <v>#DIV/0!</v>
      </c>
      <c r="E5" s="2461"/>
      <c r="F5" s="2462"/>
      <c r="G5" s="2462"/>
      <c r="H5" s="2462"/>
      <c r="I5" s="2462"/>
      <c r="J5" s="2462"/>
      <c r="K5" s="2462"/>
    </row>
    <row r="6" spans="1:11" ht="16.5">
      <c r="A6" s="2299" t="s">
        <v>656</v>
      </c>
      <c r="B6" s="2299">
        <f ca="1">SUM(G14:G23)</f>
        <v>180495</v>
      </c>
      <c r="C6" s="2299">
        <f ca="1">IF(B6=G14,结果表!H108,ROUND(B6*10000/$B$1,0))</f>
        <v>34062</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3335</v>
      </c>
      <c r="D10" s="2299" t="s">
        <v>3336</v>
      </c>
      <c r="E10" s="3136"/>
      <c r="F10" s="3140" t="s">
        <v>3337</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52990.34</v>
      </c>
      <c r="C14" s="2305"/>
      <c r="D14" s="2305">
        <f ca="1">结果表!H101</f>
        <v>180495</v>
      </c>
      <c r="E14" s="2305">
        <f ca="1">ROUND(D14*10000/B14,0)</f>
        <v>34062</v>
      </c>
      <c r="F14" s="2305" t="e">
        <f ca="1">ROUND(D14*10000/C14,0)</f>
        <v>#DIV/0!</v>
      </c>
      <c r="G14" s="2305">
        <f ca="1">D14</f>
        <v>180495</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5" zoomScaleNormal="100" zoomScaleSheetLayoutView="85" zoomScalePageLayoutView="80" workbookViewId="0">
      <selection activeCell="G25" sqref="G25"/>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71" t="str">
        <f>项目基本情况!S2</f>
        <v>北京市房地产</v>
      </c>
      <c r="B2" s="3372"/>
      <c r="C2" s="3372"/>
      <c r="D2" s="3372"/>
      <c r="E2" s="3372"/>
      <c r="F2" s="3372"/>
      <c r="G2" s="3372"/>
      <c r="H2" s="3372"/>
      <c r="I2" s="3373"/>
    </row>
    <row r="3" spans="1:12" ht="12.75">
      <c r="A3" s="3375" t="s">
        <v>1264</v>
      </c>
      <c r="B3" s="3376"/>
      <c r="C3" s="3376"/>
      <c r="D3" s="3376"/>
      <c r="E3" s="3376"/>
      <c r="F3" s="3376"/>
      <c r="G3" s="3376"/>
      <c r="H3" s="3376"/>
      <c r="I3" s="3376"/>
    </row>
    <row r="4" spans="1:12" ht="14.25">
      <c r="A4" s="1623" t="s">
        <v>1265</v>
      </c>
      <c r="B4" s="1624" t="s">
        <v>1266</v>
      </c>
      <c r="C4" s="1625" t="s">
        <v>4618</v>
      </c>
      <c r="D4" s="1625" t="s">
        <v>4619</v>
      </c>
      <c r="E4" s="3380" t="s">
        <v>1267</v>
      </c>
      <c r="F4" s="3381"/>
      <c r="G4" s="3381"/>
      <c r="H4" s="3381"/>
      <c r="I4" s="3382"/>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319" t="s">
        <v>1268</v>
      </c>
      <c r="B5" s="3374">
        <v>25</v>
      </c>
      <c r="C5" s="3377"/>
      <c r="D5" s="3365"/>
      <c r="E5" s="122" t="s">
        <v>1269</v>
      </c>
      <c r="F5" s="1626"/>
      <c r="G5" s="1626"/>
      <c r="H5" s="1626"/>
      <c r="I5" s="1280"/>
    </row>
    <row r="6" spans="1:12" ht="12.75">
      <c r="A6" s="3319"/>
      <c r="B6" s="3374"/>
      <c r="C6" s="3379"/>
      <c r="D6" s="3365"/>
      <c r="E6" s="122" t="s">
        <v>1270</v>
      </c>
      <c r="F6" s="1626"/>
      <c r="G6" s="1626"/>
      <c r="H6" s="1626"/>
      <c r="I6" s="1280"/>
    </row>
    <row r="7" spans="1:12" ht="12.75">
      <c r="A7" s="3319"/>
      <c r="B7" s="3374"/>
      <c r="C7" s="3378"/>
      <c r="D7" s="3365"/>
      <c r="E7" s="122" t="s">
        <v>1271</v>
      </c>
      <c r="F7" s="1626"/>
      <c r="G7" s="1626"/>
      <c r="H7" s="1626"/>
      <c r="I7" s="1280"/>
    </row>
    <row r="8" spans="1:12" ht="12.75">
      <c r="A8" s="3319" t="s">
        <v>1272</v>
      </c>
      <c r="B8" s="3374">
        <v>15</v>
      </c>
      <c r="C8" s="3377"/>
      <c r="D8" s="3365"/>
      <c r="E8" s="122" t="s">
        <v>1273</v>
      </c>
      <c r="F8" s="1626"/>
      <c r="G8" s="1626"/>
      <c r="H8" s="1626"/>
      <c r="I8" s="1280"/>
    </row>
    <row r="9" spans="1:12" ht="12.75">
      <c r="A9" s="3319"/>
      <c r="B9" s="3374"/>
      <c r="C9" s="3378"/>
      <c r="D9" s="3365"/>
      <c r="E9" s="122" t="s">
        <v>1274</v>
      </c>
      <c r="F9" s="1626"/>
      <c r="G9" s="1626"/>
      <c r="H9" s="1626"/>
      <c r="I9" s="1280"/>
    </row>
    <row r="10" spans="1:12" ht="12.75">
      <c r="A10" s="3319" t="s">
        <v>1275</v>
      </c>
      <c r="B10" s="3374">
        <v>15</v>
      </c>
      <c r="C10" s="3377"/>
      <c r="D10" s="3365"/>
      <c r="E10" s="122" t="s">
        <v>1276</v>
      </c>
      <c r="F10" s="1626"/>
      <c r="G10" s="1626"/>
      <c r="H10" s="1626"/>
      <c r="I10" s="1280"/>
    </row>
    <row r="11" spans="1:12" ht="12.75">
      <c r="A11" s="3319"/>
      <c r="B11" s="3374"/>
      <c r="C11" s="3378"/>
      <c r="D11" s="3365"/>
      <c r="E11" s="122" t="s">
        <v>1277</v>
      </c>
      <c r="F11" s="1626"/>
      <c r="G11" s="1626"/>
      <c r="H11" s="1626"/>
      <c r="I11" s="1280"/>
    </row>
    <row r="12" spans="1:12" ht="12.75">
      <c r="A12" s="3319" t="s">
        <v>1278</v>
      </c>
      <c r="B12" s="3374">
        <v>15</v>
      </c>
      <c r="C12" s="3377"/>
      <c r="D12" s="3365"/>
      <c r="E12" s="122" t="s">
        <v>1279</v>
      </c>
      <c r="F12" s="1626"/>
      <c r="G12" s="1626"/>
      <c r="H12" s="1626"/>
      <c r="I12" s="1280"/>
    </row>
    <row r="13" spans="1:12" ht="12.75">
      <c r="A13" s="3319"/>
      <c r="B13" s="3374"/>
      <c r="C13" s="3378"/>
      <c r="D13" s="3365"/>
      <c r="E13" s="122" t="s">
        <v>1280</v>
      </c>
      <c r="F13" s="1626"/>
      <c r="G13" s="1626"/>
      <c r="H13" s="1626"/>
      <c r="I13" s="1280"/>
    </row>
    <row r="14" spans="1:12" ht="12.75">
      <c r="A14" s="3319" t="s">
        <v>1281</v>
      </c>
      <c r="B14" s="3374">
        <v>30</v>
      </c>
      <c r="C14" s="3377">
        <v>7</v>
      </c>
      <c r="D14" s="3365">
        <v>3</v>
      </c>
      <c r="E14" s="122" t="s">
        <v>1282</v>
      </c>
      <c r="F14" s="1626"/>
      <c r="G14" s="1626"/>
      <c r="H14" s="1626"/>
      <c r="I14" s="1280"/>
    </row>
    <row r="15" spans="1:12" ht="12.75">
      <c r="A15" s="3319"/>
      <c r="B15" s="3374"/>
      <c r="C15" s="3379"/>
      <c r="D15" s="3365"/>
      <c r="E15" s="122" t="s">
        <v>1283</v>
      </c>
      <c r="F15" s="1626"/>
      <c r="G15" s="1626"/>
      <c r="H15" s="1626"/>
      <c r="I15" s="1280"/>
    </row>
    <row r="16" spans="1:12" ht="12.75">
      <c r="A16" s="3319"/>
      <c r="B16" s="3374"/>
      <c r="C16" s="3378"/>
      <c r="D16" s="3365"/>
      <c r="E16" s="122" t="s">
        <v>1284</v>
      </c>
      <c r="F16" s="1626"/>
      <c r="G16" s="1626"/>
      <c r="H16" s="1626"/>
      <c r="I16" s="1280"/>
    </row>
    <row r="17" spans="1:36" ht="15">
      <c r="A17" s="1627" t="s">
        <v>1285</v>
      </c>
      <c r="B17" s="54"/>
      <c r="C17" s="123">
        <f>SUM(C5:C16)</f>
        <v>7</v>
      </c>
      <c r="D17" s="123">
        <f>SUM(D5:D16)</f>
        <v>3</v>
      </c>
      <c r="E17" s="120"/>
      <c r="F17" s="120"/>
      <c r="G17" s="120"/>
      <c r="H17" s="120"/>
      <c r="I17" s="120"/>
      <c r="K17" s="293"/>
      <c r="L17" s="293" t="s">
        <v>1286</v>
      </c>
      <c r="M17" s="293" t="s">
        <v>1287</v>
      </c>
    </row>
    <row r="18" spans="1:36" ht="31.9" customHeight="1" thickBot="1">
      <c r="A18" s="1628" t="s">
        <v>1288</v>
      </c>
      <c r="B18" s="1541"/>
      <c r="C18" s="124">
        <f>ROUND(C17/SUM(C17:D17),2)</f>
        <v>0.7</v>
      </c>
      <c r="D18" s="124">
        <f>1-C18</f>
        <v>0.30000000000000004</v>
      </c>
      <c r="E18" s="3396" t="s">
        <v>2131</v>
      </c>
      <c r="F18" s="3397"/>
      <c r="G18" s="3397"/>
      <c r="H18" s="3397"/>
      <c r="I18" s="3397"/>
      <c r="K18" s="293" t="s">
        <v>1289</v>
      </c>
      <c r="L18" s="293">
        <f>IF(C1="",'数据-汇总表'!E3,SUMIF(项目类型,C1,'数据-汇总表'!E17:E26)+SUMIF(项目类型,C1,'数据-汇总表'!I17:I26))</f>
        <v>52990.34</v>
      </c>
      <c r="M18" s="293">
        <f>IF(C1="",'数据-汇总表'!E3,SUMIF(项目类型,C1,'数据-汇总表'!E17:E26))</f>
        <v>52990.34</v>
      </c>
    </row>
    <row r="19" spans="1:36" ht="15">
      <c r="A19" s="1629" t="s">
        <v>1290</v>
      </c>
      <c r="B19" s="1630" t="s">
        <v>1291</v>
      </c>
      <c r="C19" s="125">
        <f ca="1">SUMIF(INDIRECT("'"&amp;C4&amp;"'"&amp;"!A:A"),结果表!B19,INDIRECT("'"&amp;C4&amp;"'"&amp;"!B:B"))</f>
        <v>222964</v>
      </c>
      <c r="D19" s="126">
        <f ca="1">SUMIF(INDIRECT("'"&amp;D4&amp;"'"&amp;"!A:A"),结果表!B19,INDIRECT("'"&amp;D4&amp;"'"&amp;"!B:B"))</f>
        <v>81401</v>
      </c>
      <c r="E19" s="1629" t="s">
        <v>1292</v>
      </c>
      <c r="F19" s="1630" t="s">
        <v>1291</v>
      </c>
      <c r="G19" s="127">
        <f ca="1">ROUND(C19*$C$18+D19*$D$18,0)</f>
        <v>180495</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2"/>
      <c r="B20" s="43" t="s">
        <v>1295</v>
      </c>
      <c r="C20" s="128">
        <f ca="1">SUMIF(INDIRECT("'"&amp;C4&amp;"'"&amp;"!A:A"),结果表!B20,INDIRECT("'"&amp;C4&amp;"'"&amp;"!B:B"))</f>
        <v>42076</v>
      </c>
      <c r="D20" s="129">
        <f ca="1">SUMIF(INDIRECT("'"&amp;D4&amp;"'"&amp;"!A:A"),结果表!B20,INDIRECT("'"&amp;D4&amp;"'"&amp;"!B:B"))</f>
        <v>15361</v>
      </c>
      <c r="E20" s="1632"/>
      <c r="F20" s="43" t="s">
        <v>1295</v>
      </c>
      <c r="G20" s="130">
        <f ca="1">ROUND(C20*$C$18+D20*$D$18,0)</f>
        <v>34062</v>
      </c>
      <c r="H20" s="759" t="s">
        <v>1296</v>
      </c>
      <c r="I20" s="120"/>
    </row>
    <row r="21" spans="1:36" ht="15" customHeight="1" thickBot="1">
      <c r="A21" s="448"/>
      <c r="B21" s="92" t="s">
        <v>1297</v>
      </c>
      <c r="C21" s="677" t="e">
        <f ca="1">ROUND(C19*10000/L19,0)</f>
        <v>#DIV/0!</v>
      </c>
      <c r="D21" s="678" t="e">
        <f ca="1">ROUND(D19*10000/L19,0)</f>
        <v>#DIV/0!</v>
      </c>
      <c r="E21" s="448"/>
      <c r="F21" s="92" t="s">
        <v>1297</v>
      </c>
      <c r="G21" s="131" t="e">
        <f ca="1">ROUND(G19*10000/L19,0)</f>
        <v>#DIV/0!</v>
      </c>
      <c r="H21" s="1633" t="s">
        <v>1296</v>
      </c>
      <c r="I21" s="120"/>
    </row>
    <row r="22" spans="1:36" ht="15" thickBot="1">
      <c r="A22" s="1563" t="s">
        <v>1298</v>
      </c>
      <c r="B22" s="1634"/>
      <c r="C22" s="1635"/>
      <c r="D22" s="679">
        <f ca="1">IF(C19&lt;D19,D19/C19-1,C19/D19-1)</f>
        <v>1.7390818294615547</v>
      </c>
      <c r="E22" s="120"/>
      <c r="F22" s="120"/>
      <c r="G22" s="120"/>
      <c r="H22" s="120"/>
      <c r="I22" s="120"/>
    </row>
    <row r="23" spans="1:36" ht="13.5" thickBot="1">
      <c r="A23" s="645"/>
      <c r="B23" s="645"/>
      <c r="C23" s="645"/>
      <c r="D23" s="645"/>
      <c r="E23" s="120"/>
      <c r="F23" s="120"/>
      <c r="G23" s="120"/>
      <c r="H23" s="120"/>
      <c r="I23" s="120"/>
    </row>
    <row r="24" spans="1:36" ht="14.25">
      <c r="A24" s="3389" t="s">
        <v>1299</v>
      </c>
      <c r="B24" s="1630" t="s">
        <v>1291</v>
      </c>
      <c r="C24" s="127">
        <f>IF(B30=0,0,D30)</f>
        <v>0</v>
      </c>
      <c r="D24" s="1636"/>
      <c r="E24" s="120"/>
      <c r="F24" s="120"/>
      <c r="G24" s="120"/>
      <c r="H24" s="120"/>
      <c r="I24" s="120"/>
    </row>
    <row r="25" spans="1:36" ht="14.25">
      <c r="A25" s="3390"/>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180495</v>
      </c>
      <c r="D32" s="1640" t="s">
        <v>4697</v>
      </c>
      <c r="E32" s="120"/>
      <c r="F32" s="120"/>
      <c r="G32" s="120"/>
      <c r="H32" s="120"/>
      <c r="I32" s="120"/>
    </row>
    <row r="33" spans="1:15" ht="15">
      <c r="A33" s="739" t="s">
        <v>1306</v>
      </c>
      <c r="B33" s="122"/>
      <c r="C33" s="1641" t="s">
        <v>4698</v>
      </c>
      <c r="D33" s="1642" t="s">
        <v>4618</v>
      </c>
      <c r="E33" s="1643" t="s">
        <v>1307</v>
      </c>
      <c r="F33" s="1644" t="str">
        <f>IF(D32="楼面单价","取值（单价）","取值（总价）")</f>
        <v>取值（总价）</v>
      </c>
      <c r="G33" s="120"/>
      <c r="H33" s="120"/>
      <c r="I33" s="120"/>
    </row>
    <row r="34" spans="1:15" ht="15">
      <c r="A34" s="1645"/>
      <c r="B34" s="1646" t="s">
        <v>1308</v>
      </c>
      <c r="C34" s="139">
        <f ca="1">IF(C33="自定义",F34,C32-C35)</f>
        <v>136815</v>
      </c>
      <c r="D34" s="807">
        <f ca="1">IF(C33="自定义",ROUND(C34/C32,3),IF(C33="收益比率",SUMIF(INDIRECT("'"&amp;D33&amp;"'"&amp;"!b:b"),"土地收益比率",INDIRECT("'"&amp;D33&amp;"'"&amp;"!c:c")),SUMIF(INDIRECT("'"&amp;D33&amp;"'"&amp;"!b:b"),"土地成本比率",INDIRECT("'"&amp;D33&amp;"'"&amp;"!c:c"))))</f>
        <v>0.75800000000000001</v>
      </c>
      <c r="E34" s="1647" t="s">
        <v>1309</v>
      </c>
      <c r="F34" s="1242"/>
      <c r="G34" s="120"/>
      <c r="H34" s="120"/>
      <c r="I34" s="120"/>
    </row>
    <row r="35" spans="1:15" ht="15.75" thickBot="1">
      <c r="A35" s="1648"/>
      <c r="B35" s="1649" t="s">
        <v>1310</v>
      </c>
      <c r="C35" s="1089">
        <f ca="1">IF(C33="自定义",F35,ROUND(C32*D35,0))</f>
        <v>43680</v>
      </c>
      <c r="D35" s="1090">
        <f ca="1">IF(C33="自定义",ROUND(C35/C32,3),IF(C33="收益比率",SUMIF(INDIRECT("'"&amp;D33&amp;"'"&amp;"!b:b"),"建筑物收益比率",INDIRECT("'"&amp;D33&amp;"'"&amp;"!c:c")),SUMIF(INDIRECT("'"&amp;D33&amp;"'"&amp;"!b:b"),"建筑物成本比率",INDIRECT("'"&amp;D33&amp;"'"&amp;"!c:c"))))</f>
        <v>0.24199999999999999</v>
      </c>
      <c r="E35" s="1650" t="s">
        <v>1311</v>
      </c>
      <c r="F35" s="145"/>
      <c r="G35" s="120"/>
      <c r="H35" s="120"/>
      <c r="I35" s="120"/>
    </row>
    <row r="36" spans="1:15" ht="15.75" thickBot="1">
      <c r="A36" s="3366" t="s">
        <v>1312</v>
      </c>
      <c r="B36" s="1651" t="s">
        <v>1313</v>
      </c>
      <c r="C36" s="136"/>
      <c r="D36" s="1652"/>
      <c r="E36" s="1566"/>
      <c r="F36" s="1653"/>
      <c r="G36" s="120"/>
      <c r="H36" s="120"/>
      <c r="I36" s="120"/>
    </row>
    <row r="37" spans="1:15" ht="15.75" thickBot="1">
      <c r="A37" s="3367"/>
      <c r="B37" s="1554" t="s">
        <v>1314</v>
      </c>
      <c r="C37" s="138"/>
      <c r="D37" s="1070"/>
      <c r="E37" s="1070"/>
      <c r="F37" s="1653"/>
      <c r="G37" s="120"/>
      <c r="H37" s="120"/>
      <c r="I37" s="120"/>
    </row>
    <row r="38" spans="1:15" ht="15.75" thickBot="1">
      <c r="A38" s="3368"/>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86" t="s">
        <v>1326</v>
      </c>
      <c r="B45" s="3387"/>
      <c r="C45" s="3388"/>
      <c r="D45" s="146">
        <f ca="1">ROUND(H101*F45,0)</f>
        <v>180495</v>
      </c>
      <c r="E45" s="147" t="s">
        <v>1327</v>
      </c>
      <c r="F45" s="148">
        <v>1</v>
      </c>
      <c r="G45" s="149" t="s">
        <v>1328</v>
      </c>
      <c r="H45" s="120"/>
      <c r="I45" s="120"/>
      <c r="J45" s="3306" t="s">
        <v>1329</v>
      </c>
      <c r="K45" s="3306"/>
      <c r="L45" s="3306"/>
      <c r="M45" s="3306"/>
      <c r="N45" s="3306"/>
      <c r="O45" s="3306"/>
    </row>
    <row r="46" spans="1:15" ht="14.25" customHeight="1">
      <c r="A46" s="3383" t="s">
        <v>1330</v>
      </c>
      <c r="B46" s="3384"/>
      <c r="C46" s="3384"/>
      <c r="D46" s="3384"/>
      <c r="E46" s="3384"/>
      <c r="F46" s="3384"/>
      <c r="G46" s="3385"/>
      <c r="H46" s="1667"/>
      <c r="I46" s="150"/>
      <c r="J46" s="2309">
        <v>1</v>
      </c>
      <c r="K46" s="3307" t="s">
        <v>1331</v>
      </c>
      <c r="L46" s="3307"/>
      <c r="M46" s="3308"/>
      <c r="N46" s="3308"/>
      <c r="O46" s="3308"/>
    </row>
    <row r="47" spans="1:15" ht="12" customHeight="1">
      <c r="A47" s="151" t="s">
        <v>1332</v>
      </c>
      <c r="B47" s="152"/>
      <c r="C47" s="153"/>
      <c r="D47" s="1023" t="s">
        <v>1333</v>
      </c>
      <c r="E47" s="293" t="s">
        <v>1334</v>
      </c>
      <c r="F47" s="154" t="s">
        <v>1335</v>
      </c>
      <c r="G47" s="2332" t="s">
        <v>1336</v>
      </c>
      <c r="H47" s="2333"/>
      <c r="I47" s="150"/>
      <c r="J47" s="2309">
        <v>2</v>
      </c>
      <c r="K47" s="3307" t="s">
        <v>1337</v>
      </c>
      <c r="L47" s="3307"/>
      <c r="M47" s="3309">
        <f>'数据-取费表'!B2</f>
        <v>45862</v>
      </c>
      <c r="N47" s="3309"/>
      <c r="O47" s="3309"/>
    </row>
    <row r="48" spans="1:15" ht="25.5">
      <c r="A48" s="3369" t="s">
        <v>1338</v>
      </c>
      <c r="B48" s="3370"/>
      <c r="C48" s="3370"/>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307" t="s">
        <v>1340</v>
      </c>
      <c r="L48" s="3307"/>
      <c r="M48" s="3310">
        <f ca="1">H101</f>
        <v>180495</v>
      </c>
      <c r="N48" s="3310"/>
      <c r="O48" s="3310"/>
    </row>
    <row r="49" spans="1:35" ht="25.5" customHeight="1">
      <c r="A49" s="2151" t="s">
        <v>1341</v>
      </c>
      <c r="B49" s="3355" t="s">
        <v>1342</v>
      </c>
      <c r="C49" s="3355"/>
      <c r="D49" s="1477">
        <v>0</v>
      </c>
      <c r="E49" s="315" t="s">
        <v>1343</v>
      </c>
      <c r="F49" s="2232" t="s">
        <v>28</v>
      </c>
      <c r="G49" s="3338"/>
      <c r="H49" s="2133" t="s">
        <v>2134</v>
      </c>
      <c r="I49" s="2134"/>
      <c r="J49" s="2309">
        <v>4</v>
      </c>
      <c r="K49" s="3307" t="str">
        <f>IF(项目基本情况!E8="房地产抵押价值","房地产抵押价值","抵押担保权已注销时的房地产抵押价值")</f>
        <v>房地产抵押价值</v>
      </c>
      <c r="L49" s="3307"/>
      <c r="M49" s="3310">
        <f ca="1">IF(项目基本情况!E8="房地产抵押价值",H107,H109)</f>
        <v>180495</v>
      </c>
      <c r="N49" s="3310"/>
      <c r="O49" s="3310"/>
    </row>
    <row r="50" spans="1:35" ht="25.5" customHeight="1">
      <c r="A50" s="2337"/>
      <c r="B50" s="3355" t="s">
        <v>1344</v>
      </c>
      <c r="C50" s="3355"/>
      <c r="D50" s="2188"/>
      <c r="E50" s="322"/>
      <c r="F50" s="2232"/>
      <c r="G50" s="3339"/>
      <c r="H50" s="2135" t="s">
        <v>2135</v>
      </c>
      <c r="I50" s="2134"/>
      <c r="J50" s="3306" t="s">
        <v>1345</v>
      </c>
      <c r="K50" s="3306"/>
      <c r="L50" s="3306"/>
      <c r="M50" s="3306"/>
      <c r="N50" s="3306"/>
      <c r="O50" s="3306"/>
    </row>
    <row r="51" spans="1:35" ht="20.45" customHeight="1">
      <c r="A51" s="2338"/>
      <c r="B51" s="3355" t="s">
        <v>1346</v>
      </c>
      <c r="C51" s="3355"/>
      <c r="D51" s="1023"/>
      <c r="E51" s="318"/>
      <c r="F51" s="2232"/>
      <c r="G51" s="3340"/>
      <c r="H51" s="2135" t="s">
        <v>2136</v>
      </c>
      <c r="I51" s="2134"/>
      <c r="J51" s="2310" t="s">
        <v>1347</v>
      </c>
      <c r="K51" s="3307" t="s">
        <v>1348</v>
      </c>
      <c r="L51" s="3307"/>
      <c r="M51" s="2310" t="s">
        <v>1349</v>
      </c>
      <c r="N51" s="2310" t="s">
        <v>1350</v>
      </c>
      <c r="O51" s="2310" t="s">
        <v>1351</v>
      </c>
    </row>
    <row r="52" spans="1:35" ht="24" customHeight="1">
      <c r="A52" s="2152" t="s">
        <v>1352</v>
      </c>
      <c r="B52" s="3355" t="s">
        <v>1353</v>
      </c>
      <c r="C52" s="3355"/>
      <c r="D52" s="1023">
        <f ca="1">ROUND(D45*'数据-取费表'!B41/(1+'数据-取费表'!C42),0)</f>
        <v>9626</v>
      </c>
      <c r="E52" s="1255" t="s">
        <v>1354</v>
      </c>
      <c r="F52" s="2339">
        <f>'数据-取费表'!B41</f>
        <v>5.6000000000000001E-2</v>
      </c>
      <c r="G52" s="2340"/>
      <c r="H52" s="2330"/>
      <c r="I52" s="1668"/>
      <c r="J52" s="2309">
        <v>1</v>
      </c>
      <c r="K52" s="3332" t="s">
        <v>1355</v>
      </c>
      <c r="L52" s="3332"/>
      <c r="M52" s="2311" t="b">
        <f>D48</f>
        <v>0</v>
      </c>
      <c r="N52" s="2309" t="str">
        <f>E48</f>
        <v>销售额×税（费）率</v>
      </c>
      <c r="O52" s="2312">
        <f>F48</f>
        <v>5.6000000000000001E-2</v>
      </c>
    </row>
    <row r="53" spans="1:35" ht="12" customHeight="1">
      <c r="A53" s="2152" t="s">
        <v>1356</v>
      </c>
      <c r="B53" s="3356" t="s">
        <v>2282</v>
      </c>
      <c r="C53" s="3357"/>
      <c r="D53" s="1023">
        <f ca="1">ROUND(D45*'数据-取费表'!B41/(1+'数据-取费表'!C42),0)</f>
        <v>9626</v>
      </c>
      <c r="E53" s="1255" t="s">
        <v>1354</v>
      </c>
      <c r="F53" s="2339">
        <f>'数据-取费表'!B41</f>
        <v>5.6000000000000001E-2</v>
      </c>
      <c r="G53" s="2340"/>
      <c r="H53" s="2330"/>
      <c r="I53" s="1668"/>
      <c r="J53" s="2309">
        <v>2</v>
      </c>
      <c r="K53" s="3332" t="s">
        <v>1357</v>
      </c>
      <c r="L53" s="3332"/>
      <c r="M53" s="2311">
        <f t="shared" ref="M53:O54" ca="1" si="0">D55</f>
        <v>90</v>
      </c>
      <c r="N53" s="2309" t="str">
        <f t="shared" si="0"/>
        <v>销售额×税（费）率</v>
      </c>
      <c r="O53" s="2312" t="str">
        <f t="shared" si="0"/>
        <v>免征</v>
      </c>
    </row>
    <row r="54" spans="1:35" ht="12" customHeight="1">
      <c r="A54" s="2152" t="s">
        <v>1358</v>
      </c>
      <c r="B54" s="3356" t="s">
        <v>2283</v>
      </c>
      <c r="C54" s="3357"/>
      <c r="D54" s="1023">
        <f ca="1">C68</f>
        <v>9626</v>
      </c>
      <c r="E54" s="318" t="s">
        <v>1359</v>
      </c>
      <c r="F54" s="2339">
        <f>'数据-取费表'!B41</f>
        <v>5.6000000000000001E-2</v>
      </c>
      <c r="G54" s="2340"/>
      <c r="H54" s="2341"/>
      <c r="I54" s="1668"/>
      <c r="J54" s="2309">
        <v>3</v>
      </c>
      <c r="K54" s="3332" t="s">
        <v>1360</v>
      </c>
      <c r="L54" s="3332"/>
      <c r="M54" s="2311">
        <f t="shared" ca="1" si="0"/>
        <v>102161</v>
      </c>
      <c r="N54" s="2309" t="str">
        <f t="shared" si="0"/>
        <v>增值额×税（费）率</v>
      </c>
      <c r="O54" s="2313" t="str">
        <f t="shared" si="0"/>
        <v>免征</v>
      </c>
    </row>
    <row r="55" spans="1:35" ht="24" customHeight="1">
      <c r="A55" s="3392" t="s">
        <v>1361</v>
      </c>
      <c r="B55" s="3370"/>
      <c r="C55" s="3370"/>
      <c r="D55" s="12">
        <f ca="1">IF(H55="个人住宅",0,ROUND(D45*I55,0))</f>
        <v>90</v>
      </c>
      <c r="E55" s="1255" t="s">
        <v>1362</v>
      </c>
      <c r="F55" s="2339" t="str">
        <f>IF(H55="正常",I55,"免征")</f>
        <v>免征</v>
      </c>
      <c r="G55" s="2340"/>
      <c r="H55" s="2336"/>
      <c r="I55" s="156">
        <f>'数据-取费表'!B49</f>
        <v>5.0000000000000001E-4</v>
      </c>
      <c r="J55" s="2309">
        <f>IF(H59="非个人房产","",4)</f>
        <v>4</v>
      </c>
      <c r="K55" s="3332" t="str">
        <f>IF(H59="非个人房产","——","个人所得税")</f>
        <v>个人所得税</v>
      </c>
      <c r="L55" s="3332"/>
      <c r="M55" s="2314">
        <f ca="1">D59</f>
        <v>1719</v>
      </c>
      <c r="N55" s="1882" t="str">
        <f>E59</f>
        <v>差额计税</v>
      </c>
      <c r="O55" s="2315">
        <f>F59</f>
        <v>0.01</v>
      </c>
    </row>
    <row r="56" spans="1:35" ht="24.75">
      <c r="A56" s="3392" t="s">
        <v>1363</v>
      </c>
      <c r="B56" s="3370"/>
      <c r="C56" s="3370"/>
      <c r="D56" s="12">
        <f ca="1">IF(H56="个人住宅",D57,D58)</f>
        <v>102161</v>
      </c>
      <c r="E56" s="1255" t="s">
        <v>1364</v>
      </c>
      <c r="F56" s="2339" t="str">
        <f>IF(H56="正常",F58,"免征")</f>
        <v>免征</v>
      </c>
      <c r="G56" s="2342" t="s">
        <v>1365</v>
      </c>
      <c r="H56" s="2343"/>
      <c r="I56" s="1669"/>
      <c r="J56" s="2309" t="str">
        <f>IF(项目基本情况!K6="上海银行",IF(J55="",4,J55+1),"")</f>
        <v/>
      </c>
      <c r="K56" s="3313" t="str">
        <f>IF(项目基本情况!K6="上海银行","其他处置费用","")</f>
        <v/>
      </c>
      <c r="L56" s="3314"/>
      <c r="M56" s="2311" t="str">
        <f>IF(项目基本情况!K6="上海银行",M69,"")</f>
        <v/>
      </c>
      <c r="N56" s="3313" t="str">
        <f>IF(项目基本情况!K6="上海银行","包含处置中涉及的律师、诉讼、拍卖、评估等费用","")</f>
        <v/>
      </c>
      <c r="O56" s="3316"/>
    </row>
    <row r="57" spans="1:35" ht="12.75">
      <c r="A57" s="2152" t="s">
        <v>1341</v>
      </c>
      <c r="B57" s="3356" t="s">
        <v>1366</v>
      </c>
      <c r="C57" s="3357"/>
      <c r="D57" s="1477">
        <v>0</v>
      </c>
      <c r="E57" s="315" t="s">
        <v>1343</v>
      </c>
      <c r="F57" s="293"/>
      <c r="G57" s="2340"/>
      <c r="H57" s="2344"/>
      <c r="I57" s="1669"/>
      <c r="J57" s="3332">
        <f>IF(AND(J55="",J56=""),4,IF(项目基本情况!K6="上海银行",结果表!J56+1,结果表!J55+1))</f>
        <v>5</v>
      </c>
      <c r="K57" s="3332" t="s">
        <v>1367</v>
      </c>
      <c r="L57" s="2316" t="s">
        <v>1368</v>
      </c>
      <c r="M57" s="2317"/>
      <c r="N57" s="2318">
        <f ca="1">SUMIF(M52:M56,"&lt;9e307")</f>
        <v>103970</v>
      </c>
      <c r="O57" s="2319"/>
      <c r="P57" s="2464">
        <f ca="1">N57/M49</f>
        <v>0.57602703676002109</v>
      </c>
    </row>
    <row r="58" spans="1:35" ht="24.75">
      <c r="A58" s="2152" t="s">
        <v>1352</v>
      </c>
      <c r="B58" s="3356" t="s">
        <v>1369</v>
      </c>
      <c r="C58" s="3355"/>
      <c r="D58" s="12">
        <f ca="1">IF(H58="转让取得",C81,C97)</f>
        <v>102161</v>
      </c>
      <c r="E58" s="1255" t="s">
        <v>1364</v>
      </c>
      <c r="F58" s="293" t="s">
        <v>28</v>
      </c>
      <c r="G58" s="2340"/>
      <c r="H58" s="2343"/>
      <c r="I58" s="1669"/>
      <c r="J58" s="3332"/>
      <c r="K58" s="3332"/>
      <c r="L58" s="2316" t="s">
        <v>1370</v>
      </c>
      <c r="M58" s="2320"/>
      <c r="N58" s="2321" t="str">
        <f ca="1">NUMBERSTRING(INT(N57*10000),2)&amp;"元整"</f>
        <v>壹拾亿叁仟玖佰柒拾万元整</v>
      </c>
      <c r="O58" s="2322"/>
    </row>
    <row r="59" spans="1:35" ht="24.75" thickBot="1">
      <c r="A59" s="3336" t="s">
        <v>1371</v>
      </c>
      <c r="B59" s="3337"/>
      <c r="C59" s="3337"/>
      <c r="D59" s="2345">
        <f ca="1">IF(H59="非个人房产","——",IF(H59="个人住宅（满五唯一有凭证）",0,IF(H59="个人其他（无凭证）",ROUND(D45*F59,0),ROUND(C67*F59,0))))</f>
        <v>1719</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34">
        <f>J57+1</f>
        <v>6</v>
      </c>
      <c r="K59" s="3332" t="s">
        <v>1372</v>
      </c>
      <c r="L59" s="2309" t="s">
        <v>1368</v>
      </c>
      <c r="M59" s="2323"/>
      <c r="N59" s="2324">
        <f ca="1">M49-N57</f>
        <v>76525</v>
      </c>
      <c r="O59" s="2325"/>
    </row>
    <row r="60" spans="1:35" ht="12" customHeight="1">
      <c r="A60" s="1670"/>
      <c r="B60" s="645"/>
      <c r="C60" s="645"/>
      <c r="D60" s="645"/>
      <c r="E60" s="1465"/>
      <c r="F60" s="1669"/>
      <c r="G60" s="1669"/>
      <c r="H60" s="150"/>
      <c r="I60" s="120"/>
      <c r="J60" s="3335"/>
      <c r="K60" s="3332"/>
      <c r="L60" s="2316" t="s">
        <v>1370</v>
      </c>
      <c r="M60" s="2320"/>
      <c r="N60" s="2321" t="str">
        <f ca="1">NUMBERSTRING(INT(N59*10000),2)&amp;"元整"</f>
        <v>柒亿陆仟伍佰贰拾伍万元整</v>
      </c>
      <c r="O60" s="2322"/>
    </row>
    <row r="61" spans="1:35" ht="13.5" thickBot="1">
      <c r="A61" s="3391" t="s">
        <v>1373</v>
      </c>
      <c r="B61" s="3391"/>
      <c r="C61" s="3391"/>
      <c r="D61" s="3391"/>
      <c r="E61" s="3391"/>
      <c r="F61" s="1669"/>
      <c r="G61" s="1669"/>
      <c r="H61" s="150"/>
      <c r="I61" s="120"/>
      <c r="J61" s="2309">
        <f>J59+1</f>
        <v>7</v>
      </c>
      <c r="K61" s="3332" t="s">
        <v>1374</v>
      </c>
      <c r="L61" s="3332"/>
      <c r="M61" s="2326"/>
      <c r="N61" s="2327">
        <f ca="1">ROUND(N59*10000/'数据-汇总表'!E3,0)</f>
        <v>14441</v>
      </c>
      <c r="O61" s="2328"/>
    </row>
    <row r="62" spans="1:35" ht="12.75">
      <c r="A62" s="3351" t="s">
        <v>1375</v>
      </c>
      <c r="B62" s="3352"/>
      <c r="C62" s="1864"/>
      <c r="D62" s="1864" t="s">
        <v>1376</v>
      </c>
      <c r="E62" s="157" t="s">
        <v>1377</v>
      </c>
      <c r="F62" s="1669"/>
      <c r="G62" s="1669"/>
      <c r="H62" s="150"/>
      <c r="I62" s="120"/>
    </row>
    <row r="63" spans="1:35" ht="12.75">
      <c r="A63" s="164" t="s">
        <v>330</v>
      </c>
      <c r="B63" s="158" t="s">
        <v>1378</v>
      </c>
      <c r="C63" s="2349">
        <f ca="1">ROUND((C64+C65)/(1+'数据-取费表'!C42),0)</f>
        <v>171900</v>
      </c>
      <c r="D63" s="158"/>
      <c r="E63" s="159"/>
      <c r="F63" s="1669"/>
      <c r="G63" s="1669"/>
      <c r="H63" s="150"/>
      <c r="I63" s="120"/>
      <c r="J63" s="3315" t="s">
        <v>1379</v>
      </c>
      <c r="K63" s="1244" t="s">
        <v>1380</v>
      </c>
      <c r="L63" s="1244">
        <f ca="1">IF(M49&gt;10000,M49*0.5%,IF(AND(M49&gt;1000,M49&lt;=10000),M49*1%,IF(AND(M49&gt;100,M49&lt;=1000),M49*3%,IF(AND(M49&gt;10,M49&lt;=100),M49*5%,M49*8%))))</f>
        <v>902.47500000000002</v>
      </c>
      <c r="M63" s="293">
        <f ca="1">ROUND(L63,1)</f>
        <v>902.5</v>
      </c>
      <c r="N63" s="2329"/>
      <c r="Z63" s="1622"/>
      <c r="AI63" s="1560"/>
    </row>
    <row r="64" spans="1:35" ht="14.25" customHeight="1">
      <c r="A64" s="160" t="s">
        <v>325</v>
      </c>
      <c r="B64" s="161" t="s">
        <v>1381</v>
      </c>
      <c r="C64" s="2350">
        <f ca="1">D45</f>
        <v>180495</v>
      </c>
      <c r="D64" s="161" t="s">
        <v>26</v>
      </c>
      <c r="E64" s="163"/>
      <c r="F64" s="1669"/>
      <c r="G64" s="1669"/>
      <c r="H64" s="150"/>
      <c r="I64" s="120"/>
      <c r="J64" s="3315"/>
      <c r="K64" s="1244" t="s">
        <v>1382</v>
      </c>
      <c r="L64" s="1244">
        <f ca="1">IF(M49&gt;2000,M49*0.5%,IF(AND(M49&gt;1000,M49&lt;=2000),M49*0.6%,IF(AND(M49&gt;500,M49&lt;=1000),M49*0.7%,IF(AND(M49&gt;200,M49&lt;=500),M49*0.8%,IF(AND(M49&gt;100,M49&lt;=200),M49*0.9%,IF(AND(M49&gt;50,M49&lt;=100),M49*1%,IF(AND(M49&gt;20,M49&lt;=50),M49*1.5%,IF(AND(M49&gt;10,M49&lt;=20),M49*2%,IF(AND(M49&gt;1,M49&lt;=10),M49*2.5%)))))))))</f>
        <v>902.47500000000002</v>
      </c>
      <c r="M64" s="293">
        <f t="shared" ref="M64:M65" ca="1" si="1">ROUND(L64,1)</f>
        <v>902.5</v>
      </c>
      <c r="N64" s="2330" t="s">
        <v>1383</v>
      </c>
      <c r="Z64" s="1622"/>
      <c r="AI64" s="1560"/>
    </row>
    <row r="65" spans="1:35" ht="14.25" customHeight="1">
      <c r="A65" s="160" t="s">
        <v>326</v>
      </c>
      <c r="B65" s="161" t="s">
        <v>1384</v>
      </c>
      <c r="C65" s="2351"/>
      <c r="D65" s="161"/>
      <c r="E65" s="163"/>
      <c r="F65" s="1669"/>
      <c r="G65" s="1669"/>
      <c r="H65" s="150"/>
      <c r="I65" s="120"/>
      <c r="J65" s="3315"/>
      <c r="K65" s="1244" t="s">
        <v>1385</v>
      </c>
      <c r="L65" s="1244">
        <f ca="1">IF(M49&gt;1000,M49*0.1%,IF(AND(M49&gt;500,M49&lt;=1000),M49*0.5%,IF(AND(M49&gt;50,M49&lt;=500),M49*1%,IF(AND(M49&gt;1,M49&lt;=50),M49*1.5%))))</f>
        <v>180.495</v>
      </c>
      <c r="M65" s="293">
        <f t="shared" ca="1" si="1"/>
        <v>180.5</v>
      </c>
      <c r="N65" s="2330" t="s">
        <v>1383</v>
      </c>
      <c r="Z65" s="1622"/>
      <c r="AI65" s="1560"/>
    </row>
    <row r="66" spans="1:35" ht="14.25" customHeight="1">
      <c r="A66" s="164" t="s">
        <v>327</v>
      </c>
      <c r="B66" s="165" t="s">
        <v>1386</v>
      </c>
      <c r="C66" s="2352"/>
      <c r="D66" s="165" t="s">
        <v>26</v>
      </c>
      <c r="E66" s="1250" t="s">
        <v>671</v>
      </c>
      <c r="F66" s="1669"/>
      <c r="G66" s="1669"/>
      <c r="H66" s="150"/>
      <c r="I66" s="120"/>
      <c r="J66" s="3315"/>
      <c r="K66" s="1244" t="s">
        <v>1387</v>
      </c>
      <c r="L66" s="1244">
        <f ca="1">M49*0.5%</f>
        <v>902.47500000000002</v>
      </c>
      <c r="M66" s="293">
        <f ca="1">IF(L66&gt;0.5,0.5,ROUND(L66,0))</f>
        <v>0.5</v>
      </c>
      <c r="N66" s="2330" t="s">
        <v>1388</v>
      </c>
      <c r="Z66" s="1622"/>
      <c r="AI66" s="1560"/>
    </row>
    <row r="67" spans="1:35" ht="14.25" customHeight="1">
      <c r="A67" s="164" t="s">
        <v>328</v>
      </c>
      <c r="B67" s="165" t="s">
        <v>1389</v>
      </c>
      <c r="C67" s="2353">
        <f ca="1">C63-C66</f>
        <v>171900</v>
      </c>
      <c r="D67" s="161" t="s">
        <v>26</v>
      </c>
      <c r="E67" s="163"/>
      <c r="F67" s="1669"/>
      <c r="G67" s="1669"/>
      <c r="H67" s="150"/>
      <c r="I67" s="120"/>
      <c r="J67" s="3315"/>
      <c r="K67" s="1244" t="s">
        <v>1390</v>
      </c>
      <c r="L67" s="1244">
        <f ca="1">IF(M49&gt;=10000,(8.25+(M49-10000)*0.01%),IF(AND(M49&gt;=8000,M49&lt;10000),(7.85+(M49-8000)*0.02%),IF(AND(M49&gt;=5000,M49&lt;8000),(6.65+(M49-5000)*0.04%),IF(AND(M49&gt;=2000,M49&lt;5000),(4.25+(PM49-2000)*0.08%),IF(AND(M49&gt;=1000,M49&lt;2000),(2.75+(M49-1000)*0.15%),IF(AND(M49&gt;=100,M49&lt;1000),(0.5+(M49-100)*0.25%),IF(AND(M49&gt;0,M49&lt;100),M49*0.5%)))))))</f>
        <v>25.299500000000002</v>
      </c>
      <c r="M67" s="293">
        <f ca="1">ROUND(L67*0.9,1)</f>
        <v>22.8</v>
      </c>
      <c r="N67" s="2329"/>
      <c r="Z67" s="1622"/>
      <c r="AI67" s="1560"/>
    </row>
    <row r="68" spans="1:35" ht="14.25" customHeight="1" thickBot="1">
      <c r="A68" s="167" t="s">
        <v>329</v>
      </c>
      <c r="B68" s="168" t="s">
        <v>1391</v>
      </c>
      <c r="C68" s="2354">
        <f ca="1">IF(C67&lt;=0,0,ROUND(C67*D68,0))</f>
        <v>9626</v>
      </c>
      <c r="D68" s="2355">
        <f>'数据-取费表'!B41</f>
        <v>5.6000000000000001E-2</v>
      </c>
      <c r="E68" s="169"/>
      <c r="F68" s="1669"/>
      <c r="G68" s="1669"/>
      <c r="H68" s="150"/>
      <c r="I68" s="120"/>
      <c r="J68" s="3315"/>
      <c r="K68" s="1244" t="s">
        <v>1392</v>
      </c>
      <c r="L68" s="1244">
        <f ca="1">IF(M49&gt;10000,M49*0.5%,IF(AND(M49&gt;5000,M49&lt;=10000),M49*1%,IF(AND(M49&gt;1000,M49&lt;=5000),M49*2%,IF(AND(M49&gt;200,M49&lt;=1000),M49*3%,M49*5%))))</f>
        <v>902.47500000000002</v>
      </c>
      <c r="M68" s="293">
        <f ca="1">ROUND(L68,1)</f>
        <v>902.5</v>
      </c>
      <c r="N68" s="2329"/>
      <c r="Z68" s="1622"/>
      <c r="AI68" s="1560"/>
    </row>
    <row r="69" spans="1:35" ht="16.5" customHeight="1">
      <c r="A69" s="1671"/>
      <c r="B69" s="1672"/>
      <c r="C69" s="1673"/>
      <c r="D69" s="1674"/>
      <c r="E69" s="1675"/>
      <c r="F69" s="1465"/>
      <c r="G69" s="1465"/>
      <c r="H69" s="1466"/>
      <c r="I69" s="645"/>
      <c r="J69" s="3315"/>
      <c r="K69" s="1244" t="s">
        <v>1393</v>
      </c>
      <c r="L69" s="1244"/>
      <c r="M69" s="293">
        <f ca="1">ROUND(SUM(M63:M68),0)</f>
        <v>2911</v>
      </c>
      <c r="N69" s="2331">
        <f ca="1">M69/M49</f>
        <v>1.6127870578132357E-2</v>
      </c>
      <c r="Z69" s="1622"/>
      <c r="AI69" s="1560"/>
    </row>
    <row r="70" spans="1:35" s="641" customFormat="1" ht="15" thickBot="1">
      <c r="A70" s="3359" t="s">
        <v>1394</v>
      </c>
      <c r="B70" s="3360"/>
      <c r="C70" s="3360"/>
      <c r="D70" s="3360"/>
      <c r="E70" s="3360"/>
      <c r="F70" s="3360"/>
      <c r="G70" s="3360"/>
      <c r="H70" s="3360"/>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51" t="s">
        <v>1375</v>
      </c>
      <c r="B71" s="3352"/>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f ca="1">ROUND(D45/(1+'数据-取费表'!C42),0)</f>
        <v>171900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f ca="1">C74+C78</f>
        <v>1031</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56" t="s">
        <v>1402</v>
      </c>
      <c r="F76" s="3355"/>
      <c r="G76" s="3355"/>
      <c r="H76" s="335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1031</v>
      </c>
      <c r="D78" s="2362">
        <f>'数据-取费表'!B43</f>
        <v>6.000000000000001E-3</v>
      </c>
      <c r="E78" s="3348" t="s">
        <v>1406</v>
      </c>
      <c r="F78" s="3349"/>
      <c r="G78" s="3349"/>
      <c r="H78" s="335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f ca="1">C72-C73</f>
        <v>170869</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f ca="1">IF(C79&lt;=0,0,C79/C73)</f>
        <v>165.7313288069835</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f ca="1">ROUND(IF(C79&lt;=0,0,IF(C80&gt;=200%,C79*60%-C73*35%,IF(C80&gt;=100%,C79*50%-C73*15%,IF(C80&gt;=50%,C79*40%-C73*5%,IF(C80&lt;50%,C79*30%,0))))),0)</f>
        <v>102161</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59" t="s">
        <v>1410</v>
      </c>
      <c r="B83" s="3360"/>
      <c r="C83" s="3360"/>
      <c r="D83" s="3360"/>
      <c r="E83" s="3360"/>
      <c r="F83" s="3360"/>
      <c r="G83" s="3360"/>
      <c r="H83" s="336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51" t="s">
        <v>1375</v>
      </c>
      <c r="B84" s="3352"/>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f ca="1">ROUND(D45/(1+'数据-取费表'!C42),0)</f>
        <v>171900</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f ca="1">IF(H88="仅含出让金",C87+C90+C91+C92+C93+C94,C87+C91+C92+C93+C94)</f>
        <v>1031</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c r="D88" s="2362"/>
      <c r="E88" s="184" t="s">
        <v>1413</v>
      </c>
      <c r="F88" s="2147"/>
      <c r="G88" s="185"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317" t="s">
        <v>2129</v>
      </c>
      <c r="H90" s="3318"/>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348" t="s">
        <v>1419</v>
      </c>
      <c r="F91" s="3349"/>
      <c r="G91" s="334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348" t="s">
        <v>1422</v>
      </c>
      <c r="F92" s="3349"/>
      <c r="G92" s="3349"/>
      <c r="H92" s="3350"/>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1031</v>
      </c>
      <c r="D93" s="2362">
        <f>'数据-取费表'!B43</f>
        <v>6.000000000000001E-3</v>
      </c>
      <c r="E93" s="3348" t="s">
        <v>1406</v>
      </c>
      <c r="F93" s="3349"/>
      <c r="G93" s="3349"/>
      <c r="H93" s="335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393" t="s">
        <v>1426</v>
      </c>
      <c r="F94" s="3394"/>
      <c r="G94" s="3394"/>
      <c r="H94" s="339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f ca="1">ROUND(C85-C86,0)</f>
        <v>170869</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f ca="1">IF(C95&lt;=0,0,C95/C86)</f>
        <v>165.7313288069835</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f ca="1">ROUND(IF(C95&lt;=0,0,IF(C96&gt;=200%,C95*60%-C86*35%,IF(C96&gt;=100%,C95*50%-C86*15%,IF(C96&gt;=50%,C95*40%-C86*5%,IF(C96&lt;50%,C95*30%,0))))),0)</f>
        <v>102161</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98" t="s">
        <v>1428</v>
      </c>
      <c r="B100" s="3299"/>
      <c r="C100" s="3299"/>
      <c r="D100" s="3333"/>
      <c r="E100" s="3299" t="s">
        <v>1429</v>
      </c>
      <c r="F100" s="3299"/>
      <c r="G100" s="3299"/>
      <c r="H100" s="3333"/>
      <c r="I100" s="120"/>
    </row>
    <row r="101" spans="1:35" ht="18.75" customHeight="1">
      <c r="A101" s="3341" t="s">
        <v>1430</v>
      </c>
      <c r="B101" s="3342"/>
      <c r="C101" s="2370" t="str">
        <f>C4</f>
        <v>成本法</v>
      </c>
      <c r="D101" s="2371" t="str">
        <f>D4</f>
        <v>收益法-酒店模型</v>
      </c>
      <c r="E101" s="3311" t="s">
        <v>1431</v>
      </c>
      <c r="F101" s="3312"/>
      <c r="G101" s="1686" t="s">
        <v>1432</v>
      </c>
      <c r="H101" s="2380">
        <f ca="1">H118</f>
        <v>180495</v>
      </c>
      <c r="I101" s="120"/>
    </row>
    <row r="102" spans="1:35" ht="18.75" customHeight="1">
      <c r="A102" s="3343" t="s">
        <v>1433</v>
      </c>
      <c r="B102" s="2369" t="s">
        <v>1432</v>
      </c>
      <c r="C102" s="2370">
        <f ca="1">IF(D32="楼面单价",ROUND(C19,0),C19)</f>
        <v>222964</v>
      </c>
      <c r="D102" s="2371">
        <f ca="1">IF(D32="楼面单价",ROUND(D19,0),D19)</f>
        <v>81401</v>
      </c>
      <c r="E102" s="3311"/>
      <c r="F102" s="3312"/>
      <c r="G102" s="1686" t="s">
        <v>1434</v>
      </c>
      <c r="H102" s="2340">
        <f ca="1">I118</f>
        <v>34062</v>
      </c>
      <c r="I102" s="120"/>
    </row>
    <row r="103" spans="1:35" ht="42.75" customHeight="1">
      <c r="A103" s="3343"/>
      <c r="B103" s="2369" t="s">
        <v>1434</v>
      </c>
      <c r="C103" s="2372">
        <f ca="1">C20</f>
        <v>42076</v>
      </c>
      <c r="D103" s="2373">
        <f ca="1">D20</f>
        <v>15361</v>
      </c>
      <c r="E103" s="3304" t="s">
        <v>1435</v>
      </c>
      <c r="F103" s="3305"/>
      <c r="G103" s="1687" t="s">
        <v>1436</v>
      </c>
      <c r="H103" s="2380">
        <f>IF(D36="正常操作",H104+H105+H106,H105+H106)</f>
        <v>0</v>
      </c>
      <c r="I103" s="120"/>
    </row>
    <row r="104" spans="1:35" ht="18.75" customHeight="1">
      <c r="A104" s="3343" t="s">
        <v>1437</v>
      </c>
      <c r="B104" s="2374" t="s">
        <v>1432</v>
      </c>
      <c r="C104" s="2375">
        <f ca="1">H118</f>
        <v>180495</v>
      </c>
      <c r="D104" s="2376"/>
      <c r="E104" s="1554" t="s">
        <v>1438</v>
      </c>
      <c r="F104" s="1547"/>
      <c r="G104" s="1687" t="s">
        <v>1436</v>
      </c>
      <c r="H104" s="2381">
        <f>IF(D36="同一抵押权人同一抵押物续贷",C36&amp;"（续贷，未扣减，详见特别提示）",C36)</f>
        <v>0</v>
      </c>
      <c r="I104" s="120"/>
    </row>
    <row r="105" spans="1:35" ht="18.75" customHeight="1" thickBot="1">
      <c r="A105" s="3353"/>
      <c r="B105" s="2377" t="s">
        <v>1434</v>
      </c>
      <c r="C105" s="2378">
        <f ca="1">I118</f>
        <v>34062</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44" t="str">
        <f>IF(项目基本情况!E8="已注销","——","3.房地产抵押价值")</f>
        <v>3.房地产抵押价值</v>
      </c>
      <c r="F107" s="3312"/>
      <c r="G107" s="1686" t="s">
        <v>1432</v>
      </c>
      <c r="H107" s="2380">
        <f ca="1">IF(E107="——","——",H101-H103)</f>
        <v>180495</v>
      </c>
      <c r="I107" s="120"/>
    </row>
    <row r="108" spans="1:35" ht="18.75" customHeight="1">
      <c r="A108" s="120"/>
      <c r="B108" s="120"/>
      <c r="C108" s="120"/>
      <c r="D108" s="120"/>
      <c r="E108" s="3344"/>
      <c r="F108" s="3312"/>
      <c r="G108" s="1686" t="s">
        <v>1434</v>
      </c>
      <c r="H108" s="2340">
        <f ca="1">IF(H107=H101,H102,ROUND(H107*10000/'数据-汇总表'!E3,0))</f>
        <v>34062</v>
      </c>
      <c r="I108" s="120"/>
    </row>
    <row r="109" spans="1:35" ht="18.75" customHeight="1">
      <c r="A109" s="120"/>
      <c r="B109" s="120"/>
      <c r="C109" s="120"/>
      <c r="D109" s="120"/>
      <c r="E109" s="3344" t="str">
        <f>IF(项目基本情况!E8="已注销及未注销","4.抵押担保权已注销时的房地产抵押价值",IF(项目基本情况!E8="已注销","3.抵押担保权已注销时的房地产抵押价值","——"))</f>
        <v>——</v>
      </c>
      <c r="F109" s="3312"/>
      <c r="G109" s="1686" t="s">
        <v>1432</v>
      </c>
      <c r="H109" s="2383" t="str">
        <f>IF(E109="——","——",H101-H105-H106)</f>
        <v>——</v>
      </c>
      <c r="I109" s="120"/>
    </row>
    <row r="110" spans="1:35" ht="18.75" customHeight="1">
      <c r="A110" s="120"/>
      <c r="B110" s="120"/>
      <c r="C110" s="120"/>
      <c r="D110" s="120"/>
      <c r="E110" s="3344"/>
      <c r="F110" s="3312"/>
      <c r="G110" s="1686" t="s">
        <v>1434</v>
      </c>
      <c r="H110" s="2340" t="str">
        <f>IF(H109="——","——",ROUND(H109*10000/'数据-汇总表'!E3,0))</f>
        <v>——</v>
      </c>
      <c r="I110" s="120"/>
    </row>
    <row r="111" spans="1:35" ht="18.75" customHeight="1">
      <c r="A111" s="120"/>
      <c r="B111" s="120"/>
      <c r="C111" s="120"/>
      <c r="D111" s="120"/>
      <c r="E111" s="3345" t="str">
        <f>IF(项目基本情况!E9="抵押净值",IF(OR(项目基本情况!E8="已注销",项目基本情况!E8="房地产抵押价值"),"4.抵押净值","5.抵押净值"),"——")</f>
        <v>——</v>
      </c>
      <c r="F111" s="3331"/>
      <c r="G111" s="1686" t="s">
        <v>1432</v>
      </c>
      <c r="H111" s="2380" t="str">
        <f>IF(E111="——","——",N59)</f>
        <v>——</v>
      </c>
      <c r="I111" s="120"/>
    </row>
    <row r="112" spans="1:35" ht="18.75" customHeight="1" thickBot="1">
      <c r="A112" s="120"/>
      <c r="B112" s="120"/>
      <c r="C112" s="120"/>
      <c r="D112" s="120"/>
      <c r="E112" s="3346"/>
      <c r="F112" s="3347"/>
      <c r="G112" s="1689" t="s">
        <v>1434</v>
      </c>
      <c r="H112" s="2384" t="str">
        <f>IF(E111="——","——",N61)</f>
        <v>——</v>
      </c>
      <c r="I112" s="120"/>
    </row>
    <row r="113" spans="1:27" ht="18.75" customHeight="1">
      <c r="A113" s="120"/>
      <c r="B113" s="120"/>
      <c r="C113" s="120"/>
      <c r="D113" s="120"/>
      <c r="E113" s="3354" t="s">
        <v>1440</v>
      </c>
      <c r="F113" s="3354"/>
      <c r="G113" s="3354"/>
      <c r="H113" s="3354"/>
      <c r="I113" s="120"/>
    </row>
    <row r="114" spans="1:27" ht="3.75" customHeight="1">
      <c r="A114" s="645"/>
      <c r="B114" s="645"/>
      <c r="C114" s="645"/>
      <c r="D114" s="645"/>
      <c r="E114" s="1670"/>
      <c r="F114" s="1670"/>
      <c r="G114" s="1670"/>
      <c r="H114" s="1670"/>
      <c r="I114" s="645"/>
    </row>
    <row r="115" spans="1:27" ht="18.75" customHeight="1">
      <c r="A115" s="3362" t="s">
        <v>1442</v>
      </c>
      <c r="B115" s="3363"/>
      <c r="C115" s="3363"/>
      <c r="D115" s="3363"/>
      <c r="E115" s="3363"/>
      <c r="F115" s="3363"/>
      <c r="G115" s="3363"/>
      <c r="H115" s="3363"/>
      <c r="I115" s="3364"/>
    </row>
    <row r="116" spans="1:27" ht="27" customHeight="1">
      <c r="A116" s="3319" t="s">
        <v>1443</v>
      </c>
      <c r="B116" s="3323" t="s">
        <v>1444</v>
      </c>
      <c r="C116" s="3323" t="s">
        <v>1445</v>
      </c>
      <c r="D116" s="3329" t="s">
        <v>1446</v>
      </c>
      <c r="E116" s="3330"/>
      <c r="F116" s="3361" t="s">
        <v>1447</v>
      </c>
      <c r="G116" s="3361"/>
      <c r="H116" s="3319" t="s">
        <v>1448</v>
      </c>
      <c r="I116" s="3319"/>
    </row>
    <row r="117" spans="1:27" ht="18.75" customHeight="1">
      <c r="A117" s="3319"/>
      <c r="B117" s="3324"/>
      <c r="C117" s="3324"/>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52990.34</v>
      </c>
      <c r="C118" s="2149">
        <f>M19</f>
        <v>0</v>
      </c>
      <c r="D118" s="2149">
        <f ca="1">ROUND(IF(D32="总价",C34,E118*B118/10000),0)</f>
        <v>136815</v>
      </c>
      <c r="E118" s="2149">
        <f ca="1">ROUND(IF(C33="自定义",IF(D32="楼面单价",C34,D118*10000/B118),I118-G118),0)</f>
        <v>25819</v>
      </c>
      <c r="F118" s="2149">
        <f ca="1">ROUND(IF(D32="总价",C35,G118*B118/10000),0)</f>
        <v>43680</v>
      </c>
      <c r="G118" s="2149">
        <f ca="1">ROUND(IF(D32="楼面单价",C35,F118*10000/B118),0)</f>
        <v>8243</v>
      </c>
      <c r="H118" s="2149">
        <f ca="1">ROUND(IF(D32="总价",C32,I118*B118/10000),0)</f>
        <v>180495</v>
      </c>
      <c r="I118" s="2149">
        <f ca="1">ROUND(IF(D32="楼面单价",C32,H118*10000/B118),0)</f>
        <v>34062</v>
      </c>
    </row>
    <row r="119" spans="1:27" ht="18.75" customHeight="1">
      <c r="A119" s="3319" t="s">
        <v>1452</v>
      </c>
      <c r="B119" s="3319"/>
      <c r="C119" s="3319"/>
      <c r="D119" s="3325" t="str">
        <f ca="1">NUMBERSTRING(INT(D118*10000),2)&amp;"元整"</f>
        <v>壹拾叁亿陆仟捌佰壹拾伍万元整</v>
      </c>
      <c r="E119" s="3326"/>
      <c r="F119" s="3325" t="str">
        <f ca="1">NUMBERSTRING(INT(F118*10000),2)&amp;"元整"</f>
        <v>肆亿叁仟陆佰捌拾万元整</v>
      </c>
      <c r="G119" s="3326"/>
      <c r="H119" s="3325" t="str">
        <f ca="1">NUMBERSTRING(INT(H118*10000),2)&amp;"元整"</f>
        <v>壹拾捌亿零肆佰玖拾伍万元整</v>
      </c>
      <c r="I119" s="3326"/>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5" t="s">
        <v>1452</v>
      </c>
      <c r="B121" s="3327"/>
      <c r="C121" s="3326"/>
      <c r="D121" s="3325" t="str">
        <f>IF(D120=0,"零元整",NUMBERSTRING(INT(D120*10000),2)&amp;"元整")</f>
        <v>零元整</v>
      </c>
      <c r="E121" s="3327"/>
      <c r="F121" s="3327"/>
      <c r="G121" s="3327"/>
      <c r="H121" s="3327"/>
      <c r="I121" s="3326"/>
      <c r="AA121" s="683"/>
    </row>
    <row r="122" spans="1:27" ht="18.75" customHeight="1">
      <c r="A122" s="3331" t="str">
        <f>IF(项目基本情况!B9="房地产市场价值","",MID(E107,3,LEN(E107)-2))</f>
        <v>房地产抵押价值</v>
      </c>
      <c r="B122" s="3331"/>
      <c r="C122" s="3331"/>
      <c r="D122" s="3320">
        <f ca="1">H107</f>
        <v>180495</v>
      </c>
      <c r="E122" s="3321"/>
      <c r="F122" s="3321"/>
      <c r="G122" s="3321"/>
      <c r="H122" s="3321"/>
      <c r="I122" s="3322"/>
      <c r="AA122" s="683"/>
    </row>
    <row r="123" spans="1:27" ht="18.75" customHeight="1">
      <c r="A123" s="3319" t="s">
        <v>1452</v>
      </c>
      <c r="B123" s="3319"/>
      <c r="C123" s="3319"/>
      <c r="D123" s="3325" t="str">
        <f ca="1">NUMBERSTRING(INT(D122*10000),2)&amp;"元整"</f>
        <v>壹拾捌亿零肆佰玖拾伍万元整</v>
      </c>
      <c r="E123" s="3327"/>
      <c r="F123" s="3327"/>
      <c r="G123" s="3327"/>
      <c r="H123" s="3327"/>
      <c r="I123" s="3326"/>
      <c r="AA123" s="683"/>
    </row>
    <row r="124" spans="1:27" ht="18.75" customHeight="1">
      <c r="A124" s="3331" t="str">
        <f>IF(项目基本情况!B9="房地产市场价值","",MID(E109,3,LEN(E109)-2))</f>
        <v/>
      </c>
      <c r="B124" s="3331"/>
      <c r="C124" s="3331"/>
      <c r="D124" s="3320" t="str">
        <f>H109</f>
        <v>——</v>
      </c>
      <c r="E124" s="3321"/>
      <c r="F124" s="3321"/>
      <c r="G124" s="3321"/>
      <c r="H124" s="3321"/>
      <c r="I124" s="3322"/>
      <c r="AA124" s="683"/>
    </row>
    <row r="125" spans="1:27" ht="18.75" customHeight="1">
      <c r="A125" s="3319" t="s">
        <v>1452</v>
      </c>
      <c r="B125" s="3319"/>
      <c r="C125" s="3319"/>
      <c r="D125" s="3325" t="e">
        <f>NUMBERSTRING(INT(D124*10000),2)&amp;"元整"</f>
        <v>#VALUE!</v>
      </c>
      <c r="E125" s="3327"/>
      <c r="F125" s="3327"/>
      <c r="G125" s="3327"/>
      <c r="H125" s="3327"/>
      <c r="I125" s="3326"/>
      <c r="AA125" s="683"/>
    </row>
    <row r="126" spans="1:27" ht="18.75" customHeight="1">
      <c r="A126" s="3331" t="str">
        <f>IF(项目基本情况!B9="房地产市场价值","",MID(E111,3,LEN(E111)-2))</f>
        <v/>
      </c>
      <c r="B126" s="3331"/>
      <c r="C126" s="3331"/>
      <c r="D126" s="3320" t="str">
        <f>H111</f>
        <v>——</v>
      </c>
      <c r="E126" s="3321"/>
      <c r="F126" s="3321"/>
      <c r="G126" s="3321"/>
      <c r="H126" s="3321"/>
      <c r="I126" s="3322"/>
      <c r="AA126" s="683"/>
    </row>
    <row r="127" spans="1:27" ht="18.75" customHeight="1">
      <c r="A127" s="3319" t="s">
        <v>1452</v>
      </c>
      <c r="B127" s="3319"/>
      <c r="C127" s="3319"/>
      <c r="D127" s="3325" t="e">
        <f>NUMBERSTRING(INT(D126*10000),2)&amp;"元整"</f>
        <v>#VALUE!</v>
      </c>
      <c r="E127" s="3327"/>
      <c r="F127" s="3327"/>
      <c r="G127" s="3327"/>
      <c r="H127" s="3327"/>
      <c r="I127" s="3326"/>
      <c r="AA127" s="683"/>
    </row>
    <row r="128" spans="1:27" ht="21.75" customHeight="1">
      <c r="A128" s="3328" t="s">
        <v>1453</v>
      </c>
      <c r="B128" s="3328"/>
      <c r="C128" s="3328"/>
      <c r="D128" s="3328"/>
      <c r="E128" s="3328"/>
      <c r="F128" s="3328"/>
      <c r="G128" s="3328"/>
      <c r="H128" s="3328"/>
      <c r="I128" s="3328"/>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M35" sqref="M35"/>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7</v>
      </c>
    </row>
    <row r="2" spans="1:9" s="191" customFormat="1" ht="18" customHeight="1">
      <c r="A2" s="192" t="s">
        <v>1462</v>
      </c>
      <c r="B2" s="193">
        <f ca="1">IF(D2="——",C52,C52-E2)</f>
        <v>222964</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42076</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118546</v>
      </c>
      <c r="D5" s="202" t="s">
        <v>1469</v>
      </c>
      <c r="E5" s="203" t="s">
        <v>1470</v>
      </c>
      <c r="F5" s="203" t="s">
        <v>1471</v>
      </c>
      <c r="G5" s="204"/>
    </row>
    <row r="6" spans="1:9" s="205" customFormat="1" ht="13.5" customHeight="1">
      <c r="A6" s="731" t="s">
        <v>1472</v>
      </c>
      <c r="B6" s="206" t="s">
        <v>1473</v>
      </c>
      <c r="C6" s="207">
        <f>基准地价修正!B2</f>
        <v>114009</v>
      </c>
      <c r="D6" s="208"/>
      <c r="E6" s="209"/>
      <c r="F6" s="209"/>
      <c r="G6" s="210"/>
    </row>
    <row r="7" spans="1:9" s="205" customFormat="1" ht="13.5" customHeight="1">
      <c r="A7" s="731" t="s">
        <v>1474</v>
      </c>
      <c r="B7" s="206" t="s">
        <v>1475</v>
      </c>
      <c r="C7" s="211">
        <f>ROUND(C6*F7,0)</f>
        <v>3477</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1060</v>
      </c>
      <c r="D8" s="213"/>
      <c r="E8" s="211"/>
      <c r="F8" s="212"/>
      <c r="G8" s="1713" t="s">
        <v>4576</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t="s">
        <v>4577</v>
      </c>
      <c r="H9" s="1069"/>
      <c r="I9" s="1715" t="s">
        <v>1479</v>
      </c>
    </row>
    <row r="10" spans="1:9" s="205" customFormat="1" ht="13.5" customHeight="1">
      <c r="A10" s="732" t="s">
        <v>356</v>
      </c>
      <c r="B10" s="215" t="s">
        <v>1480</v>
      </c>
      <c r="C10" s="216">
        <f ca="1">ROUND(D10*E10/10000,0)</f>
        <v>1060</v>
      </c>
      <c r="D10" s="794">
        <f ca="1">IF(B1="",'数据-汇总表'!E6,IF(INDIRECT("'数据-取费表'!c"&amp;$G$1)="住宅",INDIRECT("'数据-取费表'!s"&amp;$G$1),INDIRECT("'数据-取费表'!k"&amp;$G$1)+INDIRECT("'数据-取费表'!s"&amp;$G$1)))</f>
        <v>52990.34</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52990.34</v>
      </c>
      <c r="E19" s="202">
        <f>'数据-取费表'!B31</f>
        <v>200</v>
      </c>
      <c r="F19" s="222"/>
      <c r="G19" s="1713" t="s">
        <v>4578</v>
      </c>
    </row>
    <row r="20" spans="1:7" s="205" customFormat="1" ht="13.5" customHeight="1">
      <c r="A20" s="246" t="s">
        <v>1493</v>
      </c>
      <c r="B20" s="201" t="s">
        <v>1494</v>
      </c>
      <c r="C20" s="223">
        <f ca="1">ROUND((C5+C19)*F20,0)</f>
        <v>3556</v>
      </c>
      <c r="D20" s="223"/>
      <c r="E20" s="223"/>
      <c r="F20" s="224">
        <f>'数据-取费表'!B37</f>
        <v>0.03</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40">
        <f ca="1">ROUND(SUM(C23:C25),0)</f>
        <v>7326</v>
      </c>
      <c r="D22" s="226">
        <f ca="1">C26</f>
        <v>8.9999999999999998E-4</v>
      </c>
      <c r="E22" s="227" t="s">
        <v>1498</v>
      </c>
      <c r="F22" s="228">
        <f ca="1">'数据-取费表'!B40</f>
        <v>0.03</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7219</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107</v>
      </c>
      <c r="D25" s="229"/>
      <c r="E25" s="232"/>
      <c r="F25" s="230"/>
      <c r="G25" s="233" t="s">
        <v>1510</v>
      </c>
    </row>
    <row r="26" spans="1:7" s="205" customFormat="1">
      <c r="A26" s="733" t="s">
        <v>350</v>
      </c>
      <c r="B26" s="206" t="s">
        <v>1511</v>
      </c>
      <c r="C26" s="229">
        <f ca="1">ROUND(IF('数据-取费表'!B22&lt;=1,F21*F22*'数据-取费表'!B23/2,F21*(POWER((1+F22),'数据-取费表'!B23/2)-1)),4)</f>
        <v>8.9999999999999998E-4</v>
      </c>
      <c r="D26" s="229"/>
      <c r="E26" s="232"/>
      <c r="F26" s="230"/>
      <c r="G26" s="234"/>
    </row>
    <row r="27" spans="1:7" s="205" customFormat="1" ht="24.75">
      <c r="A27" s="246" t="s">
        <v>1512</v>
      </c>
      <c r="B27" s="235" t="s">
        <v>1513</v>
      </c>
      <c r="C27" s="236">
        <f ca="1">C28</f>
        <v>24420</v>
      </c>
      <c r="D27" s="226">
        <f ca="1">C29</f>
        <v>6.0000000000000001E-3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24420</v>
      </c>
      <c r="D28" s="226"/>
      <c r="E28" s="227"/>
      <c r="F28" s="237"/>
      <c r="G28" s="238"/>
    </row>
    <row r="29" spans="1:7" s="205" customFormat="1" ht="13.5" customHeight="1">
      <c r="A29" s="733" t="s">
        <v>347</v>
      </c>
      <c r="B29" s="239" t="s">
        <v>1517</v>
      </c>
      <c r="C29" s="229">
        <f ca="1">ROUND(C21*F27*'数据-取费表'!B21/'数据-取费表'!B20,4)</f>
        <v>6.0000000000000001E-3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169101</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48963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42392</v>
      </c>
      <c r="D34" s="208"/>
      <c r="E34" s="211"/>
      <c r="F34" s="248">
        <f ca="1">IF('数据-取费表'!B24=0,1,IF(B1="",'数据-取费表'!N16,INDIRECT("'数据-取费表'!n"&amp;$G$1)))</f>
        <v>1</v>
      </c>
      <c r="G34" s="210" t="s">
        <v>1526</v>
      </c>
    </row>
    <row r="35" spans="1:7" ht="13.5" customHeight="1">
      <c r="A35" s="733" t="s">
        <v>351</v>
      </c>
      <c r="B35" s="206" t="s">
        <v>1527</v>
      </c>
      <c r="C35" s="211">
        <f ca="1">ROUND(C34*F35,0)</f>
        <v>4239</v>
      </c>
      <c r="D35" s="211"/>
      <c r="E35" s="211"/>
      <c r="F35" s="250">
        <f>'数据-取费表'!B33</f>
        <v>0.1</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1060</v>
      </c>
      <c r="D37" s="208">
        <f ca="1">D19</f>
        <v>52990.34</v>
      </c>
      <c r="E37" s="240">
        <f>'数据-取费表'!B35</f>
        <v>200</v>
      </c>
      <c r="F37" s="250"/>
      <c r="G37" s="252" t="s">
        <v>1532</v>
      </c>
    </row>
    <row r="38" spans="1:7" ht="13.5" customHeight="1">
      <c r="A38" s="733" t="s">
        <v>354</v>
      </c>
      <c r="B38" s="206" t="s">
        <v>1533</v>
      </c>
      <c r="C38" s="211">
        <f ca="1">ROUND(C34*F38,0)</f>
        <v>1272</v>
      </c>
      <c r="D38" s="211"/>
      <c r="E38" s="211"/>
      <c r="F38" s="250">
        <f>'数据-取费表'!B36</f>
        <v>0.03</v>
      </c>
      <c r="G38" s="210" t="s">
        <v>1528</v>
      </c>
    </row>
    <row r="39" spans="1:7" s="205" customFormat="1" ht="13.5" customHeight="1">
      <c r="A39" s="246" t="s">
        <v>1534</v>
      </c>
      <c r="B39" s="201" t="s">
        <v>1535</v>
      </c>
      <c r="C39" s="223">
        <f ca="1">ROUND(C33*F20,0)</f>
        <v>1469</v>
      </c>
      <c r="D39" s="223"/>
      <c r="E39" s="223"/>
      <c r="F39" s="224">
        <f>F20</f>
        <v>0.03</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1513</v>
      </c>
      <c r="D41" s="226">
        <f ca="1">C44</f>
        <v>8.9999999999999998E-4</v>
      </c>
      <c r="E41" s="227" t="s">
        <v>1539</v>
      </c>
      <c r="F41" s="228">
        <f ca="1">F22</f>
        <v>0.03</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1469</v>
      </c>
      <c r="D42" s="229"/>
      <c r="E42" s="229"/>
      <c r="F42" s="230"/>
      <c r="G42" s="3398" t="s">
        <v>1544</v>
      </c>
    </row>
    <row r="43" spans="1:7" ht="13.5" customHeight="1">
      <c r="A43" s="733" t="s">
        <v>347</v>
      </c>
      <c r="B43" s="206" t="s">
        <v>1545</v>
      </c>
      <c r="C43" s="229">
        <f ca="1">ROUND(IF('数据-取费表'!B22&lt;=1,C39*F22*'数据-取费表'!B21/2,C39*(POWER((1+F22),'数据-取费表'!B21/2)-1)),0)</f>
        <v>44</v>
      </c>
      <c r="D43" s="229"/>
      <c r="E43" s="229"/>
      <c r="F43" s="230"/>
      <c r="G43" s="3399"/>
    </row>
    <row r="44" spans="1:7" ht="13.5" customHeight="1">
      <c r="A44" s="733" t="s">
        <v>348</v>
      </c>
      <c r="B44" s="206" t="s">
        <v>1546</v>
      </c>
      <c r="C44" s="229">
        <f ca="1">ROUND(IF('数据-取费表'!B22&lt;=1,C40*F22*'数据-取费表'!B21/2,C40*(POWER((1+F22),'数据-取费表'!B21/2)-1)),4)</f>
        <v>8.9999999999999998E-4</v>
      </c>
      <c r="D44" s="229"/>
      <c r="E44" s="229"/>
      <c r="F44" s="230"/>
      <c r="G44" s="3400"/>
    </row>
    <row r="45" spans="1:7" s="205" customFormat="1" ht="13.5" customHeight="1">
      <c r="A45" s="246" t="s">
        <v>1547</v>
      </c>
      <c r="B45" s="235" t="s">
        <v>1513</v>
      </c>
      <c r="C45" s="236">
        <f ca="1">C46</f>
        <v>10086</v>
      </c>
      <c r="D45" s="226">
        <f ca="1">C47</f>
        <v>6.0000000000000001E-3</v>
      </c>
      <c r="E45" s="227" t="s">
        <v>1539</v>
      </c>
      <c r="F45" s="237">
        <f ca="1">F27</f>
        <v>0.2</v>
      </c>
      <c r="G45" s="238" t="s">
        <v>1548</v>
      </c>
    </row>
    <row r="46" spans="1:7" s="205" customFormat="1" ht="13.5" customHeight="1">
      <c r="A46" s="733" t="s">
        <v>346</v>
      </c>
      <c r="B46" s="239" t="s">
        <v>1549</v>
      </c>
      <c r="C46" s="240">
        <f ca="1">ROUND((C33+C39)*F27,0)</f>
        <v>10086</v>
      </c>
      <c r="D46" s="254"/>
      <c r="E46" s="227"/>
      <c r="F46" s="237"/>
      <c r="G46" s="238"/>
    </row>
    <row r="47" spans="1:7" s="205" customFormat="1" ht="13.5" customHeight="1">
      <c r="A47" s="733" t="s">
        <v>347</v>
      </c>
      <c r="B47" s="239" t="s">
        <v>1550</v>
      </c>
      <c r="C47" s="229">
        <f ca="1">ROUND(C40*F27,4)</f>
        <v>6.0000000000000001E-3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68181</v>
      </c>
      <c r="D49" s="223"/>
      <c r="E49" s="223"/>
      <c r="F49" s="255"/>
      <c r="G49" s="225" t="s">
        <v>1554</v>
      </c>
    </row>
    <row r="50" spans="1:7" s="249" customFormat="1" ht="24">
      <c r="A50" s="246" t="s">
        <v>1555</v>
      </c>
      <c r="B50" s="201" t="s">
        <v>1556</v>
      </c>
      <c r="C50" s="223"/>
      <c r="D50" s="223"/>
      <c r="E50" s="223"/>
      <c r="F50" s="255">
        <f>IF('数据-取费表'!B24=0,'数据-取费表'!N16,1)</f>
        <v>0.79</v>
      </c>
      <c r="G50" s="238" t="s">
        <v>1557</v>
      </c>
    </row>
    <row r="51" spans="1:7" ht="16.5" customHeight="1">
      <c r="A51" s="246" t="s">
        <v>1558</v>
      </c>
      <c r="B51" s="201" t="s">
        <v>1559</v>
      </c>
      <c r="C51" s="223">
        <f ca="1">ROUND(C49*F50,0)</f>
        <v>53863</v>
      </c>
      <c r="D51" s="223"/>
      <c r="E51" s="223"/>
      <c r="F51" s="255"/>
      <c r="G51" s="225" t="s">
        <v>1560</v>
      </c>
    </row>
    <row r="52" spans="1:7" s="199" customFormat="1" ht="16.5" thickBot="1">
      <c r="A52" s="256" t="s">
        <v>1561</v>
      </c>
      <c r="B52" s="257"/>
      <c r="C52" s="258">
        <f ca="1">C31+C51</f>
        <v>222964</v>
      </c>
      <c r="D52" s="257"/>
      <c r="E52" s="257"/>
      <c r="F52" s="257"/>
      <c r="G52" s="259"/>
    </row>
    <row r="55" spans="1:7" ht="15">
      <c r="B55" s="261" t="s">
        <v>1562</v>
      </c>
      <c r="C55" s="262"/>
    </row>
    <row r="56" spans="1:7">
      <c r="B56" s="264" t="s">
        <v>802</v>
      </c>
      <c r="C56" s="266">
        <f ca="1">1-C57</f>
        <v>0.75800000000000001</v>
      </c>
    </row>
    <row r="57" spans="1:7">
      <c r="B57" s="264" t="s">
        <v>803</v>
      </c>
      <c r="C57" s="265">
        <f ca="1">ROUND(C51/C52,3)</f>
        <v>0.24199999999999999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22">
        <f ca="1">ROUND(IF(D2="——",C52/10000,C52/10000-E2),4)</f>
        <v>56886.762300000002</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10735</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10598068</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10598068</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10598068</v>
      </c>
      <c r="D10" s="794">
        <f ca="1">IF(B1="",'数据-汇总表'!E6,IF(INDIRECT("'数据-取费表'!c"&amp;$G$1)="住宅",INDIRECT("'数据-取费表'!s"&amp;$G$1),INDIRECT("'数据-取费表'!k"&amp;$G$1)+INDIRECT("'数据-取费表'!s"&amp;$G$1)))</f>
        <v>52990.34</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10598068</v>
      </c>
      <c r="D19" s="203">
        <f ca="1">D9+D10</f>
        <v>52990.34</v>
      </c>
      <c r="E19" s="202">
        <f>'数据-取费表'!B31</f>
        <v>200</v>
      </c>
      <c r="F19" s="222"/>
      <c r="G19" s="1713"/>
    </row>
    <row r="20" spans="1:7" s="205" customFormat="1" ht="13.5" customHeight="1">
      <c r="A20" s="246" t="s">
        <v>1574</v>
      </c>
      <c r="B20" s="201" t="s">
        <v>1575</v>
      </c>
      <c r="C20" s="223">
        <f ca="1">ROUND((C5+C19)*F20,0)</f>
        <v>635884</v>
      </c>
      <c r="D20" s="223"/>
      <c r="E20" s="223"/>
      <c r="F20" s="224">
        <f>'数据-取费表'!B37</f>
        <v>0.03</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1309921</v>
      </c>
      <c r="D22" s="226">
        <f ca="1">C26</f>
        <v>8.9999999999999998E-4</v>
      </c>
      <c r="E22" s="227" t="s">
        <v>1579</v>
      </c>
      <c r="F22" s="228">
        <f ca="1">'数据-取费表'!B40</f>
        <v>0.03</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645422</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645422</v>
      </c>
      <c r="D24" s="229"/>
      <c r="E24" s="229"/>
      <c r="F24" s="230"/>
      <c r="G24" s="231" t="s">
        <v>1586</v>
      </c>
    </row>
    <row r="25" spans="1:7" s="205" customFormat="1" ht="24">
      <c r="A25" s="733" t="s">
        <v>1476</v>
      </c>
      <c r="B25" s="206" t="s">
        <v>1587</v>
      </c>
      <c r="C25" s="229">
        <f ca="1">ROUND(IF('数据-取费表'!B22&lt;=1,C20*F22*'数据-取费表'!B22/2,C20*(POWER((1+F22),'数据-取费表'!B22/2)-1)),0)</f>
        <v>19077</v>
      </c>
      <c r="D25" s="229"/>
      <c r="E25" s="232"/>
      <c r="F25" s="230"/>
      <c r="G25" s="233" t="s">
        <v>1588</v>
      </c>
    </row>
    <row r="26" spans="1:7" s="205" customFormat="1">
      <c r="A26" s="733" t="s">
        <v>350</v>
      </c>
      <c r="B26" s="206" t="s">
        <v>1511</v>
      </c>
      <c r="C26" s="229">
        <f ca="1">ROUND(IF('数据-取费表'!B22&lt;=1,F21*F22*'数据-取费表'!B22/2,F21*(POWER((1+F22),'数据-取费表'!B22/2)-1)),4)</f>
        <v>8.9999999999999998E-4</v>
      </c>
      <c r="D26" s="229"/>
      <c r="E26" s="232"/>
      <c r="F26" s="230"/>
      <c r="G26" s="234"/>
    </row>
    <row r="27" spans="1:7" s="205" customFormat="1" ht="24.75">
      <c r="A27" s="246" t="s">
        <v>1512</v>
      </c>
      <c r="B27" s="235" t="s">
        <v>1513</v>
      </c>
      <c r="C27" s="236">
        <f ca="1">C28</f>
        <v>4366404</v>
      </c>
      <c r="D27" s="226">
        <f ca="1">C29</f>
        <v>6.0000000000000001E-3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4366404</v>
      </c>
      <c r="D28" s="226"/>
      <c r="E28" s="227"/>
      <c r="F28" s="237"/>
      <c r="G28" s="238"/>
    </row>
    <row r="29" spans="1:7" s="205" customFormat="1" ht="13.5" customHeight="1">
      <c r="A29" s="733" t="s">
        <v>347</v>
      </c>
      <c r="B29" s="239" t="s">
        <v>1517</v>
      </c>
      <c r="C29" s="229">
        <f ca="1">ROUND(C21*F27,4)</f>
        <v>6.0000000000000001E-3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30235596</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489630742</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423922720</v>
      </c>
      <c r="D34" s="208"/>
      <c r="E34" s="211"/>
      <c r="F34" s="248"/>
      <c r="G34" s="210"/>
    </row>
    <row r="35" spans="1:7" ht="13.5" customHeight="1">
      <c r="A35" s="733" t="s">
        <v>351</v>
      </c>
      <c r="B35" s="206" t="s">
        <v>1527</v>
      </c>
      <c r="C35" s="211">
        <f ca="1">ROUND(C34*F35,0)</f>
        <v>42392272</v>
      </c>
      <c r="D35" s="211"/>
      <c r="E35" s="211"/>
      <c r="F35" s="250">
        <f>'数据-取费表'!B33</f>
        <v>0.1</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10598068</v>
      </c>
      <c r="D37" s="208">
        <f ca="1">D19</f>
        <v>52990.34</v>
      </c>
      <c r="E37" s="240">
        <f>'数据-取费表'!B35</f>
        <v>200</v>
      </c>
      <c r="F37" s="250"/>
      <c r="G37" s="252"/>
    </row>
    <row r="38" spans="1:7" ht="13.5" customHeight="1">
      <c r="A38" s="733" t="s">
        <v>354</v>
      </c>
      <c r="B38" s="206" t="s">
        <v>1533</v>
      </c>
      <c r="C38" s="211">
        <f ca="1">ROUND(C34*F38,0)</f>
        <v>12717682</v>
      </c>
      <c r="D38" s="211"/>
      <c r="E38" s="211"/>
      <c r="F38" s="250">
        <f>'数据-取费表'!B36</f>
        <v>0.03</v>
      </c>
      <c r="G38" s="210" t="s">
        <v>1528</v>
      </c>
    </row>
    <row r="39" spans="1:7" s="205" customFormat="1" ht="13.5" customHeight="1">
      <c r="A39" s="246" t="s">
        <v>1534</v>
      </c>
      <c r="B39" s="201" t="s">
        <v>1535</v>
      </c>
      <c r="C39" s="223">
        <f ca="1">ROUND(C33*F20,0)</f>
        <v>14688922</v>
      </c>
      <c r="D39" s="223"/>
      <c r="E39" s="223"/>
      <c r="F39" s="224">
        <f>F20</f>
        <v>0.03</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15129590</v>
      </c>
      <c r="D41" s="226">
        <f ca="1">C44</f>
        <v>8.9999999999999998E-4</v>
      </c>
      <c r="E41" s="227" t="s">
        <v>1539</v>
      </c>
      <c r="F41" s="228">
        <f ca="1">F22</f>
        <v>0.03</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14688922</v>
      </c>
      <c r="D42" s="229"/>
      <c r="E42" s="229"/>
      <c r="F42" s="230"/>
      <c r="G42" s="3398" t="s">
        <v>1591</v>
      </c>
    </row>
    <row r="43" spans="1:7" ht="13.5" customHeight="1">
      <c r="A43" s="733" t="s">
        <v>347</v>
      </c>
      <c r="B43" s="206" t="s">
        <v>1545</v>
      </c>
      <c r="C43" s="229">
        <f ca="1">ROUND(IF('数据-取费表'!B22&lt;=1,C39*F22*'数据-取费表'!B20/2,C39*(POWER((1+F22),'数据-取费表'!B20/2)-1)),0)</f>
        <v>440668</v>
      </c>
      <c r="D43" s="229"/>
      <c r="E43" s="229"/>
      <c r="F43" s="230"/>
      <c r="G43" s="3399"/>
    </row>
    <row r="44" spans="1:7" ht="13.5" customHeight="1">
      <c r="A44" s="733" t="s">
        <v>348</v>
      </c>
      <c r="B44" s="206" t="s">
        <v>1546</v>
      </c>
      <c r="C44" s="229">
        <f ca="1">ROUND(IF('数据-取费表'!B22&lt;=1,C40*F22*'数据-取费表'!B20/2,C40*(POWER((1+F22),'数据-取费表'!B20/2)-1)),4)</f>
        <v>8.9999999999999998E-4</v>
      </c>
      <c r="D44" s="229"/>
      <c r="E44" s="229"/>
      <c r="F44" s="230"/>
      <c r="G44" s="3400"/>
    </row>
    <row r="45" spans="1:7" s="205" customFormat="1" ht="13.5" customHeight="1">
      <c r="A45" s="246" t="s">
        <v>1547</v>
      </c>
      <c r="B45" s="235" t="s">
        <v>1513</v>
      </c>
      <c r="C45" s="236">
        <f ca="1">C46</f>
        <v>100863933</v>
      </c>
      <c r="D45" s="226">
        <f ca="1">C47</f>
        <v>6.0000000000000001E-3</v>
      </c>
      <c r="E45" s="227" t="s">
        <v>1539</v>
      </c>
      <c r="F45" s="237">
        <f ca="1">F27</f>
        <v>0.2</v>
      </c>
      <c r="G45" s="238" t="s">
        <v>1548</v>
      </c>
    </row>
    <row r="46" spans="1:7" s="205" customFormat="1" ht="13.5" customHeight="1">
      <c r="A46" s="733" t="s">
        <v>346</v>
      </c>
      <c r="B46" s="239" t="s">
        <v>1549</v>
      </c>
      <c r="C46" s="240">
        <f ca="1">ROUND((C33+C39)*F27,0)</f>
        <v>100863933</v>
      </c>
      <c r="D46" s="254"/>
      <c r="E46" s="227"/>
      <c r="F46" s="237"/>
      <c r="G46" s="238"/>
    </row>
    <row r="47" spans="1:7" s="205" customFormat="1" ht="13.5" customHeight="1">
      <c r="A47" s="733" t="s">
        <v>347</v>
      </c>
      <c r="B47" s="239" t="s">
        <v>1550</v>
      </c>
      <c r="C47" s="229">
        <f ca="1">ROUND(C40*F27,4)</f>
        <v>6.0000000000000001E-3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681812692</v>
      </c>
      <c r="D49" s="223"/>
      <c r="E49" s="223"/>
      <c r="F49" s="255"/>
      <c r="G49" s="225" t="s">
        <v>1554</v>
      </c>
    </row>
    <row r="50" spans="1:7" s="249" customFormat="1">
      <c r="A50" s="246" t="s">
        <v>1555</v>
      </c>
      <c r="B50" s="201" t="s">
        <v>1556</v>
      </c>
      <c r="C50" s="223"/>
      <c r="D50" s="223"/>
      <c r="E50" s="223"/>
      <c r="F50" s="255">
        <f>IF('数据-取费表'!B24=0,'数据-取费表'!N16,1)</f>
        <v>0.79</v>
      </c>
      <c r="G50" s="238"/>
    </row>
    <row r="51" spans="1:7" ht="16.5" customHeight="1">
      <c r="A51" s="246" t="s">
        <v>1558</v>
      </c>
      <c r="B51" s="201" t="s">
        <v>1593</v>
      </c>
      <c r="C51" s="223">
        <f ca="1">ROUND(C49*F50,0)</f>
        <v>538632027</v>
      </c>
      <c r="D51" s="223"/>
      <c r="E51" s="223"/>
      <c r="F51" s="255"/>
      <c r="G51" s="225" t="s">
        <v>1560</v>
      </c>
    </row>
    <row r="52" spans="1:7" s="199" customFormat="1" ht="16.5" thickBot="1">
      <c r="A52" s="256" t="s">
        <v>1561</v>
      </c>
      <c r="B52" s="257"/>
      <c r="C52" s="258">
        <f ca="1">C31+C51</f>
        <v>568867623</v>
      </c>
      <c r="D52" s="257"/>
      <c r="E52" s="257"/>
      <c r="F52" s="257"/>
      <c r="G52" s="259"/>
    </row>
    <row r="55" spans="1:7" ht="15">
      <c r="B55" s="261" t="s">
        <v>1562</v>
      </c>
      <c r="C55" s="262"/>
    </row>
    <row r="56" spans="1:7">
      <c r="B56" s="264" t="s">
        <v>802</v>
      </c>
      <c r="C56" s="266">
        <f ca="1">1-C57</f>
        <v>5.3000000000000047E-2</v>
      </c>
    </row>
    <row r="57" spans="1:7">
      <c r="B57" s="264" t="s">
        <v>803</v>
      </c>
      <c r="C57" s="265">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7"/>
      <c r="F1" s="2567"/>
      <c r="G1" s="2448"/>
      <c r="H1" s="2567"/>
      <c r="I1" s="2567"/>
      <c r="J1" s="2567"/>
      <c r="K1" s="2568">
        <f>MATCH(C1,'数据-取费表'!A6:A16,0)+5</f>
        <v>7</v>
      </c>
    </row>
    <row r="2" spans="1:33" ht="18" customHeight="1">
      <c r="A2" s="192" t="s">
        <v>1462</v>
      </c>
      <c r="B2" s="195">
        <f ca="1">C32</f>
        <v>0</v>
      </c>
      <c r="C2" s="267" t="s">
        <v>1595</v>
      </c>
      <c r="D2" s="267"/>
      <c r="E2" s="2567"/>
      <c r="F2" s="2567"/>
      <c r="G2" s="2567"/>
      <c r="H2" s="2567"/>
      <c r="I2" s="2567"/>
      <c r="J2" s="2567"/>
      <c r="K2" s="2567"/>
    </row>
    <row r="3" spans="1:33" ht="18" customHeight="1" thickBot="1">
      <c r="A3" s="194" t="s">
        <v>1464</v>
      </c>
      <c r="B3" s="195">
        <f ca="1">ROUND(B2*10000/IF(C1="",'数据-汇总表'!E3,INDIRECT("'数据-取费表'!K"&amp;$K$1)),0)</f>
        <v>0</v>
      </c>
      <c r="C3" s="267" t="s">
        <v>1596</v>
      </c>
      <c r="D3" s="267"/>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0.1</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52990.34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0.03</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52990.34</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1060</v>
      </c>
      <c r="D20" s="795">
        <f ca="1">IF(C1="",'数据-汇总表'!E6,IF(INDIRECT("'数据-取费表'!c"&amp;$K$1)="住宅",INDIRECT("'数据-取费表'!s"&amp;$K$1),INDIRECT("'数据-取费表'!k"&amp;$K$1)+INDIRECT("'数据-取费表'!s"&amp;$K$1)))</f>
        <v>52990.34</v>
      </c>
      <c r="E20" s="21">
        <f>'数据-取费表'!B28</f>
        <v>200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0.03</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0.03</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0.03</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01" t="s">
        <v>694</v>
      </c>
      <c r="C6" s="1010">
        <f ca="1">ROUND(F6*F8*F7*(1-F9),0)</f>
        <v>0</v>
      </c>
      <c r="D6" s="146" t="s">
        <v>2106</v>
      </c>
      <c r="E6" s="293" t="s">
        <v>696</v>
      </c>
      <c r="F6" s="294">
        <f ca="1">INDIRECT("'数据-取费表'!u"&amp;$G$1)</f>
        <v>0</v>
      </c>
      <c r="G6" s="1291"/>
      <c r="H6" s="1005" t="s">
        <v>398</v>
      </c>
      <c r="I6" s="3401" t="s">
        <v>694</v>
      </c>
      <c r="J6" s="292">
        <f ca="1">ROUND(M6*M8*M7*(1-M9),0)</f>
        <v>0</v>
      </c>
      <c r="K6" s="1283" t="s">
        <v>2107</v>
      </c>
      <c r="L6" s="293" t="s">
        <v>696</v>
      </c>
      <c r="M6" s="294">
        <f ca="1">INDIRECT("'数据-取费表'!z"&amp;$G$1)</f>
        <v>0</v>
      </c>
    </row>
    <row r="7" spans="1:37" ht="18" customHeight="1">
      <c r="A7" s="1009"/>
      <c r="B7" s="3402"/>
      <c r="C7" s="1011"/>
      <c r="D7" s="298"/>
      <c r="E7" s="1012" t="s">
        <v>697</v>
      </c>
      <c r="F7" s="294">
        <f ca="1">IF(INDIRECT("'数据-取费表'!ah"&amp;$G$1)="",INDIRECT("'数据-取费表'!k"&amp;$G$1),INDIRECT("'数据-取费表'!ah"&amp;$G$1))</f>
        <v>0</v>
      </c>
      <c r="G7" s="1291"/>
      <c r="H7" s="295"/>
      <c r="I7" s="3402"/>
      <c r="J7" s="297"/>
      <c r="K7" s="298"/>
      <c r="L7" s="293" t="s">
        <v>697</v>
      </c>
      <c r="M7" s="294">
        <f ca="1">F7</f>
        <v>0</v>
      </c>
    </row>
    <row r="8" spans="1:37" ht="18" customHeight="1">
      <c r="A8" s="295"/>
      <c r="B8" s="3402"/>
      <c r="C8" s="297"/>
      <c r="D8" s="298"/>
      <c r="E8" s="293" t="s">
        <v>698</v>
      </c>
      <c r="F8" s="294">
        <f ca="1">INDIRECT("'数据-取费表'!ai"&amp;$G$1)</f>
        <v>0</v>
      </c>
      <c r="G8" s="1291"/>
      <c r="H8" s="295"/>
      <c r="I8" s="3402"/>
      <c r="J8" s="297"/>
      <c r="K8" s="298"/>
      <c r="L8" s="293" t="s">
        <v>698</v>
      </c>
      <c r="M8" s="294">
        <f ca="1">INDIRECT("'数据-取费表'!ai"&amp;$G$1)</f>
        <v>0</v>
      </c>
    </row>
    <row r="9" spans="1:37" ht="18" customHeight="1">
      <c r="A9" s="295"/>
      <c r="B9" s="3403"/>
      <c r="C9" s="297"/>
      <c r="D9" s="298"/>
      <c r="E9" s="293" t="s">
        <v>699</v>
      </c>
      <c r="F9" s="303">
        <f ca="1">INDIRECT("'数据-取费表'!w"&amp;$G$1)</f>
        <v>0</v>
      </c>
      <c r="G9" s="1291"/>
      <c r="H9" s="295"/>
      <c r="I9" s="3403"/>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0.1</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0.03</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3315</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0.03</v>
      </c>
      <c r="G20" s="1302"/>
      <c r="H20" s="927" t="s">
        <v>680</v>
      </c>
      <c r="I20" s="146" t="s">
        <v>730</v>
      </c>
      <c r="J20" s="22">
        <f ca="1">ROUND(M20*M21,0)</f>
        <v>0</v>
      </c>
      <c r="K20" s="315" t="s">
        <v>731</v>
      </c>
      <c r="L20" s="293" t="s">
        <v>732</v>
      </c>
      <c r="M20" s="316">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0.03</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0.03</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2297</v>
      </c>
      <c r="I31" s="1304"/>
      <c r="J31" s="1305"/>
      <c r="K31" s="120"/>
      <c r="L31" s="2471"/>
      <c r="M31" s="2472"/>
    </row>
    <row r="32" spans="1:37" ht="18" customHeight="1">
      <c r="A32" s="927" t="s">
        <v>397</v>
      </c>
      <c r="B32" s="293" t="s">
        <v>723</v>
      </c>
      <c r="C32" s="21">
        <f ca="1">IF(项目基本情况!B11="自然人","——",ROUND(C6*F32/(1+'数据-取费表'!C42),0))</f>
        <v>0</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3315</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IF(项目基本情况!B11="自然人","——",ROUND(F34*F35,0))</f>
        <v>0</v>
      </c>
      <c r="D34" s="315" t="s">
        <v>731</v>
      </c>
      <c r="E34" s="293" t="s">
        <v>732</v>
      </c>
      <c r="F34" s="316">
        <f>'数据-取费表'!B52</f>
        <v>30</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ROUND(C29*F36,0)</f>
        <v>0</v>
      </c>
      <c r="D36" s="1255" t="s">
        <v>771</v>
      </c>
      <c r="E36" s="293" t="s">
        <v>712</v>
      </c>
      <c r="F36" s="319">
        <f ca="1">INDIRECT("'数据-取费表'!Ak"&amp;$G$1)</f>
        <v>0</v>
      </c>
      <c r="G36" s="1291"/>
      <c r="H36" s="2473"/>
      <c r="I36" s="1304"/>
      <c r="J36" s="1305"/>
      <c r="K36" s="2330"/>
      <c r="L36" s="2473"/>
      <c r="M36" s="2473"/>
    </row>
    <row r="37" spans="1:18" ht="18" customHeight="1">
      <c r="A37" s="927" t="s">
        <v>437</v>
      </c>
      <c r="B37" s="293" t="s">
        <v>742</v>
      </c>
      <c r="C37" s="21">
        <f ca="1">ROUND(C13*F37,0)</f>
        <v>0</v>
      </c>
      <c r="D37" s="1255" t="s">
        <v>743</v>
      </c>
      <c r="E37" s="293" t="s">
        <v>744</v>
      </c>
      <c r="F37" s="320">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1">
        <f ca="1">C5-C30</f>
        <v>0</v>
      </c>
      <c r="D39" s="1031" t="s">
        <v>773</v>
      </c>
      <c r="E39" s="1032"/>
      <c r="F39" s="1033"/>
      <c r="G39" s="1291"/>
      <c r="H39" s="2473"/>
      <c r="I39" s="1304"/>
      <c r="J39" s="1305"/>
      <c r="K39" s="2471"/>
      <c r="L39" s="2473"/>
      <c r="M39" s="2473"/>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3331</v>
      </c>
      <c r="B45" s="1306"/>
      <c r="C45" s="1375" t="e">
        <f ca="1">ROUND((C68-C40)/10000,4)</f>
        <v>#DIV/0!</v>
      </c>
      <c r="D45" s="3130" t="s">
        <v>3332</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0</v>
      </c>
      <c r="K53" s="3404" t="s">
        <v>837</v>
      </c>
      <c r="L53" s="3405"/>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3315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30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8"/>
      <c r="H1" s="458"/>
      <c r="I1" s="458"/>
      <c r="J1" s="458"/>
      <c r="K1" s="458"/>
      <c r="L1" s="458"/>
      <c r="M1" s="458"/>
      <c r="N1" s="458"/>
      <c r="O1" s="458"/>
      <c r="P1" s="458"/>
      <c r="Q1" s="458"/>
      <c r="R1" s="458"/>
      <c r="S1" s="458"/>
    </row>
    <row r="2" spans="1:22" ht="15.75">
      <c r="A2" s="1727" t="s">
        <v>1462</v>
      </c>
      <c r="B2" s="810">
        <f ca="1">SUMIF(B6:B13,"&lt;&gt;#ref!",B6:B13)</f>
        <v>188957</v>
      </c>
      <c r="C2" s="1728" t="s">
        <v>1651</v>
      </c>
      <c r="D2" s="1729" t="s">
        <v>1652</v>
      </c>
      <c r="E2" s="2392">
        <f>SUM(E6:E13)</f>
        <v>52990.34</v>
      </c>
      <c r="F2" s="2479"/>
      <c r="G2" s="458"/>
      <c r="H2" s="458"/>
      <c r="I2" s="458"/>
      <c r="J2" s="458"/>
      <c r="K2" s="458"/>
      <c r="L2" s="458"/>
      <c r="M2" s="458"/>
      <c r="N2" s="458"/>
      <c r="O2" s="458"/>
      <c r="P2" s="458"/>
      <c r="Q2" s="458"/>
      <c r="R2" s="458"/>
      <c r="S2" s="458"/>
    </row>
    <row r="3" spans="1:22" ht="15.75">
      <c r="A3" s="1727" t="s">
        <v>686</v>
      </c>
      <c r="B3" s="2386">
        <f ca="1">ROUND(B2*10000/E2,0)</f>
        <v>35659</v>
      </c>
      <c r="C3" s="1728" t="s">
        <v>1659</v>
      </c>
      <c r="D3" s="2479"/>
      <c r="E3" s="2482"/>
      <c r="F3" s="2479"/>
      <c r="G3" s="458"/>
      <c r="H3" s="458"/>
      <c r="I3" s="458"/>
      <c r="J3" s="458"/>
      <c r="K3" s="458"/>
      <c r="L3" s="458"/>
      <c r="M3" s="458"/>
      <c r="N3" s="458"/>
      <c r="O3" s="458"/>
      <c r="P3" s="458"/>
      <c r="Q3" s="458"/>
      <c r="R3" s="458"/>
      <c r="S3" s="458"/>
    </row>
    <row r="4" spans="1:22" ht="15.75">
      <c r="A4" s="2483"/>
      <c r="B4" s="2479"/>
      <c r="C4" s="2479"/>
      <c r="D4" s="2479"/>
      <c r="E4" s="2482"/>
      <c r="F4" s="2479"/>
      <c r="G4" s="458"/>
      <c r="H4" s="458"/>
      <c r="I4" s="458"/>
      <c r="J4" s="458"/>
      <c r="K4" s="458"/>
      <c r="L4" s="458"/>
      <c r="M4" s="458"/>
      <c r="N4" s="458"/>
      <c r="O4" s="458"/>
      <c r="P4" s="458"/>
      <c r="Q4" s="458"/>
      <c r="R4" s="458"/>
      <c r="S4" s="458"/>
    </row>
    <row r="5" spans="1:22" ht="15">
      <c r="A5" s="2388" t="s">
        <v>1653</v>
      </c>
      <c r="B5" s="3406" t="s">
        <v>1654</v>
      </c>
      <c r="C5" s="3407"/>
      <c r="D5" s="2480"/>
      <c r="E5" s="1730" t="s">
        <v>1655</v>
      </c>
      <c r="F5" s="128" t="s">
        <v>1656</v>
      </c>
      <c r="G5" s="458"/>
      <c r="H5" s="458"/>
      <c r="I5" s="458"/>
      <c r="J5" s="458"/>
      <c r="K5" s="458"/>
      <c r="L5" s="458"/>
      <c r="M5" s="458"/>
      <c r="N5" s="458"/>
      <c r="O5" s="458"/>
      <c r="P5" s="458"/>
      <c r="Q5" s="458"/>
      <c r="R5" s="458"/>
      <c r="S5" s="458"/>
    </row>
    <row r="6" spans="1:22">
      <c r="A6" s="2389" t="str">
        <f>'数据-取费表'!AN6</f>
        <v>收益法</v>
      </c>
      <c r="B6" s="2387">
        <f ca="1">IF(F6="是",'数据-取费表'!AO6,0)</f>
        <v>188957</v>
      </c>
      <c r="C6" s="1728" t="s">
        <v>1651</v>
      </c>
      <c r="D6" s="2479"/>
      <c r="E6" s="2391">
        <f>IF(OR(A6=0,F6="否"),0,'数据-取费表'!K6+'数据-取费表'!S6)</f>
        <v>52990.34</v>
      </c>
      <c r="F6" s="1731" t="s">
        <v>1657</v>
      </c>
      <c r="G6" s="458"/>
      <c r="H6" s="458"/>
      <c r="I6" s="458"/>
      <c r="J6" s="458"/>
      <c r="K6" s="458"/>
      <c r="L6" s="458"/>
      <c r="M6" s="458"/>
      <c r="N6" s="458"/>
      <c r="O6" s="458"/>
      <c r="P6" s="458"/>
      <c r="Q6" s="458"/>
      <c r="R6" s="458"/>
      <c r="S6" s="458"/>
    </row>
    <row r="7" spans="1:22">
      <c r="A7" s="2389">
        <f>'数据-取费表'!AN7</f>
        <v>0</v>
      </c>
      <c r="B7" s="2387" t="e">
        <f ca="1">IF(F7="是",'数据-取费表'!AO7,0)</f>
        <v>#REF!</v>
      </c>
      <c r="C7" s="1728" t="s">
        <v>1651</v>
      </c>
      <c r="D7" s="2479"/>
      <c r="E7" s="2391">
        <f>IF(OR(A7=0,F7="否"),0,'数据-取费表'!K7+'数据-取费表'!S7)</f>
        <v>0</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9"/>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9"/>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9"/>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9"/>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9"/>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52990.34</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4" t="s">
        <v>1666</v>
      </c>
      <c r="B4" s="345"/>
      <c r="C4" s="3426" t="s">
        <v>1667</v>
      </c>
      <c r="D4" s="3427"/>
      <c r="E4" s="3428" t="s">
        <v>1668</v>
      </c>
      <c r="F4" s="3429"/>
      <c r="G4" s="3426" t="s">
        <v>1669</v>
      </c>
      <c r="H4" s="3427"/>
      <c r="I4" s="3426" t="s">
        <v>1670</v>
      </c>
      <c r="J4" s="3427"/>
      <c r="K4" s="1743" t="s">
        <v>1671</v>
      </c>
      <c r="L4" s="2486"/>
      <c r="M4" s="2487"/>
      <c r="N4" s="2487"/>
      <c r="O4" s="2487"/>
      <c r="P4" s="3430" t="s">
        <v>1672</v>
      </c>
      <c r="Q4" s="3431"/>
      <c r="R4" s="3413" t="s">
        <v>1668</v>
      </c>
      <c r="S4" s="3414"/>
      <c r="T4" s="3413" t="s">
        <v>1669</v>
      </c>
      <c r="U4" s="3414"/>
      <c r="V4" s="3438" t="s">
        <v>1670</v>
      </c>
      <c r="W4" s="3438"/>
      <c r="X4" s="1264"/>
      <c r="Y4" s="3413" t="s">
        <v>1672</v>
      </c>
      <c r="Z4" s="3414"/>
      <c r="AA4" s="3408" t="s">
        <v>1668</v>
      </c>
      <c r="AB4" s="3408" t="s">
        <v>1669</v>
      </c>
      <c r="AC4" s="3408" t="s">
        <v>1670</v>
      </c>
    </row>
    <row r="5" spans="1:29" ht="15">
      <c r="A5" s="347"/>
      <c r="B5" s="348"/>
      <c r="C5" s="3419" t="s">
        <v>1673</v>
      </c>
      <c r="D5" s="3420"/>
      <c r="E5" s="3417" t="s">
        <v>1674</v>
      </c>
      <c r="F5" s="3418"/>
      <c r="G5" s="3419" t="s">
        <v>1675</v>
      </c>
      <c r="H5" s="3420"/>
      <c r="I5" s="3419" t="s">
        <v>1676</v>
      </c>
      <c r="J5" s="3420"/>
      <c r="K5" s="1744"/>
      <c r="L5" s="2486"/>
      <c r="M5" s="2487"/>
      <c r="N5" s="2487"/>
      <c r="O5" s="2487"/>
      <c r="P5" s="3432"/>
      <c r="Q5" s="3433"/>
      <c r="R5" s="3415"/>
      <c r="S5" s="3416"/>
      <c r="T5" s="3415"/>
      <c r="U5" s="3416"/>
      <c r="V5" s="3438"/>
      <c r="W5" s="3438"/>
      <c r="X5" s="1264"/>
      <c r="Y5" s="3415"/>
      <c r="Z5" s="3416"/>
      <c r="AA5" s="3409"/>
      <c r="AB5" s="3409"/>
      <c r="AC5" s="3409"/>
    </row>
    <row r="6" spans="1:29" ht="15.75" thickBot="1">
      <c r="A6" s="349"/>
      <c r="B6" s="350"/>
      <c r="C6" s="3421" t="s">
        <v>1677</v>
      </c>
      <c r="D6" s="3422"/>
      <c r="E6" s="3423" t="s">
        <v>1677</v>
      </c>
      <c r="F6" s="3424"/>
      <c r="G6" s="3421" t="s">
        <v>1677</v>
      </c>
      <c r="H6" s="3422"/>
      <c r="I6" s="3421" t="s">
        <v>1677</v>
      </c>
      <c r="J6" s="3422"/>
      <c r="K6" s="1744" t="s">
        <v>1678</v>
      </c>
      <c r="L6" s="2486"/>
      <c r="M6" s="2487"/>
      <c r="N6" s="2487"/>
      <c r="O6" s="2487"/>
      <c r="P6" s="3434"/>
      <c r="Q6" s="3435"/>
      <c r="R6" s="3415"/>
      <c r="S6" s="3416"/>
      <c r="T6" s="3436"/>
      <c r="U6" s="3437"/>
      <c r="V6" s="3438"/>
      <c r="W6" s="3438"/>
      <c r="X6" s="1264"/>
      <c r="Y6" s="3436"/>
      <c r="Z6" s="3437"/>
      <c r="AA6" s="3410"/>
      <c r="AB6" s="3410"/>
      <c r="AC6" s="3410"/>
    </row>
    <row r="7" spans="1:29" s="101" customFormat="1" ht="15.75" thickBot="1">
      <c r="A7" s="351" t="s">
        <v>1679</v>
      </c>
      <c r="B7" s="352"/>
      <c r="C7" s="353">
        <f>'数据-取费表'!B2</f>
        <v>45862</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411" t="s">
        <v>1680</v>
      </c>
      <c r="Q7" s="3439"/>
      <c r="R7" s="663" t="s">
        <v>20</v>
      </c>
      <c r="S7" s="664">
        <f t="shared" ref="S7:S15" si="0">F7</f>
        <v>0</v>
      </c>
      <c r="T7" s="663" t="s">
        <v>20</v>
      </c>
      <c r="U7" s="664">
        <f t="shared" ref="U7:U15" si="1">H7</f>
        <v>0</v>
      </c>
      <c r="V7" s="663" t="s">
        <v>20</v>
      </c>
      <c r="W7" s="664">
        <f t="shared" ref="W7:W15" si="2">J7</f>
        <v>0</v>
      </c>
      <c r="X7" s="665"/>
      <c r="Y7" s="3411" t="s">
        <v>1680</v>
      </c>
      <c r="Z7" s="3412"/>
      <c r="AA7" s="50" t="e">
        <f>D7/F7</f>
        <v>#DIV/0!</v>
      </c>
      <c r="AB7" s="50" t="e">
        <f>D7/H7</f>
        <v>#DIV/0!</v>
      </c>
      <c r="AC7" s="50"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411" t="s">
        <v>1683</v>
      </c>
      <c r="Q8" s="3412"/>
      <c r="R8" s="663" t="s">
        <v>20</v>
      </c>
      <c r="S8" s="664">
        <f t="shared" si="0"/>
        <v>100</v>
      </c>
      <c r="T8" s="663" t="s">
        <v>20</v>
      </c>
      <c r="U8" s="664">
        <f t="shared" si="1"/>
        <v>100</v>
      </c>
      <c r="V8" s="663" t="s">
        <v>20</v>
      </c>
      <c r="W8" s="664">
        <f t="shared" si="2"/>
        <v>100</v>
      </c>
      <c r="X8" s="665"/>
      <c r="Y8" s="3411" t="s">
        <v>1683</v>
      </c>
      <c r="Z8" s="3412"/>
      <c r="AA8" s="50">
        <f t="shared" ref="AA8:AA19" si="3">D8/F8</f>
        <v>1</v>
      </c>
      <c r="AB8" s="50">
        <f t="shared" ref="AB8:AB19" si="4">D8/H8</f>
        <v>1</v>
      </c>
      <c r="AC8" s="50">
        <f t="shared" ref="AC8:AC19" si="5">D8/J8</f>
        <v>1</v>
      </c>
    </row>
    <row r="9" spans="1:29" s="101"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8"/>
      <c r="M9" s="2439"/>
      <c r="N9" s="2439"/>
      <c r="O9" s="2439"/>
      <c r="P9" s="3425" t="s">
        <v>1686</v>
      </c>
      <c r="Q9" s="529" t="str">
        <f t="shared" ref="Q9:Q15" si="6">B9</f>
        <v>用途</v>
      </c>
      <c r="R9" s="663" t="s">
        <v>14</v>
      </c>
      <c r="S9" s="664">
        <f t="shared" si="0"/>
        <v>100</v>
      </c>
      <c r="T9" s="663" t="s">
        <v>14</v>
      </c>
      <c r="U9" s="664">
        <f t="shared" si="1"/>
        <v>100</v>
      </c>
      <c r="V9" s="663" t="s">
        <v>14</v>
      </c>
      <c r="W9" s="664">
        <f t="shared" si="2"/>
        <v>100</v>
      </c>
      <c r="X9" s="665"/>
      <c r="Y9" s="3374"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1745"/>
      <c r="L10" s="2489"/>
      <c r="M10" s="2490"/>
      <c r="N10" s="2490"/>
      <c r="O10" s="2490"/>
      <c r="P10" s="3425"/>
      <c r="Q10" s="529" t="str">
        <f t="shared" si="6"/>
        <v>土地使用年限（年）</v>
      </c>
      <c r="R10" s="663" t="s">
        <v>14</v>
      </c>
      <c r="S10" s="664">
        <f t="shared" si="0"/>
        <v>100</v>
      </c>
      <c r="T10" s="663" t="s">
        <v>14</v>
      </c>
      <c r="U10" s="664">
        <f t="shared" si="1"/>
        <v>100</v>
      </c>
      <c r="V10" s="663" t="s">
        <v>14</v>
      </c>
      <c r="W10" s="664">
        <f t="shared" si="2"/>
        <v>100</v>
      </c>
      <c r="X10" s="665"/>
      <c r="Y10" s="3374"/>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425"/>
      <c r="Q11" s="529" t="str">
        <f t="shared" si="6"/>
        <v>容积率</v>
      </c>
      <c r="R11" s="663" t="s">
        <v>18</v>
      </c>
      <c r="S11" s="664" t="e">
        <f t="shared" si="0"/>
        <v>#N/A</v>
      </c>
      <c r="T11" s="663" t="s">
        <v>18</v>
      </c>
      <c r="U11" s="664" t="e">
        <f t="shared" si="1"/>
        <v>#N/A</v>
      </c>
      <c r="V11" s="663" t="s">
        <v>18</v>
      </c>
      <c r="W11" s="664" t="e">
        <f t="shared" si="2"/>
        <v>#N/A</v>
      </c>
      <c r="X11" s="665"/>
      <c r="Y11" s="3374"/>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425"/>
      <c r="Q12" s="529">
        <f t="shared" si="6"/>
        <v>111</v>
      </c>
      <c r="R12" s="663" t="s">
        <v>18</v>
      </c>
      <c r="S12" s="664">
        <f t="shared" si="0"/>
        <v>100</v>
      </c>
      <c r="T12" s="663" t="s">
        <v>18</v>
      </c>
      <c r="U12" s="664">
        <f t="shared" si="1"/>
        <v>100</v>
      </c>
      <c r="V12" s="663" t="s">
        <v>18</v>
      </c>
      <c r="W12" s="664">
        <f t="shared" si="2"/>
        <v>100</v>
      </c>
      <c r="X12" s="665"/>
      <c r="Y12" s="3374"/>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425"/>
      <c r="Q13" s="529">
        <f t="shared" si="6"/>
        <v>111</v>
      </c>
      <c r="R13" s="663" t="s">
        <v>18</v>
      </c>
      <c r="S13" s="664">
        <f t="shared" si="0"/>
        <v>100</v>
      </c>
      <c r="T13" s="663" t="s">
        <v>18</v>
      </c>
      <c r="U13" s="664">
        <f t="shared" si="1"/>
        <v>100</v>
      </c>
      <c r="V13" s="663" t="s">
        <v>18</v>
      </c>
      <c r="W13" s="664">
        <f t="shared" si="2"/>
        <v>100</v>
      </c>
      <c r="X13" s="665"/>
      <c r="Y13" s="3374"/>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425"/>
      <c r="Q14" s="529">
        <f t="shared" si="6"/>
        <v>111</v>
      </c>
      <c r="R14" s="663" t="s">
        <v>18</v>
      </c>
      <c r="S14" s="664">
        <f t="shared" si="0"/>
        <v>100</v>
      </c>
      <c r="T14" s="663" t="s">
        <v>18</v>
      </c>
      <c r="U14" s="664">
        <f t="shared" si="1"/>
        <v>100</v>
      </c>
      <c r="V14" s="663" t="s">
        <v>18</v>
      </c>
      <c r="W14" s="664">
        <f t="shared" si="2"/>
        <v>100</v>
      </c>
      <c r="X14" s="665"/>
      <c r="Y14" s="3374"/>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451" t="s">
        <v>1691</v>
      </c>
      <c r="Q15" s="1262" t="str">
        <f t="shared" si="6"/>
        <v>居住社区成熟度</v>
      </c>
      <c r="R15" s="666" t="s">
        <v>18</v>
      </c>
      <c r="S15" s="667">
        <f t="shared" si="0"/>
        <v>100</v>
      </c>
      <c r="T15" s="666" t="s">
        <v>18</v>
      </c>
      <c r="U15" s="667">
        <f t="shared" si="1"/>
        <v>100</v>
      </c>
      <c r="V15" s="666" t="s">
        <v>18</v>
      </c>
      <c r="W15" s="667">
        <f t="shared" si="2"/>
        <v>100</v>
      </c>
      <c r="X15" s="1264"/>
      <c r="Y15" s="3444"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452"/>
      <c r="Q16" s="1262"/>
      <c r="R16" s="666"/>
      <c r="S16" s="667"/>
      <c r="T16" s="666"/>
      <c r="U16" s="667"/>
      <c r="V16" s="666"/>
      <c r="W16" s="667"/>
      <c r="X16" s="1264"/>
      <c r="Y16" s="3445"/>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452"/>
      <c r="Q17" s="1262" t="str">
        <f>B17</f>
        <v>交通便捷度</v>
      </c>
      <c r="R17" s="666" t="s">
        <v>18</v>
      </c>
      <c r="S17" s="667">
        <f>F17</f>
        <v>100</v>
      </c>
      <c r="T17" s="666" t="s">
        <v>18</v>
      </c>
      <c r="U17" s="667">
        <f>H17</f>
        <v>100</v>
      </c>
      <c r="V17" s="666" t="s">
        <v>18</v>
      </c>
      <c r="W17" s="667">
        <f>J17</f>
        <v>100</v>
      </c>
      <c r="X17" s="1264"/>
      <c r="Y17" s="3445"/>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452"/>
      <c r="Q18" s="1262"/>
      <c r="R18" s="666"/>
      <c r="S18" s="667"/>
      <c r="T18" s="666"/>
      <c r="U18" s="667"/>
      <c r="V18" s="666"/>
      <c r="W18" s="667"/>
      <c r="X18" s="1264"/>
      <c r="Y18" s="3445"/>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452"/>
      <c r="Q19" s="1262" t="str">
        <f>B19</f>
        <v>公共配套设施</v>
      </c>
      <c r="R19" s="666" t="s">
        <v>18</v>
      </c>
      <c r="S19" s="667">
        <f>F19</f>
        <v>100</v>
      </c>
      <c r="T19" s="666" t="s">
        <v>18</v>
      </c>
      <c r="U19" s="667">
        <f>H19</f>
        <v>100</v>
      </c>
      <c r="V19" s="666" t="s">
        <v>18</v>
      </c>
      <c r="W19" s="667">
        <f>J19</f>
        <v>100</v>
      </c>
      <c r="X19" s="1264"/>
      <c r="Y19" s="3445"/>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452"/>
      <c r="Q20" s="1262"/>
      <c r="R20" s="666"/>
      <c r="S20" s="667"/>
      <c r="T20" s="666"/>
      <c r="U20" s="667"/>
      <c r="V20" s="666"/>
      <c r="W20" s="667"/>
      <c r="X20" s="1264"/>
      <c r="Y20" s="3445"/>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452"/>
      <c r="Q21" s="1262" t="str">
        <f>B21</f>
        <v>基础设施水平</v>
      </c>
      <c r="R21" s="666" t="s">
        <v>14</v>
      </c>
      <c r="S21" s="667">
        <f>F21</f>
        <v>100</v>
      </c>
      <c r="T21" s="666" t="s">
        <v>14</v>
      </c>
      <c r="U21" s="667">
        <f>H21</f>
        <v>100</v>
      </c>
      <c r="V21" s="666" t="s">
        <v>14</v>
      </c>
      <c r="W21" s="667">
        <f>J21</f>
        <v>100</v>
      </c>
      <c r="X21" s="1264"/>
      <c r="Y21" s="3445"/>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452"/>
      <c r="Q22" s="1262"/>
      <c r="R22" s="666"/>
      <c r="S22" s="667"/>
      <c r="T22" s="666"/>
      <c r="U22" s="667"/>
      <c r="V22" s="666"/>
      <c r="W22" s="667"/>
      <c r="X22" s="1264"/>
      <c r="Y22" s="3445"/>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452"/>
      <c r="Q23" s="1262" t="str">
        <f>B23</f>
        <v>自然及人文环境</v>
      </c>
      <c r="R23" s="666" t="s">
        <v>18</v>
      </c>
      <c r="S23" s="667">
        <f>F23</f>
        <v>100</v>
      </c>
      <c r="T23" s="666" t="s">
        <v>18</v>
      </c>
      <c r="U23" s="667">
        <f>H23</f>
        <v>100</v>
      </c>
      <c r="V23" s="666" t="s">
        <v>18</v>
      </c>
      <c r="W23" s="667">
        <f>J23</f>
        <v>100</v>
      </c>
      <c r="X23" s="1264"/>
      <c r="Y23" s="3445"/>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452"/>
      <c r="Q24" s="1262"/>
      <c r="R24" s="666"/>
      <c r="S24" s="667"/>
      <c r="T24" s="666"/>
      <c r="U24" s="667"/>
      <c r="V24" s="666"/>
      <c r="W24" s="667"/>
      <c r="X24" s="1264"/>
      <c r="Y24" s="3445"/>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452"/>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45"/>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452"/>
      <c r="Q26" s="1262" t="str">
        <f t="shared" si="11"/>
        <v>朝向</v>
      </c>
      <c r="R26" s="666" t="s">
        <v>18</v>
      </c>
      <c r="S26" s="667">
        <f t="shared" si="12"/>
        <v>100</v>
      </c>
      <c r="T26" s="666" t="s">
        <v>18</v>
      </c>
      <c r="U26" s="667">
        <f t="shared" si="13"/>
        <v>100</v>
      </c>
      <c r="V26" s="666" t="s">
        <v>18</v>
      </c>
      <c r="W26" s="667">
        <f t="shared" si="14"/>
        <v>100</v>
      </c>
      <c r="X26" s="1264"/>
      <c r="Y26" s="3445"/>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452"/>
      <c r="Q27" s="529">
        <f t="shared" si="11"/>
        <v>111</v>
      </c>
      <c r="R27" s="663" t="s">
        <v>18</v>
      </c>
      <c r="S27" s="664">
        <f t="shared" si="12"/>
        <v>100</v>
      </c>
      <c r="T27" s="663" t="s">
        <v>18</v>
      </c>
      <c r="U27" s="664">
        <f t="shared" si="13"/>
        <v>100</v>
      </c>
      <c r="V27" s="663" t="s">
        <v>18</v>
      </c>
      <c r="W27" s="664">
        <f t="shared" si="14"/>
        <v>100</v>
      </c>
      <c r="X27" s="665"/>
      <c r="Y27" s="3445"/>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452"/>
      <c r="Q28" s="1262">
        <f t="shared" si="11"/>
        <v>111</v>
      </c>
      <c r="R28" s="666" t="s">
        <v>18</v>
      </c>
      <c r="S28" s="667">
        <f t="shared" si="12"/>
        <v>100</v>
      </c>
      <c r="T28" s="666" t="s">
        <v>18</v>
      </c>
      <c r="U28" s="667">
        <f t="shared" si="13"/>
        <v>100</v>
      </c>
      <c r="V28" s="666" t="s">
        <v>18</v>
      </c>
      <c r="W28" s="667">
        <f t="shared" si="14"/>
        <v>100</v>
      </c>
      <c r="X28" s="1264"/>
      <c r="Y28" s="3445"/>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452"/>
      <c r="Q29" s="1262">
        <f t="shared" si="11"/>
        <v>111</v>
      </c>
      <c r="R29" s="666" t="s">
        <v>18</v>
      </c>
      <c r="S29" s="667">
        <f t="shared" si="12"/>
        <v>100</v>
      </c>
      <c r="T29" s="666" t="s">
        <v>18</v>
      </c>
      <c r="U29" s="667">
        <f t="shared" si="13"/>
        <v>100</v>
      </c>
      <c r="V29" s="666" t="s">
        <v>18</v>
      </c>
      <c r="W29" s="667">
        <f t="shared" si="14"/>
        <v>100</v>
      </c>
      <c r="X29" s="1264"/>
      <c r="Y29" s="3445"/>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452"/>
      <c r="Q30" s="1262">
        <f t="shared" si="11"/>
        <v>111</v>
      </c>
      <c r="R30" s="666" t="s">
        <v>18</v>
      </c>
      <c r="S30" s="667">
        <f t="shared" si="12"/>
        <v>100</v>
      </c>
      <c r="T30" s="666" t="s">
        <v>18</v>
      </c>
      <c r="U30" s="667">
        <f t="shared" si="13"/>
        <v>100</v>
      </c>
      <c r="V30" s="666" t="s">
        <v>18</v>
      </c>
      <c r="W30" s="667">
        <f t="shared" si="14"/>
        <v>100</v>
      </c>
      <c r="X30" s="1264"/>
      <c r="Y30" s="3445"/>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452"/>
      <c r="Q31" s="1262">
        <f t="shared" si="11"/>
        <v>111</v>
      </c>
      <c r="R31" s="666" t="s">
        <v>18</v>
      </c>
      <c r="S31" s="667">
        <f t="shared" si="12"/>
        <v>100</v>
      </c>
      <c r="T31" s="666" t="s">
        <v>18</v>
      </c>
      <c r="U31" s="667">
        <f t="shared" si="13"/>
        <v>100</v>
      </c>
      <c r="V31" s="666" t="s">
        <v>18</v>
      </c>
      <c r="W31" s="667">
        <f t="shared" si="14"/>
        <v>100</v>
      </c>
      <c r="X31" s="1264"/>
      <c r="Y31" s="3445"/>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446" t="s">
        <v>1696</v>
      </c>
      <c r="Q32" s="1262" t="str">
        <f t="shared" si="11"/>
        <v>建筑类型</v>
      </c>
      <c r="R32" s="666" t="s">
        <v>18</v>
      </c>
      <c r="S32" s="667">
        <f t="shared" si="12"/>
        <v>100</v>
      </c>
      <c r="T32" s="666" t="s">
        <v>18</v>
      </c>
      <c r="U32" s="667">
        <f t="shared" si="13"/>
        <v>100</v>
      </c>
      <c r="V32" s="666" t="s">
        <v>18</v>
      </c>
      <c r="W32" s="667">
        <f t="shared" si="14"/>
        <v>100</v>
      </c>
      <c r="X32" s="1264"/>
      <c r="Y32" s="3449"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447"/>
      <c r="Q33" s="530" t="str">
        <f t="shared" si="11"/>
        <v>项目建筑规模</v>
      </c>
      <c r="R33" s="668" t="s">
        <v>18</v>
      </c>
      <c r="S33" s="669" t="e">
        <f t="shared" si="12"/>
        <v>#N/A</v>
      </c>
      <c r="T33" s="668" t="s">
        <v>18</v>
      </c>
      <c r="U33" s="669" t="e">
        <f t="shared" si="13"/>
        <v>#N/A</v>
      </c>
      <c r="V33" s="668" t="s">
        <v>18</v>
      </c>
      <c r="W33" s="669" t="e">
        <f t="shared" si="14"/>
        <v>#N/A</v>
      </c>
      <c r="X33" s="670"/>
      <c r="Y33" s="3449"/>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447"/>
      <c r="Q34" s="1262" t="str">
        <f t="shared" si="11"/>
        <v>建筑结构</v>
      </c>
      <c r="R34" s="666" t="s">
        <v>18</v>
      </c>
      <c r="S34" s="667">
        <f t="shared" si="12"/>
        <v>100</v>
      </c>
      <c r="T34" s="666" t="s">
        <v>18</v>
      </c>
      <c r="U34" s="667">
        <f t="shared" si="13"/>
        <v>100</v>
      </c>
      <c r="V34" s="666" t="s">
        <v>18</v>
      </c>
      <c r="W34" s="667">
        <f t="shared" si="14"/>
        <v>100</v>
      </c>
      <c r="X34" s="1264"/>
      <c r="Y34" s="3449"/>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447"/>
      <c r="Q35" s="1262" t="str">
        <f t="shared" si="11"/>
        <v>建筑品质</v>
      </c>
      <c r="R35" s="666" t="s">
        <v>18</v>
      </c>
      <c r="S35" s="667">
        <f t="shared" si="12"/>
        <v>100</v>
      </c>
      <c r="T35" s="666" t="s">
        <v>18</v>
      </c>
      <c r="U35" s="667">
        <f t="shared" si="13"/>
        <v>100</v>
      </c>
      <c r="V35" s="666" t="s">
        <v>18</v>
      </c>
      <c r="W35" s="667">
        <f t="shared" si="14"/>
        <v>100</v>
      </c>
      <c r="X35" s="1264"/>
      <c r="Y35" s="3449"/>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447"/>
      <c r="Q36" s="1262" t="str">
        <f t="shared" si="11"/>
        <v>公共部分装修</v>
      </c>
      <c r="R36" s="666" t="s">
        <v>18</v>
      </c>
      <c r="S36" s="667">
        <f t="shared" si="12"/>
        <v>100</v>
      </c>
      <c r="T36" s="666" t="s">
        <v>18</v>
      </c>
      <c r="U36" s="667">
        <f t="shared" si="13"/>
        <v>100</v>
      </c>
      <c r="V36" s="666" t="s">
        <v>18</v>
      </c>
      <c r="W36" s="667">
        <f t="shared" si="14"/>
        <v>100</v>
      </c>
      <c r="X36" s="1264"/>
      <c r="Y36" s="3449"/>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447"/>
      <c r="Q37" s="529" t="str">
        <f t="shared" si="11"/>
        <v>成新度</v>
      </c>
      <c r="R37" s="663" t="s">
        <v>18</v>
      </c>
      <c r="S37" s="664" t="e">
        <f t="shared" si="12"/>
        <v>#N/A</v>
      </c>
      <c r="T37" s="663" t="s">
        <v>18</v>
      </c>
      <c r="U37" s="664" t="e">
        <f t="shared" si="13"/>
        <v>#N/A</v>
      </c>
      <c r="V37" s="663" t="s">
        <v>18</v>
      </c>
      <c r="W37" s="664" t="e">
        <f t="shared" si="14"/>
        <v>#N/A</v>
      </c>
      <c r="X37" s="665"/>
      <c r="Y37" s="3449"/>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447" t="s">
        <v>1696</v>
      </c>
      <c r="Q38" s="1262" t="str">
        <f t="shared" si="11"/>
        <v>物业管理</v>
      </c>
      <c r="R38" s="666" t="s">
        <v>18</v>
      </c>
      <c r="S38" s="667">
        <f t="shared" si="12"/>
        <v>100</v>
      </c>
      <c r="T38" s="666" t="s">
        <v>18</v>
      </c>
      <c r="U38" s="667">
        <f t="shared" si="13"/>
        <v>100</v>
      </c>
      <c r="V38" s="666" t="s">
        <v>18</v>
      </c>
      <c r="W38" s="667">
        <f t="shared" si="14"/>
        <v>100</v>
      </c>
      <c r="X38" s="1264"/>
      <c r="Y38" s="3449"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447"/>
      <c r="Q39" s="1262" t="str">
        <f t="shared" si="11"/>
        <v>市政基础设施</v>
      </c>
      <c r="R39" s="666" t="s">
        <v>18</v>
      </c>
      <c r="S39" s="667">
        <f t="shared" si="12"/>
        <v>100</v>
      </c>
      <c r="T39" s="666" t="s">
        <v>18</v>
      </c>
      <c r="U39" s="667">
        <f t="shared" si="13"/>
        <v>100</v>
      </c>
      <c r="V39" s="666" t="s">
        <v>18</v>
      </c>
      <c r="W39" s="667">
        <f t="shared" si="14"/>
        <v>100</v>
      </c>
      <c r="X39" s="1264"/>
      <c r="Y39" s="3449"/>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447"/>
      <c r="Q40" s="1262" t="str">
        <f t="shared" si="11"/>
        <v>房型</v>
      </c>
      <c r="R40" s="666" t="s">
        <v>18</v>
      </c>
      <c r="S40" s="667">
        <f t="shared" si="12"/>
        <v>100</v>
      </c>
      <c r="T40" s="666" t="s">
        <v>18</v>
      </c>
      <c r="U40" s="667">
        <f t="shared" si="13"/>
        <v>100</v>
      </c>
      <c r="V40" s="666" t="s">
        <v>18</v>
      </c>
      <c r="W40" s="667">
        <f t="shared" si="14"/>
        <v>100</v>
      </c>
      <c r="X40" s="1264"/>
      <c r="Y40" s="3449"/>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447"/>
      <c r="Q41" s="530" t="str">
        <f t="shared" si="11"/>
        <v>单套/主力户型建筑面积</v>
      </c>
      <c r="R41" s="668" t="s">
        <v>18</v>
      </c>
      <c r="S41" s="669">
        <f t="shared" si="12"/>
        <v>100</v>
      </c>
      <c r="T41" s="668" t="s">
        <v>18</v>
      </c>
      <c r="U41" s="669">
        <f t="shared" si="13"/>
        <v>100</v>
      </c>
      <c r="V41" s="668" t="s">
        <v>18</v>
      </c>
      <c r="W41" s="669">
        <f t="shared" si="14"/>
        <v>100</v>
      </c>
      <c r="X41" s="670"/>
      <c r="Y41" s="3449"/>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447"/>
      <c r="Q42" s="1262" t="str">
        <f t="shared" si="11"/>
        <v>内部装修</v>
      </c>
      <c r="R42" s="666" t="s">
        <v>18</v>
      </c>
      <c r="S42" s="667">
        <f t="shared" si="12"/>
        <v>100</v>
      </c>
      <c r="T42" s="666" t="s">
        <v>18</v>
      </c>
      <c r="U42" s="667">
        <f t="shared" si="13"/>
        <v>100</v>
      </c>
      <c r="V42" s="666" t="s">
        <v>18</v>
      </c>
      <c r="W42" s="667">
        <f t="shared" si="14"/>
        <v>100</v>
      </c>
      <c r="X42" s="1264"/>
      <c r="Y42" s="3449"/>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447"/>
      <c r="Q43" s="1262" t="str">
        <f t="shared" si="11"/>
        <v>内部装修维护情况</v>
      </c>
      <c r="R43" s="666" t="s">
        <v>18</v>
      </c>
      <c r="S43" s="667">
        <f t="shared" si="12"/>
        <v>100</v>
      </c>
      <c r="T43" s="666" t="s">
        <v>18</v>
      </c>
      <c r="U43" s="667">
        <f t="shared" si="13"/>
        <v>100</v>
      </c>
      <c r="V43" s="666" t="s">
        <v>18</v>
      </c>
      <c r="W43" s="667">
        <f t="shared" si="14"/>
        <v>100</v>
      </c>
      <c r="X43" s="1264"/>
      <c r="Y43" s="3449"/>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447"/>
      <c r="Q44" s="529">
        <f t="shared" si="11"/>
        <v>111</v>
      </c>
      <c r="R44" s="663" t="s">
        <v>18</v>
      </c>
      <c r="S44" s="664">
        <f t="shared" si="12"/>
        <v>100</v>
      </c>
      <c r="T44" s="663" t="s">
        <v>18</v>
      </c>
      <c r="U44" s="664">
        <f t="shared" si="13"/>
        <v>100</v>
      </c>
      <c r="V44" s="663" t="s">
        <v>18</v>
      </c>
      <c r="W44" s="664">
        <f t="shared" si="14"/>
        <v>100</v>
      </c>
      <c r="X44" s="665"/>
      <c r="Y44" s="3449"/>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447"/>
      <c r="Q45" s="1262">
        <f t="shared" si="11"/>
        <v>111</v>
      </c>
      <c r="R45" s="666" t="s">
        <v>18</v>
      </c>
      <c r="S45" s="667">
        <f t="shared" si="12"/>
        <v>100</v>
      </c>
      <c r="T45" s="666" t="s">
        <v>18</v>
      </c>
      <c r="U45" s="667">
        <f t="shared" si="13"/>
        <v>100</v>
      </c>
      <c r="V45" s="666" t="s">
        <v>18</v>
      </c>
      <c r="W45" s="667">
        <f t="shared" si="14"/>
        <v>100</v>
      </c>
      <c r="X45" s="1264"/>
      <c r="Y45" s="3449"/>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448"/>
      <c r="Q46" s="1262">
        <f t="shared" si="11"/>
        <v>111</v>
      </c>
      <c r="R46" s="666" t="s">
        <v>17</v>
      </c>
      <c r="S46" s="667">
        <f t="shared" si="12"/>
        <v>100</v>
      </c>
      <c r="T46" s="666" t="s">
        <v>17</v>
      </c>
      <c r="U46" s="667">
        <f t="shared" si="13"/>
        <v>100</v>
      </c>
      <c r="V46" s="666" t="s">
        <v>17</v>
      </c>
      <c r="W46" s="667">
        <f t="shared" si="14"/>
        <v>100</v>
      </c>
      <c r="X46" s="1264"/>
      <c r="Y46" s="3450"/>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4"/>
      <c r="M47" s="2487"/>
      <c r="N47" s="2487"/>
      <c r="O47" s="2487"/>
      <c r="P47" s="3443" t="str">
        <f>A47</f>
        <v>成交单价（元/平方米）</v>
      </c>
      <c r="Q47" s="3443"/>
      <c r="R47" s="3438">
        <f>E47</f>
        <v>0</v>
      </c>
      <c r="S47" s="3438"/>
      <c r="T47" s="3438">
        <f>G47</f>
        <v>0</v>
      </c>
      <c r="U47" s="3438"/>
      <c r="V47" s="3438">
        <f>I47</f>
        <v>0</v>
      </c>
      <c r="W47" s="3438"/>
      <c r="X47" s="384"/>
      <c r="Y47" s="672"/>
      <c r="Z47" s="384"/>
      <c r="AA47" s="384"/>
      <c r="AB47" s="384"/>
      <c r="AC47" s="384"/>
    </row>
    <row r="48" spans="1:29" ht="15.75" thickBot="1">
      <c r="A48" s="422" t="s">
        <v>1709</v>
      </c>
      <c r="B48" s="423"/>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443" t="str">
        <f>A48</f>
        <v>比较价值（元/平方米）</v>
      </c>
      <c r="Q48" s="3443"/>
      <c r="R48" s="3438" t="e">
        <f>IF(F1="售价",ROUND(PRODUCT(R47,AA7:AA46),0),ROUND(PRODUCT(R47,AA7:AA46),1))</f>
        <v>#DIV/0!</v>
      </c>
      <c r="S48" s="3438"/>
      <c r="T48" s="3438" t="e">
        <f>IF(F1="售价",ROUND(PRODUCT(T47,AB7:AB46),0),ROUND(PRODUCT(T47,AB7:AB46),1))</f>
        <v>#DIV/0!</v>
      </c>
      <c r="U48" s="3438"/>
      <c r="V48" s="3438" t="e">
        <f>IF(F1="售价",ROUND(PRODUCT(V47,AC7:AC46),0),ROUND(PRODUCT(V47,AC7:AC46),1))</f>
        <v>#DIV/0!</v>
      </c>
      <c r="W48" s="3438"/>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4"/>
      <c r="M49" s="2487"/>
      <c r="N49" s="2487"/>
      <c r="O49" s="2487"/>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2025-7</v>
      </c>
      <c r="D58" s="1103">
        <f>EDATE(C58,-1)</f>
        <v>45809</v>
      </c>
      <c r="E58" s="1103">
        <f>EDATE(D58,-1)</f>
        <v>45778</v>
      </c>
      <c r="F58" s="1103">
        <f t="shared" ref="F58:O58" si="19">EDATE(E58,-1)</f>
        <v>45748</v>
      </c>
      <c r="G58" s="1103">
        <f t="shared" si="19"/>
        <v>45717</v>
      </c>
      <c r="H58" s="1103">
        <f t="shared" si="19"/>
        <v>45689</v>
      </c>
      <c r="I58" s="1103">
        <f t="shared" si="19"/>
        <v>45658</v>
      </c>
      <c r="J58" s="1103">
        <f t="shared" si="19"/>
        <v>45627</v>
      </c>
      <c r="K58" s="1103">
        <f t="shared" si="19"/>
        <v>45597</v>
      </c>
      <c r="L58" s="1103">
        <f t="shared" si="19"/>
        <v>45566</v>
      </c>
      <c r="M58" s="1103">
        <f t="shared" si="19"/>
        <v>45536</v>
      </c>
      <c r="N58" s="1103">
        <f t="shared" si="19"/>
        <v>45505</v>
      </c>
      <c r="O58" s="1103">
        <f t="shared" si="19"/>
        <v>45474</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1"/>
      <c r="E61" s="31"/>
      <c r="F61" s="31"/>
      <c r="G61" s="31"/>
      <c r="H61" s="31"/>
      <c r="I61" s="31"/>
      <c r="J61" s="31"/>
      <c r="K61" s="31"/>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52990.34</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1769</v>
      </c>
      <c r="B4" s="345"/>
      <c r="C4" s="3426" t="s">
        <v>1770</v>
      </c>
      <c r="D4" s="3427"/>
      <c r="E4" s="3428" t="s">
        <v>1771</v>
      </c>
      <c r="F4" s="3429"/>
      <c r="G4" s="3426" t="s">
        <v>1772</v>
      </c>
      <c r="H4" s="3427"/>
      <c r="I4" s="3426" t="s">
        <v>1773</v>
      </c>
      <c r="J4" s="3427"/>
      <c r="K4" s="536" t="s">
        <v>1774</v>
      </c>
      <c r="L4" s="2486"/>
      <c r="M4" s="2487"/>
      <c r="N4" s="2487"/>
      <c r="O4" s="2487"/>
      <c r="P4" s="3430" t="s">
        <v>1775</v>
      </c>
      <c r="Q4" s="3431"/>
      <c r="R4" s="3413" t="s">
        <v>1771</v>
      </c>
      <c r="S4" s="3414"/>
      <c r="T4" s="3413" t="s">
        <v>1772</v>
      </c>
      <c r="U4" s="3414"/>
      <c r="V4" s="3438" t="s">
        <v>1773</v>
      </c>
      <c r="W4" s="3438"/>
      <c r="X4" s="1264"/>
      <c r="Y4" s="3413" t="s">
        <v>1775</v>
      </c>
      <c r="Z4" s="3414"/>
      <c r="AA4" s="3408" t="s">
        <v>1771</v>
      </c>
      <c r="AB4" s="3438" t="s">
        <v>1772</v>
      </c>
      <c r="AC4" s="3408" t="s">
        <v>1773</v>
      </c>
    </row>
    <row r="5" spans="1:29" ht="15">
      <c r="A5" s="347"/>
      <c r="B5" s="348"/>
      <c r="C5" s="3419" t="s">
        <v>1673</v>
      </c>
      <c r="D5" s="3420"/>
      <c r="E5" s="3417" t="s">
        <v>1674</v>
      </c>
      <c r="F5" s="3418"/>
      <c r="G5" s="3419" t="s">
        <v>1675</v>
      </c>
      <c r="H5" s="3420"/>
      <c r="I5" s="3419" t="s">
        <v>1676</v>
      </c>
      <c r="J5" s="3420"/>
      <c r="K5" s="536"/>
      <c r="L5" s="2486"/>
      <c r="M5" s="2487"/>
      <c r="N5" s="2487"/>
      <c r="O5" s="2487"/>
      <c r="P5" s="3432"/>
      <c r="Q5" s="3433"/>
      <c r="R5" s="3415"/>
      <c r="S5" s="3416"/>
      <c r="T5" s="3415"/>
      <c r="U5" s="3416"/>
      <c r="V5" s="3438"/>
      <c r="W5" s="3438"/>
      <c r="X5" s="1264"/>
      <c r="Y5" s="3415"/>
      <c r="Z5" s="3416"/>
      <c r="AA5" s="3409"/>
      <c r="AB5" s="3438"/>
      <c r="AC5" s="3409"/>
    </row>
    <row r="6" spans="1:29" ht="15.75" thickBot="1">
      <c r="A6" s="349"/>
      <c r="B6" s="350"/>
      <c r="C6" s="3421" t="s">
        <v>1677</v>
      </c>
      <c r="D6" s="3422"/>
      <c r="E6" s="3423" t="s">
        <v>1677</v>
      </c>
      <c r="F6" s="3424"/>
      <c r="G6" s="3421" t="s">
        <v>1677</v>
      </c>
      <c r="H6" s="3422"/>
      <c r="I6" s="3421" t="s">
        <v>1677</v>
      </c>
      <c r="J6" s="3422"/>
      <c r="K6" s="536" t="s">
        <v>1678</v>
      </c>
      <c r="L6" s="2486"/>
      <c r="M6" s="2487"/>
      <c r="N6" s="2487"/>
      <c r="O6" s="2487"/>
      <c r="P6" s="3434"/>
      <c r="Q6" s="3435"/>
      <c r="R6" s="3415"/>
      <c r="S6" s="3416"/>
      <c r="T6" s="3436"/>
      <c r="U6" s="3437"/>
      <c r="V6" s="3438"/>
      <c r="W6" s="3438"/>
      <c r="X6" s="1264"/>
      <c r="Y6" s="3436"/>
      <c r="Z6" s="3437"/>
      <c r="AA6" s="3410"/>
      <c r="AB6" s="3438"/>
      <c r="AC6" s="3410"/>
    </row>
    <row r="7" spans="1:29" s="101" customFormat="1" ht="15.75" thickBot="1">
      <c r="A7" s="351" t="s">
        <v>1679</v>
      </c>
      <c r="B7" s="352"/>
      <c r="C7" s="353">
        <f>'数据-取费表'!B2</f>
        <v>45862</v>
      </c>
      <c r="D7" s="354">
        <v>100</v>
      </c>
      <c r="E7" s="355"/>
      <c r="F7" s="356">
        <f>SUMIF(58:58,YEAR(E7)&amp;"-"&amp;MONTH(E7),59:59)</f>
        <v>0</v>
      </c>
      <c r="G7" s="355"/>
      <c r="H7" s="354">
        <f>SUMIF(58:58,YEAR(G7)&amp;"-"&amp;MONTH(G7),59:59)</f>
        <v>0</v>
      </c>
      <c r="I7" s="355"/>
      <c r="J7" s="354">
        <f>SUMIF(58:58,YEAR(I7)&amp;"-"&amp;MONTH(I7),59:59)</f>
        <v>0</v>
      </c>
      <c r="K7" s="38"/>
      <c r="L7" s="2488"/>
      <c r="M7" s="2439"/>
      <c r="N7" s="2439"/>
      <c r="O7" s="2439"/>
      <c r="P7" s="3411" t="s">
        <v>1680</v>
      </c>
      <c r="Q7" s="3439"/>
      <c r="R7" s="663" t="s">
        <v>14</v>
      </c>
      <c r="S7" s="664">
        <f t="shared" ref="S7:S15" si="0">F7</f>
        <v>0</v>
      </c>
      <c r="T7" s="663" t="s">
        <v>14</v>
      </c>
      <c r="U7" s="664">
        <f t="shared" ref="U7:U15" si="1">H7</f>
        <v>0</v>
      </c>
      <c r="V7" s="663" t="s">
        <v>14</v>
      </c>
      <c r="W7" s="664">
        <f t="shared" ref="W7:W15" si="2">J7</f>
        <v>0</v>
      </c>
      <c r="X7" s="665"/>
      <c r="Y7" s="3411" t="s">
        <v>1680</v>
      </c>
      <c r="Z7" s="3412"/>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8"/>
      <c r="M8" s="2439"/>
      <c r="N8" s="2439"/>
      <c r="O8" s="2439"/>
      <c r="P8" s="3411" t="s">
        <v>1683</v>
      </c>
      <c r="Q8" s="3412"/>
      <c r="R8" s="663" t="s">
        <v>14</v>
      </c>
      <c r="S8" s="664">
        <f t="shared" si="0"/>
        <v>100</v>
      </c>
      <c r="T8" s="663" t="s">
        <v>14</v>
      </c>
      <c r="U8" s="664">
        <f t="shared" si="1"/>
        <v>100</v>
      </c>
      <c r="V8" s="663" t="s">
        <v>14</v>
      </c>
      <c r="W8" s="664">
        <f t="shared" si="2"/>
        <v>100</v>
      </c>
      <c r="X8" s="665"/>
      <c r="Y8" s="3411" t="s">
        <v>1683</v>
      </c>
      <c r="Z8" s="3412"/>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8"/>
      <c r="M9" s="2439"/>
      <c r="N9" s="2439"/>
      <c r="O9" s="2439"/>
      <c r="P9" s="3425" t="s">
        <v>1686</v>
      </c>
      <c r="Q9" s="529" t="str">
        <f t="shared" ref="Q9:Q15" si="6">B9</f>
        <v>用途</v>
      </c>
      <c r="R9" s="663" t="s">
        <v>14</v>
      </c>
      <c r="S9" s="664">
        <f t="shared" si="0"/>
        <v>100</v>
      </c>
      <c r="T9" s="663" t="s">
        <v>14</v>
      </c>
      <c r="U9" s="664">
        <f t="shared" si="1"/>
        <v>100</v>
      </c>
      <c r="V9" s="663" t="s">
        <v>14</v>
      </c>
      <c r="W9" s="664">
        <f t="shared" si="2"/>
        <v>100</v>
      </c>
      <c r="X9" s="665"/>
      <c r="Y9" s="3374"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38"/>
      <c r="L10" s="2489"/>
      <c r="M10" s="2490"/>
      <c r="N10" s="2490"/>
      <c r="O10" s="2490"/>
      <c r="P10" s="3425"/>
      <c r="Q10" s="529" t="str">
        <f t="shared" si="6"/>
        <v>土地使用年限（年）</v>
      </c>
      <c r="R10" s="663" t="s">
        <v>14</v>
      </c>
      <c r="S10" s="664">
        <f t="shared" si="0"/>
        <v>100</v>
      </c>
      <c r="T10" s="663" t="s">
        <v>14</v>
      </c>
      <c r="U10" s="664">
        <f t="shared" si="1"/>
        <v>100</v>
      </c>
      <c r="V10" s="663" t="s">
        <v>14</v>
      </c>
      <c r="W10" s="664">
        <f t="shared" si="2"/>
        <v>100</v>
      </c>
      <c r="X10" s="665"/>
      <c r="Y10" s="3374"/>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1"/>
      <c r="M11" s="2487"/>
      <c r="N11" s="2487"/>
      <c r="O11" s="2487"/>
      <c r="P11" s="3425"/>
      <c r="Q11" s="529" t="str">
        <f t="shared" si="6"/>
        <v>容积率</v>
      </c>
      <c r="R11" s="663" t="s">
        <v>14</v>
      </c>
      <c r="S11" s="664" t="e">
        <f t="shared" si="0"/>
        <v>#N/A</v>
      </c>
      <c r="T11" s="663" t="s">
        <v>14</v>
      </c>
      <c r="U11" s="664" t="e">
        <f t="shared" si="1"/>
        <v>#N/A</v>
      </c>
      <c r="V11" s="663" t="s">
        <v>14</v>
      </c>
      <c r="W11" s="664" t="e">
        <f t="shared" si="2"/>
        <v>#N/A</v>
      </c>
      <c r="X11" s="665"/>
      <c r="Y11" s="3374"/>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425"/>
      <c r="Q12" s="529">
        <f t="shared" si="6"/>
        <v>111</v>
      </c>
      <c r="R12" s="663" t="s">
        <v>14</v>
      </c>
      <c r="S12" s="664">
        <f t="shared" si="0"/>
        <v>100</v>
      </c>
      <c r="T12" s="663" t="s">
        <v>14</v>
      </c>
      <c r="U12" s="664">
        <f t="shared" si="1"/>
        <v>100</v>
      </c>
      <c r="V12" s="663" t="s">
        <v>14</v>
      </c>
      <c r="W12" s="664">
        <f t="shared" si="2"/>
        <v>100</v>
      </c>
      <c r="X12" s="665"/>
      <c r="Y12" s="3374"/>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425"/>
      <c r="Q13" s="529">
        <f t="shared" si="6"/>
        <v>111</v>
      </c>
      <c r="R13" s="663" t="s">
        <v>14</v>
      </c>
      <c r="S13" s="664">
        <f t="shared" si="0"/>
        <v>100</v>
      </c>
      <c r="T13" s="663" t="s">
        <v>14</v>
      </c>
      <c r="U13" s="664">
        <f t="shared" si="1"/>
        <v>100</v>
      </c>
      <c r="V13" s="663" t="s">
        <v>14</v>
      </c>
      <c r="W13" s="664">
        <f t="shared" si="2"/>
        <v>100</v>
      </c>
      <c r="X13" s="665"/>
      <c r="Y13" s="3374"/>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425"/>
      <c r="Q14" s="529">
        <f t="shared" si="6"/>
        <v>111</v>
      </c>
      <c r="R14" s="663" t="s">
        <v>14</v>
      </c>
      <c r="S14" s="664">
        <f t="shared" si="0"/>
        <v>100</v>
      </c>
      <c r="T14" s="663" t="s">
        <v>14</v>
      </c>
      <c r="U14" s="664">
        <f t="shared" si="1"/>
        <v>100</v>
      </c>
      <c r="V14" s="663" t="s">
        <v>14</v>
      </c>
      <c r="W14" s="664">
        <f t="shared" si="2"/>
        <v>100</v>
      </c>
      <c r="X14" s="665"/>
      <c r="Y14" s="3374"/>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2"/>
      <c r="M15" s="2487"/>
      <c r="N15" s="2487"/>
      <c r="O15" s="2487"/>
      <c r="P15" s="3451" t="s">
        <v>1691</v>
      </c>
      <c r="Q15" s="1262" t="str">
        <f t="shared" si="6"/>
        <v>商业繁华度</v>
      </c>
      <c r="R15" s="666" t="s">
        <v>14</v>
      </c>
      <c r="S15" s="667">
        <f t="shared" si="0"/>
        <v>100</v>
      </c>
      <c r="T15" s="666" t="s">
        <v>14</v>
      </c>
      <c r="U15" s="667">
        <f t="shared" si="1"/>
        <v>100</v>
      </c>
      <c r="V15" s="666" t="s">
        <v>14</v>
      </c>
      <c r="W15" s="667">
        <f t="shared" si="2"/>
        <v>100</v>
      </c>
      <c r="X15" s="1264"/>
      <c r="Y15" s="3444"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2"/>
      <c r="M16" s="2487"/>
      <c r="N16" s="2487"/>
      <c r="O16" s="2487"/>
      <c r="P16" s="3452"/>
      <c r="Q16" s="1262"/>
      <c r="R16" s="666"/>
      <c r="S16" s="667"/>
      <c r="T16" s="666"/>
      <c r="U16" s="667"/>
      <c r="V16" s="666"/>
      <c r="W16" s="667"/>
      <c r="X16" s="1264"/>
      <c r="Y16" s="3445"/>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2"/>
      <c r="M17" s="2487"/>
      <c r="N17" s="2487"/>
      <c r="O17" s="2487"/>
      <c r="P17" s="3452"/>
      <c r="Q17" s="1262" t="str">
        <f>B17</f>
        <v>交通便捷度</v>
      </c>
      <c r="R17" s="666" t="s">
        <v>14</v>
      </c>
      <c r="S17" s="667">
        <f>F17</f>
        <v>100</v>
      </c>
      <c r="T17" s="666" t="s">
        <v>14</v>
      </c>
      <c r="U17" s="667">
        <f>H17</f>
        <v>100</v>
      </c>
      <c r="V17" s="666" t="s">
        <v>14</v>
      </c>
      <c r="W17" s="667">
        <f>J17</f>
        <v>100</v>
      </c>
      <c r="X17" s="1264"/>
      <c r="Y17" s="3445"/>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2"/>
      <c r="M18" s="2487"/>
      <c r="N18" s="2487"/>
      <c r="O18" s="2487"/>
      <c r="P18" s="3452"/>
      <c r="Q18" s="1262"/>
      <c r="R18" s="666"/>
      <c r="S18" s="667"/>
      <c r="T18" s="666"/>
      <c r="U18" s="667"/>
      <c r="V18" s="666"/>
      <c r="W18" s="667"/>
      <c r="X18" s="1264"/>
      <c r="Y18" s="3445"/>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452"/>
      <c r="Q19" s="1262" t="str">
        <f>B19</f>
        <v>公共配套设施</v>
      </c>
      <c r="R19" s="666" t="s">
        <v>14</v>
      </c>
      <c r="S19" s="667">
        <f>F19</f>
        <v>100</v>
      </c>
      <c r="T19" s="666" t="s">
        <v>14</v>
      </c>
      <c r="U19" s="667">
        <f>H19</f>
        <v>100</v>
      </c>
      <c r="V19" s="666" t="s">
        <v>14</v>
      </c>
      <c r="W19" s="667">
        <f>J19</f>
        <v>100</v>
      </c>
      <c r="X19" s="1264"/>
      <c r="Y19" s="3445"/>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452"/>
      <c r="Q20" s="1262"/>
      <c r="R20" s="666"/>
      <c r="S20" s="667"/>
      <c r="T20" s="666"/>
      <c r="U20" s="667"/>
      <c r="V20" s="666"/>
      <c r="W20" s="667"/>
      <c r="X20" s="1264"/>
      <c r="Y20" s="3445"/>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452"/>
      <c r="Q21" s="1262" t="str">
        <f>B21</f>
        <v>基础设施水平</v>
      </c>
      <c r="R21" s="666" t="s">
        <v>14</v>
      </c>
      <c r="S21" s="667">
        <f>F21</f>
        <v>100</v>
      </c>
      <c r="T21" s="666" t="s">
        <v>14</v>
      </c>
      <c r="U21" s="667">
        <f>H21</f>
        <v>100</v>
      </c>
      <c r="V21" s="666" t="s">
        <v>14</v>
      </c>
      <c r="W21" s="667">
        <f>J21</f>
        <v>100</v>
      </c>
      <c r="X21" s="1264"/>
      <c r="Y21" s="3445"/>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452"/>
      <c r="Q22" s="1262"/>
      <c r="R22" s="666"/>
      <c r="S22" s="667"/>
      <c r="T22" s="666"/>
      <c r="U22" s="667"/>
      <c r="V22" s="666"/>
      <c r="W22" s="667"/>
      <c r="X22" s="1264"/>
      <c r="Y22" s="3445"/>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452"/>
      <c r="Q23" s="1262" t="str">
        <f>B23</f>
        <v>自然及人文环境</v>
      </c>
      <c r="R23" s="666" t="s">
        <v>14</v>
      </c>
      <c r="S23" s="667">
        <f>F23</f>
        <v>100</v>
      </c>
      <c r="T23" s="666" t="s">
        <v>14</v>
      </c>
      <c r="U23" s="667">
        <f>H23</f>
        <v>100</v>
      </c>
      <c r="V23" s="666" t="s">
        <v>14</v>
      </c>
      <c r="W23" s="667">
        <f>J23</f>
        <v>100</v>
      </c>
      <c r="X23" s="1264"/>
      <c r="Y23" s="3445"/>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452"/>
      <c r="Q24" s="1262"/>
      <c r="R24" s="666"/>
      <c r="S24" s="667"/>
      <c r="T24" s="666"/>
      <c r="U24" s="667"/>
      <c r="V24" s="666"/>
      <c r="W24" s="667"/>
      <c r="X24" s="1264"/>
      <c r="Y24" s="3445"/>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452"/>
      <c r="Q25" s="1262" t="str">
        <f t="shared" ref="Q25:Q46" si="11">B25</f>
        <v>临街状况</v>
      </c>
      <c r="R25" s="666" t="s">
        <v>14</v>
      </c>
      <c r="S25" s="667">
        <f>F25</f>
        <v>100</v>
      </c>
      <c r="T25" s="666" t="s">
        <v>14</v>
      </c>
      <c r="U25" s="667">
        <f>H25</f>
        <v>100</v>
      </c>
      <c r="V25" s="666" t="s">
        <v>14</v>
      </c>
      <c r="W25" s="667">
        <f>J25</f>
        <v>100</v>
      </c>
      <c r="X25" s="1264"/>
      <c r="Y25" s="3445"/>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2"/>
      <c r="M26" s="2487"/>
      <c r="N26" s="2487"/>
      <c r="O26" s="2487"/>
      <c r="P26" s="3452"/>
      <c r="Q26" s="1262" t="str">
        <f t="shared" si="11"/>
        <v>平面位置/可视性</v>
      </c>
      <c r="R26" s="666" t="s">
        <v>14</v>
      </c>
      <c r="S26" s="667">
        <f>F26</f>
        <v>100</v>
      </c>
      <c r="T26" s="666" t="s">
        <v>14</v>
      </c>
      <c r="U26" s="667">
        <f>H26</f>
        <v>100</v>
      </c>
      <c r="V26" s="666" t="s">
        <v>14</v>
      </c>
      <c r="W26" s="667">
        <f>J26</f>
        <v>100</v>
      </c>
      <c r="X26" s="1264"/>
      <c r="Y26" s="3445"/>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452"/>
      <c r="Q27" s="529" t="str">
        <f t="shared" si="11"/>
        <v>人流量</v>
      </c>
      <c r="R27" s="663" t="s">
        <v>14</v>
      </c>
      <c r="S27" s="664">
        <f>F27</f>
        <v>100</v>
      </c>
      <c r="T27" s="663" t="s">
        <v>14</v>
      </c>
      <c r="U27" s="664">
        <f>H27</f>
        <v>100</v>
      </c>
      <c r="V27" s="663" t="s">
        <v>14</v>
      </c>
      <c r="W27" s="664">
        <f>J27</f>
        <v>100</v>
      </c>
      <c r="X27" s="665"/>
      <c r="Y27" s="3445"/>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452"/>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45"/>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452"/>
      <c r="Q29" s="1262">
        <f t="shared" si="11"/>
        <v>111</v>
      </c>
      <c r="R29" s="666" t="s">
        <v>14</v>
      </c>
      <c r="S29" s="667">
        <f t="shared" si="12"/>
        <v>100</v>
      </c>
      <c r="T29" s="666" t="s">
        <v>14</v>
      </c>
      <c r="U29" s="667">
        <f t="shared" si="13"/>
        <v>100</v>
      </c>
      <c r="V29" s="666" t="s">
        <v>14</v>
      </c>
      <c r="W29" s="667">
        <f t="shared" si="14"/>
        <v>100</v>
      </c>
      <c r="X29" s="1264"/>
      <c r="Y29" s="3445"/>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452"/>
      <c r="Q30" s="1262">
        <f t="shared" si="11"/>
        <v>111</v>
      </c>
      <c r="R30" s="666" t="s">
        <v>14</v>
      </c>
      <c r="S30" s="667">
        <f t="shared" si="12"/>
        <v>100</v>
      </c>
      <c r="T30" s="666" t="s">
        <v>14</v>
      </c>
      <c r="U30" s="667">
        <f t="shared" si="13"/>
        <v>100</v>
      </c>
      <c r="V30" s="666" t="s">
        <v>14</v>
      </c>
      <c r="W30" s="667">
        <f t="shared" si="14"/>
        <v>100</v>
      </c>
      <c r="X30" s="1264"/>
      <c r="Y30" s="3445"/>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452"/>
      <c r="Q31" s="1262">
        <f t="shared" si="11"/>
        <v>111</v>
      </c>
      <c r="R31" s="666" t="s">
        <v>14</v>
      </c>
      <c r="S31" s="667">
        <f t="shared" si="12"/>
        <v>100</v>
      </c>
      <c r="T31" s="666" t="s">
        <v>14</v>
      </c>
      <c r="U31" s="667">
        <f t="shared" si="13"/>
        <v>100</v>
      </c>
      <c r="V31" s="666" t="s">
        <v>14</v>
      </c>
      <c r="W31" s="667">
        <f t="shared" si="14"/>
        <v>100</v>
      </c>
      <c r="X31" s="1264"/>
      <c r="Y31" s="3445"/>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446" t="s">
        <v>1696</v>
      </c>
      <c r="Q32" s="1262" t="str">
        <f t="shared" si="11"/>
        <v>商业类型</v>
      </c>
      <c r="R32" s="666" t="s">
        <v>14</v>
      </c>
      <c r="S32" s="667">
        <f t="shared" si="12"/>
        <v>100</v>
      </c>
      <c r="T32" s="666" t="s">
        <v>14</v>
      </c>
      <c r="U32" s="667">
        <f t="shared" si="13"/>
        <v>100</v>
      </c>
      <c r="V32" s="666" t="s">
        <v>14</v>
      </c>
      <c r="W32" s="667">
        <f t="shared" si="14"/>
        <v>100</v>
      </c>
      <c r="X32" s="1264"/>
      <c r="Y32" s="3449"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1"/>
      <c r="M33" s="2493"/>
      <c r="N33" s="2493"/>
      <c r="O33" s="2493"/>
      <c r="P33" s="3447"/>
      <c r="Q33" s="530" t="str">
        <f t="shared" si="11"/>
        <v>项目建筑规模</v>
      </c>
      <c r="R33" s="668" t="s">
        <v>14</v>
      </c>
      <c r="S33" s="669" t="e">
        <f t="shared" si="12"/>
        <v>#N/A</v>
      </c>
      <c r="T33" s="668" t="s">
        <v>14</v>
      </c>
      <c r="U33" s="669" t="e">
        <f t="shared" si="13"/>
        <v>#N/A</v>
      </c>
      <c r="V33" s="668" t="s">
        <v>14</v>
      </c>
      <c r="W33" s="669" t="e">
        <f t="shared" si="14"/>
        <v>#N/A</v>
      </c>
      <c r="X33" s="670"/>
      <c r="Y33" s="3449"/>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447"/>
      <c r="Q34" s="1262" t="str">
        <f t="shared" si="11"/>
        <v>建筑结构</v>
      </c>
      <c r="R34" s="666" t="s">
        <v>14</v>
      </c>
      <c r="S34" s="667">
        <f t="shared" si="12"/>
        <v>100</v>
      </c>
      <c r="T34" s="666" t="s">
        <v>14</v>
      </c>
      <c r="U34" s="667">
        <f t="shared" si="13"/>
        <v>100</v>
      </c>
      <c r="V34" s="666" t="s">
        <v>14</v>
      </c>
      <c r="W34" s="667">
        <f t="shared" si="14"/>
        <v>100</v>
      </c>
      <c r="X34" s="1264"/>
      <c r="Y34" s="3449"/>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447"/>
      <c r="Q35" s="1262" t="str">
        <f t="shared" si="11"/>
        <v>公共部分装修</v>
      </c>
      <c r="R35" s="666" t="s">
        <v>14</v>
      </c>
      <c r="S35" s="667">
        <f t="shared" si="12"/>
        <v>100</v>
      </c>
      <c r="T35" s="666" t="s">
        <v>14</v>
      </c>
      <c r="U35" s="667">
        <f t="shared" si="13"/>
        <v>100</v>
      </c>
      <c r="V35" s="666" t="s">
        <v>14</v>
      </c>
      <c r="W35" s="667">
        <f t="shared" si="14"/>
        <v>100</v>
      </c>
      <c r="X35" s="1264"/>
      <c r="Y35" s="3449"/>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2"/>
      <c r="M36" s="2487"/>
      <c r="N36" s="2487"/>
      <c r="O36" s="2487"/>
      <c r="P36" s="3447"/>
      <c r="Q36" s="1262" t="str">
        <f t="shared" si="11"/>
        <v>成新度</v>
      </c>
      <c r="R36" s="666" t="s">
        <v>14</v>
      </c>
      <c r="S36" s="667" t="e">
        <f t="shared" si="12"/>
        <v>#N/A</v>
      </c>
      <c r="T36" s="666" t="s">
        <v>14</v>
      </c>
      <c r="U36" s="667" t="e">
        <f t="shared" si="13"/>
        <v>#N/A</v>
      </c>
      <c r="V36" s="666" t="s">
        <v>14</v>
      </c>
      <c r="W36" s="667" t="e">
        <f t="shared" si="14"/>
        <v>#N/A</v>
      </c>
      <c r="X36" s="1264"/>
      <c r="Y36" s="3449"/>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447"/>
      <c r="Q37" s="529" t="str">
        <f t="shared" si="11"/>
        <v>市政基础设施</v>
      </c>
      <c r="R37" s="663" t="s">
        <v>14</v>
      </c>
      <c r="S37" s="664">
        <f t="shared" si="12"/>
        <v>100</v>
      </c>
      <c r="T37" s="663" t="s">
        <v>14</v>
      </c>
      <c r="U37" s="664">
        <f t="shared" si="13"/>
        <v>100</v>
      </c>
      <c r="V37" s="663" t="s">
        <v>14</v>
      </c>
      <c r="W37" s="664">
        <f t="shared" si="14"/>
        <v>100</v>
      </c>
      <c r="X37" s="665"/>
      <c r="Y37" s="3449"/>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447" t="s">
        <v>1696</v>
      </c>
      <c r="Q38" s="1262" t="str">
        <f t="shared" si="11"/>
        <v>业态</v>
      </c>
      <c r="R38" s="666" t="s">
        <v>14</v>
      </c>
      <c r="S38" s="667">
        <f t="shared" si="12"/>
        <v>100</v>
      </c>
      <c r="T38" s="666" t="s">
        <v>14</v>
      </c>
      <c r="U38" s="667">
        <f t="shared" si="13"/>
        <v>100</v>
      </c>
      <c r="V38" s="666" t="s">
        <v>14</v>
      </c>
      <c r="W38" s="667">
        <f t="shared" si="14"/>
        <v>100</v>
      </c>
      <c r="X38" s="1264"/>
      <c r="Y38" s="3449"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447"/>
      <c r="Q39" s="1262" t="str">
        <f t="shared" si="11"/>
        <v>层高</v>
      </c>
      <c r="R39" s="666" t="s">
        <v>14</v>
      </c>
      <c r="S39" s="667">
        <f t="shared" si="12"/>
        <v>100</v>
      </c>
      <c r="T39" s="666" t="s">
        <v>14</v>
      </c>
      <c r="U39" s="667">
        <f t="shared" si="13"/>
        <v>100</v>
      </c>
      <c r="V39" s="666" t="s">
        <v>14</v>
      </c>
      <c r="W39" s="667">
        <f t="shared" si="14"/>
        <v>100</v>
      </c>
      <c r="X39" s="1264"/>
      <c r="Y39" s="3449"/>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447"/>
      <c r="Q40" s="1262" t="str">
        <f t="shared" si="11"/>
        <v>单套建筑面积</v>
      </c>
      <c r="R40" s="666" t="s">
        <v>14</v>
      </c>
      <c r="S40" s="667">
        <f t="shared" si="12"/>
        <v>100</v>
      </c>
      <c r="T40" s="666" t="s">
        <v>14</v>
      </c>
      <c r="U40" s="667">
        <f t="shared" si="13"/>
        <v>100</v>
      </c>
      <c r="V40" s="666" t="s">
        <v>14</v>
      </c>
      <c r="W40" s="667">
        <f t="shared" si="14"/>
        <v>100</v>
      </c>
      <c r="X40" s="1264"/>
      <c r="Y40" s="3449"/>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447"/>
      <c r="Q41" s="530" t="str">
        <f t="shared" si="11"/>
        <v>进深比</v>
      </c>
      <c r="R41" s="668" t="s">
        <v>14</v>
      </c>
      <c r="S41" s="669">
        <f t="shared" si="12"/>
        <v>100</v>
      </c>
      <c r="T41" s="668" t="s">
        <v>14</v>
      </c>
      <c r="U41" s="669">
        <f t="shared" si="13"/>
        <v>100</v>
      </c>
      <c r="V41" s="668" t="s">
        <v>14</v>
      </c>
      <c r="W41" s="669">
        <f t="shared" si="14"/>
        <v>100</v>
      </c>
      <c r="X41" s="670"/>
      <c r="Y41" s="3449"/>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447"/>
      <c r="Q42" s="1262" t="str">
        <f t="shared" si="11"/>
        <v>内部装修</v>
      </c>
      <c r="R42" s="666" t="s">
        <v>14</v>
      </c>
      <c r="S42" s="667">
        <f t="shared" si="12"/>
        <v>100</v>
      </c>
      <c r="T42" s="666" t="s">
        <v>14</v>
      </c>
      <c r="U42" s="667">
        <f t="shared" si="13"/>
        <v>100</v>
      </c>
      <c r="V42" s="666" t="s">
        <v>14</v>
      </c>
      <c r="W42" s="667">
        <f t="shared" si="14"/>
        <v>100</v>
      </c>
      <c r="X42" s="1264"/>
      <c r="Y42" s="3449"/>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447"/>
      <c r="Q43" s="1262" t="str">
        <f t="shared" si="11"/>
        <v>内部装修维护情况</v>
      </c>
      <c r="R43" s="666" t="s">
        <v>14</v>
      </c>
      <c r="S43" s="667">
        <f t="shared" si="12"/>
        <v>100</v>
      </c>
      <c r="T43" s="666" t="s">
        <v>14</v>
      </c>
      <c r="U43" s="667">
        <f t="shared" si="13"/>
        <v>100</v>
      </c>
      <c r="V43" s="666" t="s">
        <v>14</v>
      </c>
      <c r="W43" s="667">
        <f t="shared" si="14"/>
        <v>100</v>
      </c>
      <c r="X43" s="1264"/>
      <c r="Y43" s="3449"/>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447"/>
      <c r="Q44" s="529">
        <f t="shared" si="11"/>
        <v>111</v>
      </c>
      <c r="R44" s="663" t="s">
        <v>14</v>
      </c>
      <c r="S44" s="664">
        <f t="shared" si="12"/>
        <v>100</v>
      </c>
      <c r="T44" s="663" t="s">
        <v>14</v>
      </c>
      <c r="U44" s="664">
        <f t="shared" si="13"/>
        <v>100</v>
      </c>
      <c r="V44" s="663" t="s">
        <v>14</v>
      </c>
      <c r="W44" s="664">
        <f t="shared" si="14"/>
        <v>100</v>
      </c>
      <c r="X44" s="665"/>
      <c r="Y44" s="3449"/>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447"/>
      <c r="Q45" s="1262">
        <f t="shared" si="11"/>
        <v>111</v>
      </c>
      <c r="R45" s="666" t="s">
        <v>14</v>
      </c>
      <c r="S45" s="667">
        <f t="shared" si="12"/>
        <v>100</v>
      </c>
      <c r="T45" s="666" t="s">
        <v>14</v>
      </c>
      <c r="U45" s="667">
        <f t="shared" si="13"/>
        <v>100</v>
      </c>
      <c r="V45" s="666" t="s">
        <v>14</v>
      </c>
      <c r="W45" s="667">
        <f t="shared" si="14"/>
        <v>100</v>
      </c>
      <c r="X45" s="1264"/>
      <c r="Y45" s="3449"/>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448"/>
      <c r="Q46" s="1262">
        <f t="shared" si="11"/>
        <v>111</v>
      </c>
      <c r="R46" s="666" t="s">
        <v>14</v>
      </c>
      <c r="S46" s="667">
        <f t="shared" si="12"/>
        <v>100</v>
      </c>
      <c r="T46" s="666" t="s">
        <v>14</v>
      </c>
      <c r="U46" s="667">
        <f t="shared" si="13"/>
        <v>100</v>
      </c>
      <c r="V46" s="666" t="s">
        <v>14</v>
      </c>
      <c r="W46" s="667">
        <f t="shared" si="14"/>
        <v>100</v>
      </c>
      <c r="X46" s="1264"/>
      <c r="Y46" s="3450"/>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4"/>
      <c r="M47" s="2487"/>
      <c r="N47" s="2487"/>
      <c r="O47" s="2487"/>
      <c r="P47" s="3443" t="str">
        <f>A47</f>
        <v>成交单价（元/平方米）</v>
      </c>
      <c r="Q47" s="3443"/>
      <c r="R47" s="3438">
        <f>E47</f>
        <v>0</v>
      </c>
      <c r="S47" s="3438"/>
      <c r="T47" s="3438">
        <f>G47</f>
        <v>0</v>
      </c>
      <c r="U47" s="3438"/>
      <c r="V47" s="3438">
        <f>I47</f>
        <v>0</v>
      </c>
      <c r="W47" s="3438"/>
      <c r="X47" s="384"/>
      <c r="Y47" s="672"/>
      <c r="Z47" s="384"/>
      <c r="AA47" s="384"/>
      <c r="AB47" s="384"/>
      <c r="AC47" s="384"/>
    </row>
    <row r="48" spans="1:29" ht="15.75" thickBot="1">
      <c r="A48" s="422" t="s">
        <v>1793</v>
      </c>
      <c r="B48" s="423"/>
      <c r="C48" s="1081" t="e">
        <f>R49</f>
        <v>#DIV/0!</v>
      </c>
      <c r="D48" s="2140" t="s">
        <v>2138</v>
      </c>
      <c r="E48" s="1082" t="e">
        <f>R48</f>
        <v>#DIV/0!</v>
      </c>
      <c r="F48" s="2141"/>
      <c r="G48" s="1081" t="e">
        <f>T48</f>
        <v>#DIV/0!</v>
      </c>
      <c r="H48" s="2141"/>
      <c r="I48" s="1082" t="e">
        <f>V48</f>
        <v>#DIV/0!</v>
      </c>
      <c r="J48" s="2141"/>
      <c r="K48" s="2143">
        <f>F48+H48+J48</f>
        <v>0</v>
      </c>
      <c r="L48" s="2494"/>
      <c r="M48" s="2487"/>
      <c r="N48" s="2487"/>
      <c r="O48" s="2487"/>
      <c r="P48" s="3443" t="str">
        <f>A48</f>
        <v>比较价值（元/平方米）</v>
      </c>
      <c r="Q48" s="3443"/>
      <c r="R48" s="3438" t="e">
        <f>IF(F1="售价",ROUND(PRODUCT(R47,AA7:AA46),0),ROUND(PRODUCT(R47,AA7:AA46),1))</f>
        <v>#DIV/0!</v>
      </c>
      <c r="S48" s="3438"/>
      <c r="T48" s="3438" t="e">
        <f>IF(F1="售价",ROUND(PRODUCT(T47,AB7:AB46),0),ROUND(PRODUCT(T47,AB7:AB46),1))</f>
        <v>#DIV/0!</v>
      </c>
      <c r="U48" s="3438"/>
      <c r="V48" s="3438" t="e">
        <f>IF(F1="售价",ROUND(PRODUCT(V47,AC7:AC46),0),ROUND(PRODUCT(V47,AC7:AC46),1))</f>
        <v>#DIV/0!</v>
      </c>
      <c r="W48" s="3438"/>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4"/>
      <c r="M49" s="2487"/>
      <c r="N49" s="2487"/>
      <c r="O49" s="2487"/>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1679</v>
      </c>
      <c r="B58" s="440"/>
      <c r="C58" s="1102" t="str">
        <f>YEAR(C7)&amp;"-"&amp;MONTH(C7)</f>
        <v>2025-7</v>
      </c>
      <c r="D58" s="1103">
        <f>EDATE(C58,-1)</f>
        <v>45809</v>
      </c>
      <c r="E58" s="1103">
        <f t="shared" ref="E58:N58" si="16">EDATE(D58,-1)</f>
        <v>45778</v>
      </c>
      <c r="F58" s="1103">
        <f t="shared" si="16"/>
        <v>45748</v>
      </c>
      <c r="G58" s="1103">
        <f t="shared" si="16"/>
        <v>45717</v>
      </c>
      <c r="H58" s="1103">
        <f t="shared" si="16"/>
        <v>45689</v>
      </c>
      <c r="I58" s="1103">
        <f t="shared" si="16"/>
        <v>45658</v>
      </c>
      <c r="J58" s="1103">
        <f t="shared" si="16"/>
        <v>45627</v>
      </c>
      <c r="K58" s="1103">
        <f t="shared" si="16"/>
        <v>45597</v>
      </c>
      <c r="L58" s="1103">
        <f t="shared" si="16"/>
        <v>45566</v>
      </c>
      <c r="M58" s="1103">
        <f t="shared" si="16"/>
        <v>45536</v>
      </c>
      <c r="N58" s="1103">
        <f t="shared" si="16"/>
        <v>45505</v>
      </c>
      <c r="O58" s="1103">
        <f>EDATE(N58,-1)</f>
        <v>45474</v>
      </c>
      <c r="P58" s="2509"/>
      <c r="Q58" s="2510"/>
      <c r="R58" s="2510"/>
      <c r="S58" s="2510"/>
      <c r="T58" s="2510"/>
      <c r="U58" s="2510"/>
      <c r="V58" s="2510"/>
      <c r="W58" s="2510"/>
      <c r="X58" s="2510"/>
      <c r="Y58" s="2510"/>
      <c r="Z58" s="2510"/>
      <c r="AA58" s="2510"/>
      <c r="AB58" s="2510"/>
      <c r="AC58" s="2510"/>
    </row>
    <row r="59" spans="1:29" s="101"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1" customFormat="1" ht="15.75" thickBot="1">
      <c r="A60" s="448" t="s">
        <v>1716</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1" customFormat="1" ht="15">
      <c r="A61" s="454" t="s">
        <v>1681</v>
      </c>
      <c r="B61" s="443"/>
      <c r="C61" s="455" t="s">
        <v>1776</v>
      </c>
      <c r="D61" s="31"/>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1" customFormat="1" ht="15.75" thickBot="1">
      <c r="A62" s="454"/>
      <c r="B62" s="443"/>
      <c r="C62" s="444">
        <v>100</v>
      </c>
      <c r="D62" s="445"/>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1719</v>
      </c>
      <c r="B63" s="459" t="s">
        <v>1685</v>
      </c>
      <c r="C63" s="460">
        <f>C9</f>
        <v>0</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1688</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c r="D68" s="479"/>
      <c r="E68" s="479"/>
      <c r="F68" s="479"/>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1690</v>
      </c>
      <c r="B76" s="459" t="s">
        <v>1720</v>
      </c>
      <c r="C76" s="503" t="s">
        <v>1721</v>
      </c>
      <c r="D76" s="503" t="s">
        <v>1722</v>
      </c>
      <c r="E76" s="503" t="s">
        <v>1723</v>
      </c>
      <c r="F76" s="503" t="s">
        <v>1724</v>
      </c>
      <c r="G76" s="503" t="s">
        <v>1725</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1726</v>
      </c>
      <c r="C78" s="508" t="s">
        <v>1721</v>
      </c>
      <c r="D78" s="508" t="s">
        <v>1722</v>
      </c>
      <c r="E78" s="508" t="s">
        <v>1723</v>
      </c>
      <c r="F78" s="508" t="s">
        <v>1724</v>
      </c>
      <c r="G78" s="508" t="s">
        <v>1725</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1727</v>
      </c>
      <c r="C80" s="508" t="s">
        <v>1721</v>
      </c>
      <c r="D80" s="508" t="s">
        <v>1722</v>
      </c>
      <c r="E80" s="508" t="s">
        <v>1723</v>
      </c>
      <c r="F80" s="508" t="s">
        <v>1724</v>
      </c>
      <c r="G80" s="508" t="s">
        <v>1725</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1779</v>
      </c>
      <c r="C82" s="580" t="s">
        <v>1799</v>
      </c>
      <c r="D82" s="580" t="s">
        <v>1800</v>
      </c>
      <c r="E82" s="580" t="s">
        <v>1801</v>
      </c>
      <c r="F82" s="580" t="s">
        <v>1802</v>
      </c>
      <c r="G82" s="580" t="s">
        <v>1803</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1733</v>
      </c>
      <c r="C84" s="508" t="s">
        <v>1721</v>
      </c>
      <c r="D84" s="508" t="s">
        <v>1722</v>
      </c>
      <c r="E84" s="508" t="s">
        <v>1723</v>
      </c>
      <c r="F84" s="508" t="s">
        <v>1724</v>
      </c>
      <c r="G84" s="508" t="s">
        <v>1725</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1" customFormat="1" ht="15.75" thickTop="1">
      <c r="A86" s="369"/>
      <c r="B86" s="468" t="s">
        <v>1804</v>
      </c>
      <c r="C86" s="484"/>
      <c r="D86" s="484"/>
      <c r="E86" s="484"/>
      <c r="F86" s="484"/>
      <c r="G86" s="484"/>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1" customFormat="1" ht="15.75" thickTop="1">
      <c r="A88" s="369"/>
      <c r="B88" s="468" t="str">
        <f>B26</f>
        <v>平面位置/可视性</v>
      </c>
      <c r="C88" s="484"/>
      <c r="D88" s="484"/>
      <c r="E88" s="484"/>
      <c r="F88" s="1779"/>
      <c r="G88" s="484"/>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1" customFormat="1" ht="15.75" thickBot="1">
      <c r="A89" s="369"/>
      <c r="B89" s="473"/>
      <c r="C89" s="490"/>
      <c r="D89" s="466"/>
      <c r="E89" s="466"/>
      <c r="F89" s="466"/>
      <c r="G89" s="466"/>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c r="D93" s="466"/>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484"/>
      <c r="D94" s="484"/>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c r="D95" s="466"/>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1694</v>
      </c>
      <c r="B100" s="459" t="s">
        <v>1805</v>
      </c>
      <c r="C100" s="461"/>
      <c r="D100" s="461"/>
      <c r="E100" s="461"/>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c r="D103" s="6"/>
      <c r="E103" s="6"/>
      <c r="F103" s="6"/>
      <c r="G103" s="6"/>
      <c r="H103" s="6"/>
      <c r="I103" s="6"/>
      <c r="J103" s="523"/>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c r="D104" s="466"/>
      <c r="E104" s="466"/>
      <c r="F104" s="466"/>
      <c r="G104" s="466"/>
      <c r="H104" s="466"/>
      <c r="I104" s="466"/>
      <c r="J104" s="466"/>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1738</v>
      </c>
      <c r="C105" s="484"/>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1740</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1742</v>
      </c>
      <c r="C112" s="484"/>
      <c r="D112" s="484"/>
      <c r="E112" s="484"/>
      <c r="F112" s="484"/>
      <c r="G112" s="484"/>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1806</v>
      </c>
      <c r="C114" s="484"/>
      <c r="D114" s="484"/>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1807</v>
      </c>
      <c r="C116" s="484"/>
      <c r="D116" s="484"/>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1808</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1809</v>
      </c>
      <c r="C120" s="512"/>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1744</v>
      </c>
      <c r="C122" s="484"/>
      <c r="D122" s="484"/>
      <c r="E122" s="484"/>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52990.34</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1769</v>
      </c>
      <c r="B4" s="345"/>
      <c r="C4" s="3426" t="s">
        <v>1770</v>
      </c>
      <c r="D4" s="3427"/>
      <c r="E4" s="3428" t="s">
        <v>1771</v>
      </c>
      <c r="F4" s="3429"/>
      <c r="G4" s="3426" t="s">
        <v>1772</v>
      </c>
      <c r="H4" s="3427"/>
      <c r="I4" s="3426" t="s">
        <v>1773</v>
      </c>
      <c r="J4" s="3427"/>
      <c r="K4" s="536" t="s">
        <v>1774</v>
      </c>
      <c r="L4" s="2486"/>
      <c r="M4" s="2487"/>
      <c r="N4" s="2487"/>
      <c r="O4" s="2487"/>
      <c r="P4" s="3459" t="s">
        <v>1775</v>
      </c>
      <c r="Q4" s="3460"/>
      <c r="R4" s="3454" t="s">
        <v>1771</v>
      </c>
      <c r="S4" s="3455"/>
      <c r="T4" s="3454" t="s">
        <v>1772</v>
      </c>
      <c r="U4" s="3455"/>
      <c r="V4" s="3463" t="s">
        <v>1773</v>
      </c>
      <c r="W4" s="3463"/>
      <c r="X4" s="1808"/>
      <c r="Y4" s="3454" t="s">
        <v>1775</v>
      </c>
      <c r="Z4" s="3455"/>
      <c r="AA4" s="3453" t="s">
        <v>1771</v>
      </c>
      <c r="AB4" s="3453" t="s">
        <v>1772</v>
      </c>
      <c r="AC4" s="3456" t="s">
        <v>1773</v>
      </c>
    </row>
    <row r="5" spans="1:29" ht="15">
      <c r="A5" s="347"/>
      <c r="B5" s="348"/>
      <c r="C5" s="3419" t="s">
        <v>1673</v>
      </c>
      <c r="D5" s="3420"/>
      <c r="E5" s="3417" t="s">
        <v>1674</v>
      </c>
      <c r="F5" s="3418"/>
      <c r="G5" s="3419" t="s">
        <v>1675</v>
      </c>
      <c r="H5" s="3420"/>
      <c r="I5" s="3419" t="s">
        <v>1676</v>
      </c>
      <c r="J5" s="3420"/>
      <c r="K5" s="536"/>
      <c r="L5" s="2486"/>
      <c r="M5" s="2487"/>
      <c r="N5" s="2487"/>
      <c r="O5" s="2487"/>
      <c r="P5" s="3461"/>
      <c r="Q5" s="3433"/>
      <c r="R5" s="3415"/>
      <c r="S5" s="3416"/>
      <c r="T5" s="3415"/>
      <c r="U5" s="3416"/>
      <c r="V5" s="3438"/>
      <c r="W5" s="3438"/>
      <c r="X5" s="1264"/>
      <c r="Y5" s="3415"/>
      <c r="Z5" s="3416"/>
      <c r="AA5" s="3409"/>
      <c r="AB5" s="3409"/>
      <c r="AC5" s="3457"/>
    </row>
    <row r="6" spans="1:29" ht="15.75" thickBot="1">
      <c r="A6" s="349"/>
      <c r="B6" s="350"/>
      <c r="C6" s="3421" t="s">
        <v>1677</v>
      </c>
      <c r="D6" s="3422"/>
      <c r="E6" s="3423" t="s">
        <v>1677</v>
      </c>
      <c r="F6" s="3424"/>
      <c r="G6" s="3421" t="s">
        <v>1677</v>
      </c>
      <c r="H6" s="3422"/>
      <c r="I6" s="3421" t="s">
        <v>1677</v>
      </c>
      <c r="J6" s="3422"/>
      <c r="K6" s="536" t="s">
        <v>1678</v>
      </c>
      <c r="L6" s="2486"/>
      <c r="M6" s="2487"/>
      <c r="N6" s="2487"/>
      <c r="O6" s="2487"/>
      <c r="P6" s="3462"/>
      <c r="Q6" s="3435"/>
      <c r="R6" s="3415"/>
      <c r="S6" s="3416"/>
      <c r="T6" s="3436"/>
      <c r="U6" s="3437"/>
      <c r="V6" s="3438"/>
      <c r="W6" s="3438"/>
      <c r="X6" s="1264"/>
      <c r="Y6" s="3436"/>
      <c r="Z6" s="3437"/>
      <c r="AA6" s="3410"/>
      <c r="AB6" s="3410"/>
      <c r="AC6" s="3458"/>
    </row>
    <row r="7" spans="1:29" s="101" customFormat="1" ht="15.75" thickBot="1">
      <c r="A7" s="351" t="s">
        <v>1679</v>
      </c>
      <c r="B7" s="352"/>
      <c r="C7" s="353">
        <f>'数据-取费表'!B2</f>
        <v>45862</v>
      </c>
      <c r="D7" s="354">
        <v>100</v>
      </c>
      <c r="E7" s="355"/>
      <c r="F7" s="356">
        <f>SUMIF(59:59,YEAR(E7)&amp;"-"&amp;MONTH(E7),60:60)</f>
        <v>0</v>
      </c>
      <c r="G7" s="355"/>
      <c r="H7" s="354">
        <f>SUMIF(59:59,YEAR(G7)&amp;"-"&amp;MONTH(G7),60:60)</f>
        <v>0</v>
      </c>
      <c r="I7" s="355"/>
      <c r="J7" s="354">
        <f>SUMIF(59:59,YEAR(I7)&amp;"-"&amp;MONTH(I7),60:60)</f>
        <v>0</v>
      </c>
      <c r="K7" s="38"/>
      <c r="L7" s="2488"/>
      <c r="M7" s="2439"/>
      <c r="N7" s="2439"/>
      <c r="O7" s="2439"/>
      <c r="P7" s="3464" t="s">
        <v>1680</v>
      </c>
      <c r="Q7" s="3439"/>
      <c r="R7" s="663" t="s">
        <v>14</v>
      </c>
      <c r="S7" s="664">
        <f t="shared" ref="S7:S15" si="0">F7</f>
        <v>0</v>
      </c>
      <c r="T7" s="663" t="s">
        <v>14</v>
      </c>
      <c r="U7" s="664">
        <f t="shared" ref="U7:U15" si="1">H7</f>
        <v>0</v>
      </c>
      <c r="V7" s="663" t="s">
        <v>14</v>
      </c>
      <c r="W7" s="664">
        <f t="shared" ref="W7:W15" si="2">J7</f>
        <v>0</v>
      </c>
      <c r="X7" s="665"/>
      <c r="Y7" s="3411" t="s">
        <v>1680</v>
      </c>
      <c r="Z7" s="3412"/>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8"/>
      <c r="M8" s="2439"/>
      <c r="N8" s="2439"/>
      <c r="O8" s="2439"/>
      <c r="P8" s="3464" t="s">
        <v>1683</v>
      </c>
      <c r="Q8" s="3412"/>
      <c r="R8" s="663" t="s">
        <v>14</v>
      </c>
      <c r="S8" s="664">
        <f t="shared" si="0"/>
        <v>100</v>
      </c>
      <c r="T8" s="663" t="s">
        <v>14</v>
      </c>
      <c r="U8" s="664">
        <f t="shared" si="1"/>
        <v>100</v>
      </c>
      <c r="V8" s="663" t="s">
        <v>14</v>
      </c>
      <c r="W8" s="664">
        <f t="shared" si="2"/>
        <v>100</v>
      </c>
      <c r="X8" s="665"/>
      <c r="Y8" s="3411" t="s">
        <v>1683</v>
      </c>
      <c r="Z8" s="3412"/>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8"/>
      <c r="M9" s="2439"/>
      <c r="N9" s="2439"/>
      <c r="O9" s="2439"/>
      <c r="P9" s="3425" t="s">
        <v>1686</v>
      </c>
      <c r="Q9" s="529" t="str">
        <f t="shared" ref="Q9:Q15" si="6">B9</f>
        <v>用途</v>
      </c>
      <c r="R9" s="663" t="s">
        <v>14</v>
      </c>
      <c r="S9" s="664">
        <f t="shared" si="0"/>
        <v>100</v>
      </c>
      <c r="T9" s="663" t="s">
        <v>14</v>
      </c>
      <c r="U9" s="664">
        <f t="shared" si="1"/>
        <v>100</v>
      </c>
      <c r="V9" s="663" t="s">
        <v>14</v>
      </c>
      <c r="W9" s="664">
        <f t="shared" si="2"/>
        <v>100</v>
      </c>
      <c r="X9" s="665"/>
      <c r="Y9" s="3374" t="s">
        <v>1687</v>
      </c>
      <c r="Z9" s="50" t="str">
        <f t="shared" ref="Z9:Z15" si="7">Q9</f>
        <v>用途</v>
      </c>
      <c r="AA9" s="50">
        <f t="shared" si="3"/>
        <v>1</v>
      </c>
      <c r="AB9" s="50">
        <f t="shared" si="4"/>
        <v>1</v>
      </c>
      <c r="AC9" s="801">
        <f t="shared" si="5"/>
        <v>1</v>
      </c>
    </row>
    <row r="10" spans="1:29" s="365" customFormat="1" ht="27">
      <c r="A10" s="362"/>
      <c r="B10" s="363" t="s">
        <v>1688</v>
      </c>
      <c r="C10" s="3132"/>
      <c r="D10" s="118">
        <v>100</v>
      </c>
      <c r="E10" s="3132"/>
      <c r="F10" s="118">
        <f>SUMIF(66:66,E10,67:67)-SUMIF(66:66,C10,67:67)+100</f>
        <v>100</v>
      </c>
      <c r="G10" s="3133"/>
      <c r="H10" s="118">
        <f>SUMIF(66:66,G10,67:67)-SUMIF(66:66,C10,67:67)+100</f>
        <v>100</v>
      </c>
      <c r="I10" s="3132"/>
      <c r="J10" s="118">
        <f>SUMIF(66:66,I10,67:67)-SUMIF(66:66,C10,67:67)+100</f>
        <v>100</v>
      </c>
      <c r="K10" s="38"/>
      <c r="L10" s="2489"/>
      <c r="M10" s="2490"/>
      <c r="N10" s="2490"/>
      <c r="O10" s="2490"/>
      <c r="P10" s="3425"/>
      <c r="Q10" s="529" t="str">
        <f t="shared" si="6"/>
        <v>土地使用年限（年）</v>
      </c>
      <c r="R10" s="663" t="s">
        <v>14</v>
      </c>
      <c r="S10" s="664">
        <f t="shared" si="0"/>
        <v>100</v>
      </c>
      <c r="T10" s="663" t="s">
        <v>14</v>
      </c>
      <c r="U10" s="664">
        <f t="shared" si="1"/>
        <v>100</v>
      </c>
      <c r="V10" s="663" t="s">
        <v>14</v>
      </c>
      <c r="W10" s="664">
        <f t="shared" si="2"/>
        <v>100</v>
      </c>
      <c r="X10" s="665"/>
      <c r="Y10" s="3374"/>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425"/>
      <c r="Q11" s="529" t="str">
        <f t="shared" si="6"/>
        <v>容积率</v>
      </c>
      <c r="R11" s="663" t="s">
        <v>14</v>
      </c>
      <c r="S11" s="664">
        <f t="shared" si="0"/>
        <v>100</v>
      </c>
      <c r="T11" s="663" t="s">
        <v>14</v>
      </c>
      <c r="U11" s="664">
        <f t="shared" si="1"/>
        <v>100</v>
      </c>
      <c r="V11" s="663" t="s">
        <v>14</v>
      </c>
      <c r="W11" s="664">
        <f t="shared" si="2"/>
        <v>100</v>
      </c>
      <c r="X11" s="665"/>
      <c r="Y11" s="3374"/>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425"/>
      <c r="Q12" s="529">
        <f t="shared" si="6"/>
        <v>111</v>
      </c>
      <c r="R12" s="663" t="s">
        <v>14</v>
      </c>
      <c r="S12" s="664">
        <f t="shared" si="0"/>
        <v>100</v>
      </c>
      <c r="T12" s="663" t="s">
        <v>14</v>
      </c>
      <c r="U12" s="664">
        <f t="shared" si="1"/>
        <v>100</v>
      </c>
      <c r="V12" s="663" t="s">
        <v>14</v>
      </c>
      <c r="W12" s="664">
        <f t="shared" si="2"/>
        <v>100</v>
      </c>
      <c r="X12" s="665"/>
      <c r="Y12" s="3374"/>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425"/>
      <c r="Q13" s="529">
        <f t="shared" si="6"/>
        <v>111</v>
      </c>
      <c r="R13" s="663" t="s">
        <v>14</v>
      </c>
      <c r="S13" s="664">
        <f t="shared" si="0"/>
        <v>100</v>
      </c>
      <c r="T13" s="663" t="s">
        <v>14</v>
      </c>
      <c r="U13" s="664">
        <f t="shared" si="1"/>
        <v>100</v>
      </c>
      <c r="V13" s="663" t="s">
        <v>14</v>
      </c>
      <c r="W13" s="664">
        <f t="shared" si="2"/>
        <v>100</v>
      </c>
      <c r="X13" s="665"/>
      <c r="Y13" s="3374"/>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425"/>
      <c r="Q14" s="529">
        <f t="shared" si="6"/>
        <v>111</v>
      </c>
      <c r="R14" s="663" t="s">
        <v>14</v>
      </c>
      <c r="S14" s="664">
        <f t="shared" si="0"/>
        <v>100</v>
      </c>
      <c r="T14" s="663" t="s">
        <v>14</v>
      </c>
      <c r="U14" s="664">
        <f t="shared" si="1"/>
        <v>100</v>
      </c>
      <c r="V14" s="663" t="s">
        <v>14</v>
      </c>
      <c r="W14" s="664">
        <f t="shared" si="2"/>
        <v>100</v>
      </c>
      <c r="X14" s="665"/>
      <c r="Y14" s="3374"/>
      <c r="Z14" s="50">
        <f t="shared" si="7"/>
        <v>111</v>
      </c>
      <c r="AA14" s="50">
        <f t="shared" si="3"/>
        <v>1</v>
      </c>
      <c r="AB14" s="50">
        <f t="shared" si="4"/>
        <v>1</v>
      </c>
      <c r="AC14" s="801">
        <f t="shared" si="5"/>
        <v>1</v>
      </c>
    </row>
    <row r="15" spans="1:29" ht="15">
      <c r="A15" s="378" t="s">
        <v>1690</v>
      </c>
      <c r="B15" s="553" t="s">
        <v>1811</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92"/>
      <c r="M15" s="2487"/>
      <c r="N15" s="2487"/>
      <c r="O15" s="2487"/>
      <c r="P15" s="3451" t="s">
        <v>1691</v>
      </c>
      <c r="Q15" s="1262" t="str">
        <f t="shared" si="6"/>
        <v>办公集聚程度</v>
      </c>
      <c r="R15" s="666" t="s">
        <v>14</v>
      </c>
      <c r="S15" s="667">
        <f t="shared" si="0"/>
        <v>100</v>
      </c>
      <c r="T15" s="666" t="s">
        <v>14</v>
      </c>
      <c r="U15" s="667">
        <f t="shared" si="1"/>
        <v>100</v>
      </c>
      <c r="V15" s="666" t="s">
        <v>14</v>
      </c>
      <c r="W15" s="667">
        <f t="shared" si="2"/>
        <v>100</v>
      </c>
      <c r="X15" s="1264"/>
      <c r="Y15" s="3444"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2"/>
      <c r="M16" s="2487"/>
      <c r="N16" s="2487"/>
      <c r="O16" s="2487"/>
      <c r="P16" s="3452"/>
      <c r="Q16" s="1262"/>
      <c r="R16" s="666"/>
      <c r="S16" s="667"/>
      <c r="T16" s="666"/>
      <c r="U16" s="667"/>
      <c r="V16" s="666"/>
      <c r="W16" s="667"/>
      <c r="X16" s="1264"/>
      <c r="Y16" s="3445"/>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92"/>
      <c r="M17" s="2487"/>
      <c r="N17" s="2487"/>
      <c r="O17" s="2487"/>
      <c r="P17" s="3452"/>
      <c r="Q17" s="1262" t="str">
        <f>B17</f>
        <v>交通便捷度</v>
      </c>
      <c r="R17" s="666" t="s">
        <v>14</v>
      </c>
      <c r="S17" s="667">
        <f>F17</f>
        <v>100</v>
      </c>
      <c r="T17" s="666" t="s">
        <v>14</v>
      </c>
      <c r="U17" s="667">
        <f>H17</f>
        <v>100</v>
      </c>
      <c r="V17" s="666" t="s">
        <v>14</v>
      </c>
      <c r="W17" s="667">
        <f>J17</f>
        <v>100</v>
      </c>
      <c r="X17" s="1264"/>
      <c r="Y17" s="3445"/>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2"/>
      <c r="M18" s="2487"/>
      <c r="N18" s="2487"/>
      <c r="O18" s="2487"/>
      <c r="P18" s="3452"/>
      <c r="Q18" s="1262"/>
      <c r="R18" s="666"/>
      <c r="S18" s="667"/>
      <c r="T18" s="666"/>
      <c r="U18" s="667"/>
      <c r="V18" s="666"/>
      <c r="W18" s="667"/>
      <c r="X18" s="1264"/>
      <c r="Y18" s="3445"/>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92"/>
      <c r="M19" s="2487"/>
      <c r="N19" s="2487"/>
      <c r="O19" s="2487"/>
      <c r="P19" s="3452"/>
      <c r="Q19" s="1262" t="str">
        <f>B19</f>
        <v>公共配套设施</v>
      </c>
      <c r="R19" s="666" t="s">
        <v>14</v>
      </c>
      <c r="S19" s="667">
        <f>F19</f>
        <v>100</v>
      </c>
      <c r="T19" s="666" t="s">
        <v>14</v>
      </c>
      <c r="U19" s="667">
        <f>H19</f>
        <v>100</v>
      </c>
      <c r="V19" s="666" t="s">
        <v>14</v>
      </c>
      <c r="W19" s="667">
        <f>J19</f>
        <v>100</v>
      </c>
      <c r="X19" s="1264"/>
      <c r="Y19" s="3445"/>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2"/>
      <c r="M20" s="2487"/>
      <c r="N20" s="2487"/>
      <c r="O20" s="2487"/>
      <c r="P20" s="3452"/>
      <c r="Q20" s="1262"/>
      <c r="R20" s="666"/>
      <c r="S20" s="667"/>
      <c r="T20" s="666"/>
      <c r="U20" s="667"/>
      <c r="V20" s="666"/>
      <c r="W20" s="667"/>
      <c r="X20" s="1264"/>
      <c r="Y20" s="3445"/>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92"/>
      <c r="M21" s="2487"/>
      <c r="N21" s="2487"/>
      <c r="O21" s="2487"/>
      <c r="P21" s="3452"/>
      <c r="Q21" s="1262" t="str">
        <f>B21</f>
        <v>基础设施水平</v>
      </c>
      <c r="R21" s="666" t="s">
        <v>14</v>
      </c>
      <c r="S21" s="667">
        <f>F21</f>
        <v>100</v>
      </c>
      <c r="T21" s="666" t="s">
        <v>14</v>
      </c>
      <c r="U21" s="667">
        <f>H21</f>
        <v>100</v>
      </c>
      <c r="V21" s="666" t="s">
        <v>14</v>
      </c>
      <c r="W21" s="667">
        <f>J21</f>
        <v>100</v>
      </c>
      <c r="X21" s="1264"/>
      <c r="Y21" s="3445"/>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2"/>
      <c r="M22" s="2487"/>
      <c r="N22" s="2487"/>
      <c r="O22" s="2487"/>
      <c r="P22" s="3452"/>
      <c r="Q22" s="1262"/>
      <c r="R22" s="666"/>
      <c r="S22" s="667"/>
      <c r="T22" s="666"/>
      <c r="U22" s="667"/>
      <c r="V22" s="666"/>
      <c r="W22" s="667"/>
      <c r="X22" s="1264"/>
      <c r="Y22" s="3445"/>
      <c r="Z22" s="1263"/>
      <c r="AA22" s="1263">
        <v>1</v>
      </c>
      <c r="AB22" s="1263">
        <v>1</v>
      </c>
      <c r="AC22" s="1811">
        <v>1</v>
      </c>
    </row>
    <row r="23" spans="1:29" ht="15">
      <c r="A23" s="366"/>
      <c r="B23" s="555" t="s">
        <v>1814</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92"/>
      <c r="M23" s="2487"/>
      <c r="N23" s="2487"/>
      <c r="O23" s="2487"/>
      <c r="P23" s="3452"/>
      <c r="Q23" s="1262" t="str">
        <f>B23</f>
        <v>环境质量</v>
      </c>
      <c r="R23" s="666" t="s">
        <v>14</v>
      </c>
      <c r="S23" s="667">
        <f>F23</f>
        <v>100</v>
      </c>
      <c r="T23" s="666" t="s">
        <v>14</v>
      </c>
      <c r="U23" s="667">
        <f>H23</f>
        <v>100</v>
      </c>
      <c r="V23" s="666" t="s">
        <v>14</v>
      </c>
      <c r="W23" s="667">
        <f>J23</f>
        <v>100</v>
      </c>
      <c r="X23" s="1264"/>
      <c r="Y23" s="3445"/>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2"/>
      <c r="M24" s="2487"/>
      <c r="N24" s="2487"/>
      <c r="O24" s="2487"/>
      <c r="P24" s="3452"/>
      <c r="Q24" s="1262"/>
      <c r="R24" s="666"/>
      <c r="S24" s="667"/>
      <c r="T24" s="666"/>
      <c r="U24" s="667"/>
      <c r="V24" s="666"/>
      <c r="W24" s="667"/>
      <c r="X24" s="1264"/>
      <c r="Y24" s="3445"/>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452"/>
      <c r="Q25" s="1262" t="str">
        <f>B25</f>
        <v>毗邻道路的类型与等级</v>
      </c>
      <c r="R25" s="666" t="s">
        <v>14</v>
      </c>
      <c r="S25" s="667">
        <f>F25</f>
        <v>100</v>
      </c>
      <c r="T25" s="666" t="s">
        <v>14</v>
      </c>
      <c r="U25" s="667">
        <f>H25</f>
        <v>100</v>
      </c>
      <c r="V25" s="666" t="s">
        <v>14</v>
      </c>
      <c r="W25" s="667">
        <f>J25</f>
        <v>100</v>
      </c>
      <c r="X25" s="1264"/>
      <c r="Y25" s="3445"/>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2"/>
      <c r="M26" s="2487"/>
      <c r="N26" s="2487"/>
      <c r="O26" s="2487"/>
      <c r="P26" s="3452"/>
      <c r="Q26" s="1262"/>
      <c r="R26" s="666"/>
      <c r="S26" s="667"/>
      <c r="T26" s="666"/>
      <c r="U26" s="667"/>
      <c r="V26" s="666"/>
      <c r="W26" s="667"/>
      <c r="X26" s="1264"/>
      <c r="Y26" s="3445"/>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2"/>
      <c r="M27" s="2487"/>
      <c r="N27" s="2487"/>
      <c r="O27" s="2487"/>
      <c r="P27" s="3452"/>
      <c r="Q27" s="1262" t="str">
        <f t="shared" ref="Q27:Q47" si="11">B27</f>
        <v>楼层</v>
      </c>
      <c r="R27" s="666" t="s">
        <v>14</v>
      </c>
      <c r="S27" s="667">
        <f>F27</f>
        <v>100</v>
      </c>
      <c r="T27" s="666" t="s">
        <v>14</v>
      </c>
      <c r="U27" s="667">
        <f>H27</f>
        <v>100</v>
      </c>
      <c r="V27" s="666" t="s">
        <v>14</v>
      </c>
      <c r="W27" s="667">
        <f>J27</f>
        <v>100</v>
      </c>
      <c r="X27" s="1264"/>
      <c r="Y27" s="3445"/>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452"/>
      <c r="Q28" s="529" t="str">
        <f t="shared" si="11"/>
        <v>朝向</v>
      </c>
      <c r="R28" s="663" t="s">
        <v>14</v>
      </c>
      <c r="S28" s="664">
        <f>F28</f>
        <v>100</v>
      </c>
      <c r="T28" s="663" t="s">
        <v>14</v>
      </c>
      <c r="U28" s="664">
        <f>H28</f>
        <v>100</v>
      </c>
      <c r="V28" s="663" t="s">
        <v>14</v>
      </c>
      <c r="W28" s="664">
        <f>J28</f>
        <v>100</v>
      </c>
      <c r="X28" s="665"/>
      <c r="Y28" s="3445"/>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452"/>
      <c r="Q29" s="1262">
        <f t="shared" si="11"/>
        <v>111</v>
      </c>
      <c r="R29" s="666" t="s">
        <v>14</v>
      </c>
      <c r="S29" s="667">
        <f t="shared" ref="S29:S47" si="12">F29</f>
        <v>100</v>
      </c>
      <c r="T29" s="666" t="s">
        <v>14</v>
      </c>
      <c r="U29" s="667">
        <f t="shared" ref="U29:U47" si="13">H29</f>
        <v>100</v>
      </c>
      <c r="V29" s="666" t="s">
        <v>14</v>
      </c>
      <c r="W29" s="667">
        <f t="shared" ref="W29:W47" si="14">J29</f>
        <v>100</v>
      </c>
      <c r="X29" s="1264"/>
      <c r="Y29" s="3445"/>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452"/>
      <c r="Q30" s="1262">
        <f t="shared" si="11"/>
        <v>111</v>
      </c>
      <c r="R30" s="666" t="s">
        <v>14</v>
      </c>
      <c r="S30" s="667">
        <f t="shared" si="12"/>
        <v>100</v>
      </c>
      <c r="T30" s="666" t="s">
        <v>14</v>
      </c>
      <c r="U30" s="667">
        <f t="shared" si="13"/>
        <v>100</v>
      </c>
      <c r="V30" s="666" t="s">
        <v>14</v>
      </c>
      <c r="W30" s="667">
        <f t="shared" si="14"/>
        <v>100</v>
      </c>
      <c r="X30" s="1264"/>
      <c r="Y30" s="3445"/>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452"/>
      <c r="Q31" s="1262">
        <f t="shared" si="11"/>
        <v>111</v>
      </c>
      <c r="R31" s="666" t="s">
        <v>14</v>
      </c>
      <c r="S31" s="667">
        <f t="shared" si="12"/>
        <v>100</v>
      </c>
      <c r="T31" s="666" t="s">
        <v>14</v>
      </c>
      <c r="U31" s="667">
        <f t="shared" si="13"/>
        <v>100</v>
      </c>
      <c r="V31" s="666" t="s">
        <v>14</v>
      </c>
      <c r="W31" s="667">
        <f t="shared" si="14"/>
        <v>100</v>
      </c>
      <c r="X31" s="1264"/>
      <c r="Y31" s="3445"/>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452"/>
      <c r="Q32" s="1262">
        <f t="shared" si="11"/>
        <v>111</v>
      </c>
      <c r="R32" s="666" t="s">
        <v>14</v>
      </c>
      <c r="S32" s="667">
        <f t="shared" si="12"/>
        <v>100</v>
      </c>
      <c r="T32" s="666" t="s">
        <v>14</v>
      </c>
      <c r="U32" s="667">
        <f t="shared" si="13"/>
        <v>100</v>
      </c>
      <c r="V32" s="666" t="s">
        <v>14</v>
      </c>
      <c r="W32" s="667">
        <f t="shared" si="14"/>
        <v>100</v>
      </c>
      <c r="X32" s="1264"/>
      <c r="Y32" s="3445"/>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2"/>
      <c r="M33" s="2487"/>
      <c r="N33" s="2487"/>
      <c r="O33" s="2487"/>
      <c r="P33" s="3446" t="s">
        <v>1696</v>
      </c>
      <c r="Q33" s="1262" t="str">
        <f t="shared" si="11"/>
        <v>建筑类型</v>
      </c>
      <c r="R33" s="666" t="s">
        <v>14</v>
      </c>
      <c r="S33" s="667">
        <f t="shared" si="12"/>
        <v>100</v>
      </c>
      <c r="T33" s="666" t="s">
        <v>14</v>
      </c>
      <c r="U33" s="667">
        <f t="shared" si="13"/>
        <v>100</v>
      </c>
      <c r="V33" s="666" t="s">
        <v>14</v>
      </c>
      <c r="W33" s="667">
        <f t="shared" si="14"/>
        <v>100</v>
      </c>
      <c r="X33" s="1264"/>
      <c r="Y33" s="3449"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1"/>
      <c r="M34" s="2493"/>
      <c r="N34" s="2493"/>
      <c r="O34" s="2493"/>
      <c r="P34" s="3447"/>
      <c r="Q34" s="530" t="str">
        <f t="shared" si="11"/>
        <v>项目建筑规模</v>
      </c>
      <c r="R34" s="668" t="s">
        <v>14</v>
      </c>
      <c r="S34" s="669" t="e">
        <f t="shared" si="12"/>
        <v>#N/A</v>
      </c>
      <c r="T34" s="668" t="s">
        <v>14</v>
      </c>
      <c r="U34" s="669" t="e">
        <f t="shared" si="13"/>
        <v>#N/A</v>
      </c>
      <c r="V34" s="668" t="s">
        <v>14</v>
      </c>
      <c r="W34" s="669" t="e">
        <f t="shared" si="14"/>
        <v>#N/A</v>
      </c>
      <c r="X34" s="670"/>
      <c r="Y34" s="3449"/>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2"/>
      <c r="M35" s="2487"/>
      <c r="N35" s="2487"/>
      <c r="O35" s="2487"/>
      <c r="P35" s="3447"/>
      <c r="Q35" s="1262" t="str">
        <f t="shared" si="11"/>
        <v>建筑结构</v>
      </c>
      <c r="R35" s="666" t="s">
        <v>14</v>
      </c>
      <c r="S35" s="667">
        <f t="shared" si="12"/>
        <v>100</v>
      </c>
      <c r="T35" s="666" t="s">
        <v>14</v>
      </c>
      <c r="U35" s="667">
        <f t="shared" si="13"/>
        <v>100</v>
      </c>
      <c r="V35" s="666" t="s">
        <v>14</v>
      </c>
      <c r="W35" s="667">
        <f t="shared" si="14"/>
        <v>100</v>
      </c>
      <c r="X35" s="1264"/>
      <c r="Y35" s="3449"/>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2"/>
      <c r="M36" s="2487"/>
      <c r="N36" s="2487"/>
      <c r="O36" s="2487"/>
      <c r="P36" s="3447"/>
      <c r="Q36" s="1262" t="str">
        <f t="shared" si="11"/>
        <v>公共部分装修</v>
      </c>
      <c r="R36" s="666" t="s">
        <v>14</v>
      </c>
      <c r="S36" s="667">
        <f t="shared" si="12"/>
        <v>100</v>
      </c>
      <c r="T36" s="666" t="s">
        <v>14</v>
      </c>
      <c r="U36" s="667">
        <f t="shared" si="13"/>
        <v>100</v>
      </c>
      <c r="V36" s="666" t="s">
        <v>14</v>
      </c>
      <c r="W36" s="667">
        <f t="shared" si="14"/>
        <v>100</v>
      </c>
      <c r="X36" s="1264"/>
      <c r="Y36" s="3449"/>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2"/>
      <c r="M37" s="2487"/>
      <c r="N37" s="2487"/>
      <c r="O37" s="2487"/>
      <c r="P37" s="3447"/>
      <c r="Q37" s="1262" t="str">
        <f t="shared" si="11"/>
        <v>成新度</v>
      </c>
      <c r="R37" s="666" t="s">
        <v>14</v>
      </c>
      <c r="S37" s="667" t="e">
        <f t="shared" si="12"/>
        <v>#N/A</v>
      </c>
      <c r="T37" s="666" t="s">
        <v>14</v>
      </c>
      <c r="U37" s="667" t="e">
        <f t="shared" si="13"/>
        <v>#N/A</v>
      </c>
      <c r="V37" s="666" t="s">
        <v>14</v>
      </c>
      <c r="W37" s="667" t="e">
        <f t="shared" si="14"/>
        <v>#N/A</v>
      </c>
      <c r="X37" s="1264"/>
      <c r="Y37" s="3449"/>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447"/>
      <c r="Q38" s="529" t="str">
        <f t="shared" si="11"/>
        <v>写字楼等级</v>
      </c>
      <c r="R38" s="663" t="s">
        <v>14</v>
      </c>
      <c r="S38" s="664">
        <f t="shared" si="12"/>
        <v>100</v>
      </c>
      <c r="T38" s="663" t="s">
        <v>14</v>
      </c>
      <c r="U38" s="664">
        <f t="shared" si="13"/>
        <v>100</v>
      </c>
      <c r="V38" s="663" t="s">
        <v>14</v>
      </c>
      <c r="W38" s="664">
        <f t="shared" si="14"/>
        <v>100</v>
      </c>
      <c r="X38" s="665"/>
      <c r="Y38" s="3449"/>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2"/>
      <c r="M39" s="2487"/>
      <c r="N39" s="2487"/>
      <c r="O39" s="2487"/>
      <c r="P39" s="3447" t="s">
        <v>1696</v>
      </c>
      <c r="Q39" s="1262" t="str">
        <f t="shared" si="11"/>
        <v>物业管理</v>
      </c>
      <c r="R39" s="666" t="s">
        <v>14</v>
      </c>
      <c r="S39" s="667">
        <f t="shared" si="12"/>
        <v>100</v>
      </c>
      <c r="T39" s="666" t="s">
        <v>14</v>
      </c>
      <c r="U39" s="667">
        <f t="shared" si="13"/>
        <v>100</v>
      </c>
      <c r="V39" s="666" t="s">
        <v>14</v>
      </c>
      <c r="W39" s="667">
        <f t="shared" si="14"/>
        <v>100</v>
      </c>
      <c r="X39" s="1264"/>
      <c r="Y39" s="3449"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447"/>
      <c r="Q40" s="1262" t="str">
        <f t="shared" si="11"/>
        <v>市政基础设施</v>
      </c>
      <c r="R40" s="666" t="s">
        <v>14</v>
      </c>
      <c r="S40" s="667">
        <f t="shared" si="12"/>
        <v>100</v>
      </c>
      <c r="T40" s="666" t="s">
        <v>14</v>
      </c>
      <c r="U40" s="667">
        <f t="shared" si="13"/>
        <v>100</v>
      </c>
      <c r="V40" s="666" t="s">
        <v>14</v>
      </c>
      <c r="W40" s="667">
        <f t="shared" si="14"/>
        <v>100</v>
      </c>
      <c r="X40" s="1264"/>
      <c r="Y40" s="3449"/>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2"/>
      <c r="M41" s="2487"/>
      <c r="N41" s="2487"/>
      <c r="O41" s="2487"/>
      <c r="P41" s="3447"/>
      <c r="Q41" s="1262" t="str">
        <f t="shared" si="11"/>
        <v>层高</v>
      </c>
      <c r="R41" s="666" t="s">
        <v>14</v>
      </c>
      <c r="S41" s="667">
        <f t="shared" si="12"/>
        <v>100</v>
      </c>
      <c r="T41" s="666" t="s">
        <v>14</v>
      </c>
      <c r="U41" s="667">
        <f t="shared" si="13"/>
        <v>100</v>
      </c>
      <c r="V41" s="666" t="s">
        <v>14</v>
      </c>
      <c r="W41" s="667">
        <f t="shared" si="14"/>
        <v>100</v>
      </c>
      <c r="X41" s="1264"/>
      <c r="Y41" s="3449"/>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447"/>
      <c r="Q42" s="530" t="str">
        <f t="shared" si="11"/>
        <v>单套建筑面积</v>
      </c>
      <c r="R42" s="668" t="s">
        <v>14</v>
      </c>
      <c r="S42" s="669">
        <f t="shared" si="12"/>
        <v>100</v>
      </c>
      <c r="T42" s="668" t="s">
        <v>14</v>
      </c>
      <c r="U42" s="669">
        <f t="shared" si="13"/>
        <v>100</v>
      </c>
      <c r="V42" s="668" t="s">
        <v>14</v>
      </c>
      <c r="W42" s="669">
        <f t="shared" si="14"/>
        <v>100</v>
      </c>
      <c r="X42" s="670"/>
      <c r="Y42" s="3449"/>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2"/>
      <c r="M43" s="2487"/>
      <c r="N43" s="2487"/>
      <c r="O43" s="2487"/>
      <c r="P43" s="3447"/>
      <c r="Q43" s="1262" t="str">
        <f t="shared" si="11"/>
        <v>内部装修</v>
      </c>
      <c r="R43" s="666" t="s">
        <v>14</v>
      </c>
      <c r="S43" s="667">
        <f t="shared" si="12"/>
        <v>100</v>
      </c>
      <c r="T43" s="666" t="s">
        <v>14</v>
      </c>
      <c r="U43" s="667">
        <f t="shared" si="13"/>
        <v>100</v>
      </c>
      <c r="V43" s="666" t="s">
        <v>14</v>
      </c>
      <c r="W43" s="667">
        <f t="shared" si="14"/>
        <v>100</v>
      </c>
      <c r="X43" s="1264"/>
      <c r="Y43" s="3449"/>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2"/>
      <c r="M44" s="2487"/>
      <c r="N44" s="2487"/>
      <c r="O44" s="2487"/>
      <c r="P44" s="3447"/>
      <c r="Q44" s="1262" t="str">
        <f t="shared" si="11"/>
        <v>内部装修维护情况</v>
      </c>
      <c r="R44" s="666" t="s">
        <v>14</v>
      </c>
      <c r="S44" s="667">
        <f t="shared" si="12"/>
        <v>100</v>
      </c>
      <c r="T44" s="666" t="s">
        <v>14</v>
      </c>
      <c r="U44" s="667">
        <f t="shared" si="13"/>
        <v>100</v>
      </c>
      <c r="V44" s="666" t="s">
        <v>14</v>
      </c>
      <c r="W44" s="667">
        <f t="shared" si="14"/>
        <v>100</v>
      </c>
      <c r="X44" s="1264"/>
      <c r="Y44" s="3449"/>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447"/>
      <c r="Q45" s="529">
        <f t="shared" si="11"/>
        <v>111</v>
      </c>
      <c r="R45" s="663" t="s">
        <v>14</v>
      </c>
      <c r="S45" s="664">
        <f t="shared" si="12"/>
        <v>100</v>
      </c>
      <c r="T45" s="663" t="s">
        <v>14</v>
      </c>
      <c r="U45" s="664">
        <f t="shared" si="13"/>
        <v>100</v>
      </c>
      <c r="V45" s="663" t="s">
        <v>14</v>
      </c>
      <c r="W45" s="664">
        <f t="shared" si="14"/>
        <v>100</v>
      </c>
      <c r="X45" s="665"/>
      <c r="Y45" s="3449"/>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447"/>
      <c r="Q46" s="1262">
        <f t="shared" si="11"/>
        <v>111</v>
      </c>
      <c r="R46" s="666" t="s">
        <v>14</v>
      </c>
      <c r="S46" s="667">
        <f t="shared" si="12"/>
        <v>100</v>
      </c>
      <c r="T46" s="666" t="s">
        <v>14</v>
      </c>
      <c r="U46" s="667">
        <f t="shared" si="13"/>
        <v>100</v>
      </c>
      <c r="V46" s="666" t="s">
        <v>14</v>
      </c>
      <c r="W46" s="667">
        <f t="shared" si="14"/>
        <v>100</v>
      </c>
      <c r="X46" s="1264"/>
      <c r="Y46" s="3449"/>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448"/>
      <c r="Q47" s="1262">
        <f t="shared" si="11"/>
        <v>111</v>
      </c>
      <c r="R47" s="666" t="s">
        <v>14</v>
      </c>
      <c r="S47" s="667">
        <f t="shared" si="12"/>
        <v>100</v>
      </c>
      <c r="T47" s="666" t="s">
        <v>14</v>
      </c>
      <c r="U47" s="667">
        <f t="shared" si="13"/>
        <v>100</v>
      </c>
      <c r="V47" s="666" t="s">
        <v>14</v>
      </c>
      <c r="W47" s="667">
        <f t="shared" si="14"/>
        <v>100</v>
      </c>
      <c r="X47" s="1264"/>
      <c r="Y47" s="3450"/>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4"/>
      <c r="M48" s="2487"/>
      <c r="N48" s="2487"/>
      <c r="O48" s="2487"/>
      <c r="P48" s="3425" t="str">
        <f>A48</f>
        <v>成交单价（元/平方米）</v>
      </c>
      <c r="Q48" s="3443"/>
      <c r="R48" s="3438">
        <f>E48</f>
        <v>0</v>
      </c>
      <c r="S48" s="3438"/>
      <c r="T48" s="3438">
        <f>G48</f>
        <v>0</v>
      </c>
      <c r="U48" s="3438"/>
      <c r="V48" s="3438">
        <f>I48</f>
        <v>0</v>
      </c>
      <c r="W48" s="3438"/>
      <c r="X48" s="384"/>
      <c r="Y48" s="672"/>
      <c r="Z48" s="384"/>
      <c r="AA48" s="384"/>
      <c r="AB48" s="384"/>
      <c r="AC48" s="554"/>
    </row>
    <row r="49" spans="1:29" ht="15.75" thickBot="1">
      <c r="A49" s="422" t="s">
        <v>1793</v>
      </c>
      <c r="B49" s="423"/>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425" t="str">
        <f>A49</f>
        <v>比较价值（元/平方米）</v>
      </c>
      <c r="Q49" s="3443"/>
      <c r="R49" s="3438" t="e">
        <f>IF(F1="售价",ROUND(PRODUCT(R48,AA7:AA47),0),ROUND(PRODUCT(R48,AA7:AA47),1))</f>
        <v>#DIV/0!</v>
      </c>
      <c r="S49" s="3438"/>
      <c r="T49" s="3438" t="e">
        <f>IF(F1="售价",ROUND(PRODUCT(T48,AB7:AB47),0),ROUND(PRODUCT(T48,AB7:AB47),1))</f>
        <v>#DIV/0!</v>
      </c>
      <c r="U49" s="3438"/>
      <c r="V49" s="3438" t="e">
        <f>IF(F1="售价",ROUND(PRODUCT(V48,AC7:AC47),0),ROUND(PRODUCT(V48,AC7:AC47),1))</f>
        <v>#DIV/0!</v>
      </c>
      <c r="W49" s="3438"/>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4"/>
      <c r="M50" s="2487"/>
      <c r="N50" s="2487"/>
      <c r="O50" s="2487"/>
      <c r="P50" s="3465" t="str">
        <f>A50</f>
        <v>估价对象XX用房的比较价值（楼面单价，元/平方米）</v>
      </c>
      <c r="Q50" s="3466"/>
      <c r="R50" s="3467" t="e">
        <f>IF(F1="售价",ROUND(IF(D49="简单平均",AVERAGE(R49:V49),R49*F49+T49*H49+V49*J49),0),ROUND(IF(D49="简单平均",AVERAGE(R49:V49),R49*F49+T49*H49+V49*J49),1))</f>
        <v>#DIV/0!</v>
      </c>
      <c r="S50" s="3467"/>
      <c r="T50" s="3467"/>
      <c r="U50" s="3467"/>
      <c r="V50" s="3467"/>
      <c r="W50" s="3467"/>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3.5" customHeight="1">
      <c r="A55" s="2497"/>
      <c r="B55" s="2497"/>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1679</v>
      </c>
      <c r="B59" s="440"/>
      <c r="C59" s="1102" t="str">
        <f>YEAR(C7)&amp;"-"&amp;MONTH(C7)</f>
        <v>2025-7</v>
      </c>
      <c r="D59" s="1103">
        <f>EDATE(C59,-1)</f>
        <v>45809</v>
      </c>
      <c r="E59" s="1103">
        <f>EDATE(D59,-1)</f>
        <v>45778</v>
      </c>
      <c r="F59" s="1103">
        <f t="shared" ref="F59:O59" si="16">EDATE(E59,-1)</f>
        <v>45748</v>
      </c>
      <c r="G59" s="1103">
        <f t="shared" si="16"/>
        <v>45717</v>
      </c>
      <c r="H59" s="1103">
        <f t="shared" si="16"/>
        <v>45689</v>
      </c>
      <c r="I59" s="1103">
        <f t="shared" si="16"/>
        <v>45658</v>
      </c>
      <c r="J59" s="1103">
        <f t="shared" si="16"/>
        <v>45627</v>
      </c>
      <c r="K59" s="1103">
        <f t="shared" si="16"/>
        <v>45597</v>
      </c>
      <c r="L59" s="1103">
        <f t="shared" si="16"/>
        <v>45566</v>
      </c>
      <c r="M59" s="1103">
        <f t="shared" si="16"/>
        <v>45536</v>
      </c>
      <c r="N59" s="1103">
        <f t="shared" si="16"/>
        <v>45505</v>
      </c>
      <c r="O59" s="1103">
        <f t="shared" si="16"/>
        <v>45474</v>
      </c>
      <c r="P59" s="2527"/>
      <c r="Q59" s="2510"/>
      <c r="R59" s="2510"/>
      <c r="S59" s="2510"/>
      <c r="T59" s="2510"/>
      <c r="U59" s="2510"/>
      <c r="V59" s="2510"/>
      <c r="W59" s="2510"/>
      <c r="X59" s="2510"/>
      <c r="Y59" s="2510"/>
      <c r="Z59" s="2510"/>
      <c r="AA59" s="2510"/>
      <c r="AB59" s="2510"/>
      <c r="AC59" s="2510"/>
    </row>
    <row r="60" spans="1:29" s="101"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1" customFormat="1" ht="15.75" thickBot="1">
      <c r="A61" s="448" t="s">
        <v>1716</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1" customFormat="1" ht="15">
      <c r="A62" s="454" t="s">
        <v>1681</v>
      </c>
      <c r="B62" s="443"/>
      <c r="C62" s="455" t="s">
        <v>1776</v>
      </c>
      <c r="D62" s="31"/>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29" s="101" customFormat="1" ht="15.75" thickBot="1">
      <c r="A63" s="454"/>
      <c r="B63" s="443"/>
      <c r="C63" s="444">
        <v>100</v>
      </c>
      <c r="D63" s="445"/>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1719</v>
      </c>
      <c r="B64" s="459" t="s">
        <v>1685</v>
      </c>
      <c r="C64" s="460">
        <f>C9</f>
        <v>0</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1688</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1690</v>
      </c>
      <c r="B77" s="459" t="s">
        <v>1821</v>
      </c>
      <c r="C77" s="503" t="s">
        <v>1721</v>
      </c>
      <c r="D77" s="503" t="s">
        <v>1722</v>
      </c>
      <c r="E77" s="503" t="s">
        <v>1723</v>
      </c>
      <c r="F77" s="503" t="s">
        <v>1724</v>
      </c>
      <c r="G77" s="503" t="s">
        <v>1725</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1726</v>
      </c>
      <c r="C79" s="508" t="s">
        <v>1721</v>
      </c>
      <c r="D79" s="508" t="s">
        <v>1722</v>
      </c>
      <c r="E79" s="508" t="s">
        <v>1723</v>
      </c>
      <c r="F79" s="508" t="s">
        <v>1724</v>
      </c>
      <c r="G79" s="508" t="s">
        <v>1725</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1727</v>
      </c>
      <c r="C81" s="508" t="s">
        <v>1721</v>
      </c>
      <c r="D81" s="508" t="s">
        <v>1722</v>
      </c>
      <c r="E81" s="508" t="s">
        <v>1723</v>
      </c>
      <c r="F81" s="508" t="s">
        <v>1724</v>
      </c>
      <c r="G81" s="508" t="s">
        <v>1725</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1813</v>
      </c>
      <c r="C83" s="580" t="s">
        <v>1799</v>
      </c>
      <c r="D83" s="580" t="s">
        <v>1800</v>
      </c>
      <c r="E83" s="580" t="s">
        <v>1801</v>
      </c>
      <c r="F83" s="580" t="s">
        <v>1802</v>
      </c>
      <c r="G83" s="580" t="s">
        <v>1803</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1822</v>
      </c>
      <c r="C85" s="508" t="s">
        <v>1721</v>
      </c>
      <c r="D85" s="508" t="s">
        <v>1722</v>
      </c>
      <c r="E85" s="508" t="s">
        <v>1723</v>
      </c>
      <c r="F85" s="508" t="s">
        <v>1724</v>
      </c>
      <c r="G85" s="508" t="s">
        <v>1725</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1" customFormat="1" ht="27.75" thickTop="1">
      <c r="A87" s="369"/>
      <c r="B87" s="468" t="s">
        <v>1823</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1" customFormat="1" ht="15.75" thickTop="1">
      <c r="A89" s="369"/>
      <c r="B89" s="468" t="str">
        <f>B27</f>
        <v>楼层</v>
      </c>
      <c r="C89" s="484"/>
      <c r="D89" s="484"/>
      <c r="E89" s="484"/>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1694</v>
      </c>
      <c r="B101" s="459" t="s">
        <v>1736</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c r="D104" s="6"/>
      <c r="E104" s="6"/>
      <c r="F104" s="6"/>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c r="D105" s="466"/>
      <c r="E105" s="466"/>
      <c r="F105" s="466"/>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1738</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1740</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1824</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1741</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1742</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1825</v>
      </c>
      <c r="C119" s="512"/>
      <c r="D119" s="512"/>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1808</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1744</v>
      </c>
      <c r="C123" s="484"/>
      <c r="D123" s="484"/>
      <c r="E123" s="484"/>
      <c r="F123" s="512"/>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估价对象为北京市房地产，为所有。根据《国有土地使用证》[]，估价对象（分摊）出让国有建设用地使用权面积为0平方米，建筑面积为52990.34平方米。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估价对象为北京市房地产,属开发建设的，该项目尚在开发建设中。根据《国有土地使用证》[]，估价对象（分摊）出让国有建设用地使用权面积为0平方米，规划建筑面积为52990.34平方米。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2025年7月24日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52990.34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426" t="s">
        <v>1770</v>
      </c>
      <c r="D4" s="3427"/>
      <c r="E4" s="3428" t="s">
        <v>1771</v>
      </c>
      <c r="F4" s="3429"/>
      <c r="G4" s="3426" t="s">
        <v>1772</v>
      </c>
      <c r="H4" s="3427"/>
      <c r="I4" s="3426" t="s">
        <v>1773</v>
      </c>
      <c r="J4" s="3427"/>
      <c r="K4" s="536" t="s">
        <v>1774</v>
      </c>
      <c r="L4" s="859"/>
      <c r="M4" s="860"/>
      <c r="N4" s="860"/>
      <c r="O4" s="860"/>
      <c r="P4" s="3430" t="s">
        <v>1775</v>
      </c>
      <c r="Q4" s="3431"/>
      <c r="R4" s="3413" t="s">
        <v>1771</v>
      </c>
      <c r="S4" s="3414"/>
      <c r="T4" s="3413" t="s">
        <v>1772</v>
      </c>
      <c r="U4" s="3414"/>
      <c r="V4" s="3438" t="s">
        <v>1773</v>
      </c>
      <c r="W4" s="3438"/>
      <c r="X4" s="1264"/>
      <c r="Y4" s="3413" t="s">
        <v>1775</v>
      </c>
      <c r="Z4" s="3414"/>
      <c r="AA4" s="3408" t="s">
        <v>1771</v>
      </c>
      <c r="AB4" s="3409" t="s">
        <v>1772</v>
      </c>
      <c r="AC4" s="3408" t="s">
        <v>1773</v>
      </c>
    </row>
    <row r="5" spans="1:29" ht="15">
      <c r="A5" s="347"/>
      <c r="B5" s="348"/>
      <c r="C5" s="3419" t="s">
        <v>1673</v>
      </c>
      <c r="D5" s="3420"/>
      <c r="E5" s="3417" t="s">
        <v>1674</v>
      </c>
      <c r="F5" s="3418"/>
      <c r="G5" s="3419" t="s">
        <v>1675</v>
      </c>
      <c r="H5" s="3420"/>
      <c r="I5" s="3419" t="s">
        <v>1676</v>
      </c>
      <c r="J5" s="3420"/>
      <c r="K5" s="536"/>
      <c r="L5" s="859"/>
      <c r="M5" s="860"/>
      <c r="N5" s="860"/>
      <c r="O5" s="860"/>
      <c r="P5" s="3432"/>
      <c r="Q5" s="3433"/>
      <c r="R5" s="3415"/>
      <c r="S5" s="3416"/>
      <c r="T5" s="3415"/>
      <c r="U5" s="3416"/>
      <c r="V5" s="3438"/>
      <c r="W5" s="3438"/>
      <c r="X5" s="1264"/>
      <c r="Y5" s="3415"/>
      <c r="Z5" s="3416"/>
      <c r="AA5" s="3409"/>
      <c r="AB5" s="3409"/>
      <c r="AC5" s="3409"/>
    </row>
    <row r="6" spans="1:29" ht="15.75" thickBot="1">
      <c r="A6" s="349"/>
      <c r="B6" s="350"/>
      <c r="C6" s="3421" t="s">
        <v>1677</v>
      </c>
      <c r="D6" s="3422"/>
      <c r="E6" s="3423" t="s">
        <v>1677</v>
      </c>
      <c r="F6" s="3424"/>
      <c r="G6" s="3421" t="s">
        <v>1677</v>
      </c>
      <c r="H6" s="3422"/>
      <c r="I6" s="3421" t="s">
        <v>1677</v>
      </c>
      <c r="J6" s="3422"/>
      <c r="K6" s="536" t="s">
        <v>1678</v>
      </c>
      <c r="L6" s="859"/>
      <c r="M6" s="860"/>
      <c r="N6" s="860"/>
      <c r="O6" s="860"/>
      <c r="P6" s="3434"/>
      <c r="Q6" s="3435"/>
      <c r="R6" s="3415"/>
      <c r="S6" s="3416"/>
      <c r="T6" s="3436"/>
      <c r="U6" s="3437"/>
      <c r="V6" s="3438"/>
      <c r="W6" s="3438"/>
      <c r="X6" s="1264"/>
      <c r="Y6" s="3436"/>
      <c r="Z6" s="3437"/>
      <c r="AA6" s="3410"/>
      <c r="AB6" s="3410"/>
      <c r="AC6" s="3410"/>
    </row>
    <row r="7" spans="1:29" s="101" customFormat="1" ht="15.75" thickBot="1">
      <c r="A7" s="351" t="s">
        <v>1679</v>
      </c>
      <c r="B7" s="352"/>
      <c r="C7" s="353">
        <f>'数据-取费表'!B2</f>
        <v>45862</v>
      </c>
      <c r="D7" s="354">
        <v>100</v>
      </c>
      <c r="E7" s="355"/>
      <c r="F7" s="356">
        <f>SUMIF(52:52,YEAR(E7)&amp;"-"&amp;MONTH(E7),53:53)</f>
        <v>0</v>
      </c>
      <c r="G7" s="355"/>
      <c r="H7" s="354">
        <f>SUMIF(52:52,YEAR(G7)&amp;"-"&amp;MONTH(G7),53:53)</f>
        <v>0</v>
      </c>
      <c r="I7" s="355"/>
      <c r="J7" s="354">
        <f>SUMIF(52:52,YEAR(I7)&amp;"-"&amp;MONTH(I7),53:53)</f>
        <v>0</v>
      </c>
      <c r="K7" s="38"/>
      <c r="L7" s="861"/>
      <c r="M7" s="862"/>
      <c r="N7" s="862"/>
      <c r="O7" s="862"/>
      <c r="P7" s="3411" t="s">
        <v>1680</v>
      </c>
      <c r="Q7" s="3439"/>
      <c r="R7" s="663" t="s">
        <v>14</v>
      </c>
      <c r="S7" s="664">
        <f t="shared" ref="S7:S15" si="0">F7</f>
        <v>0</v>
      </c>
      <c r="T7" s="663" t="s">
        <v>14</v>
      </c>
      <c r="U7" s="664">
        <f t="shared" ref="U7:U15" si="1">H7</f>
        <v>0</v>
      </c>
      <c r="V7" s="663" t="s">
        <v>14</v>
      </c>
      <c r="W7" s="664">
        <f t="shared" ref="W7:W15" si="2">J7</f>
        <v>0</v>
      </c>
      <c r="X7" s="665"/>
      <c r="Y7" s="3411" t="s">
        <v>1680</v>
      </c>
      <c r="Z7" s="3412"/>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11" t="s">
        <v>1683</v>
      </c>
      <c r="Q8" s="3412"/>
      <c r="R8" s="663" t="s">
        <v>14</v>
      </c>
      <c r="S8" s="664">
        <f t="shared" si="0"/>
        <v>100</v>
      </c>
      <c r="T8" s="663" t="s">
        <v>14</v>
      </c>
      <c r="U8" s="664">
        <f t="shared" si="1"/>
        <v>100</v>
      </c>
      <c r="V8" s="663" t="s">
        <v>14</v>
      </c>
      <c r="W8" s="664">
        <f t="shared" si="2"/>
        <v>100</v>
      </c>
      <c r="X8" s="665"/>
      <c r="Y8" s="3411" t="s">
        <v>1683</v>
      </c>
      <c r="Z8" s="3412"/>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43" t="s">
        <v>1686</v>
      </c>
      <c r="Q9" s="529" t="str">
        <f t="shared" ref="Q9:Q15" si="6">B9</f>
        <v>用途</v>
      </c>
      <c r="R9" s="663" t="s">
        <v>14</v>
      </c>
      <c r="S9" s="664">
        <f t="shared" si="0"/>
        <v>100</v>
      </c>
      <c r="T9" s="663" t="s">
        <v>14</v>
      </c>
      <c r="U9" s="664">
        <f t="shared" si="1"/>
        <v>100</v>
      </c>
      <c r="V9" s="663" t="s">
        <v>14</v>
      </c>
      <c r="W9" s="664">
        <f t="shared" si="2"/>
        <v>100</v>
      </c>
      <c r="X9" s="665"/>
      <c r="Y9" s="3374"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2"/>
      <c r="F10" s="118">
        <f>SUMIF(59:59,E10,60:60)-SUMIF(59:59,C10,60:60)+100</f>
        <v>100</v>
      </c>
      <c r="G10" s="3133"/>
      <c r="H10" s="118">
        <f>SUMIF(59:59,G10,60:60)-SUMIF(59:59,C10,60:60)+100</f>
        <v>100</v>
      </c>
      <c r="I10" s="3132"/>
      <c r="J10" s="118">
        <f>SUMIF(59:59,I10,60:60)-SUMIF(59:59,C10,60:60)+100</f>
        <v>100</v>
      </c>
      <c r="K10" s="38"/>
      <c r="L10" s="864"/>
      <c r="M10" s="865"/>
      <c r="N10" s="865"/>
      <c r="O10" s="866"/>
      <c r="P10" s="3443"/>
      <c r="Q10" s="529" t="str">
        <f t="shared" si="6"/>
        <v>土地使用年限（年）</v>
      </c>
      <c r="R10" s="663" t="s">
        <v>14</v>
      </c>
      <c r="S10" s="664">
        <f t="shared" si="0"/>
        <v>100</v>
      </c>
      <c r="T10" s="663" t="s">
        <v>14</v>
      </c>
      <c r="U10" s="664">
        <f t="shared" si="1"/>
        <v>100</v>
      </c>
      <c r="V10" s="663" t="s">
        <v>14</v>
      </c>
      <c r="W10" s="664">
        <f t="shared" si="2"/>
        <v>100</v>
      </c>
      <c r="X10" s="665"/>
      <c r="Y10" s="3374"/>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43"/>
      <c r="Q11" s="529" t="str">
        <f t="shared" si="6"/>
        <v>容积率</v>
      </c>
      <c r="R11" s="663" t="s">
        <v>14</v>
      </c>
      <c r="S11" s="664">
        <f t="shared" si="0"/>
        <v>100</v>
      </c>
      <c r="T11" s="663" t="s">
        <v>14</v>
      </c>
      <c r="U11" s="664">
        <f t="shared" si="1"/>
        <v>100</v>
      </c>
      <c r="V11" s="663" t="s">
        <v>14</v>
      </c>
      <c r="W11" s="664">
        <f t="shared" si="2"/>
        <v>100</v>
      </c>
      <c r="X11" s="665"/>
      <c r="Y11" s="3374"/>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43"/>
      <c r="Q12" s="529">
        <f t="shared" si="6"/>
        <v>111</v>
      </c>
      <c r="R12" s="663" t="s">
        <v>14</v>
      </c>
      <c r="S12" s="664">
        <f t="shared" si="0"/>
        <v>100</v>
      </c>
      <c r="T12" s="663" t="s">
        <v>14</v>
      </c>
      <c r="U12" s="664">
        <f t="shared" si="1"/>
        <v>100</v>
      </c>
      <c r="V12" s="663" t="s">
        <v>14</v>
      </c>
      <c r="W12" s="664">
        <f t="shared" si="2"/>
        <v>100</v>
      </c>
      <c r="X12" s="665"/>
      <c r="Y12" s="3374"/>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43"/>
      <c r="Q13" s="529">
        <f t="shared" si="6"/>
        <v>111</v>
      </c>
      <c r="R13" s="663" t="s">
        <v>14</v>
      </c>
      <c r="S13" s="664">
        <f t="shared" si="0"/>
        <v>100</v>
      </c>
      <c r="T13" s="663" t="s">
        <v>14</v>
      </c>
      <c r="U13" s="664">
        <f t="shared" si="1"/>
        <v>100</v>
      </c>
      <c r="V13" s="663" t="s">
        <v>14</v>
      </c>
      <c r="W13" s="664">
        <f t="shared" si="2"/>
        <v>100</v>
      </c>
      <c r="X13" s="665"/>
      <c r="Y13" s="3374"/>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43"/>
      <c r="Q14" s="529">
        <f t="shared" si="6"/>
        <v>111</v>
      </c>
      <c r="R14" s="663" t="s">
        <v>14</v>
      </c>
      <c r="S14" s="664">
        <f t="shared" si="0"/>
        <v>100</v>
      </c>
      <c r="T14" s="663" t="s">
        <v>14</v>
      </c>
      <c r="U14" s="664">
        <f t="shared" si="1"/>
        <v>100</v>
      </c>
      <c r="V14" s="663" t="s">
        <v>14</v>
      </c>
      <c r="W14" s="664">
        <f t="shared" si="2"/>
        <v>100</v>
      </c>
      <c r="X14" s="665"/>
      <c r="Y14" s="3374"/>
      <c r="Z14" s="50">
        <f t="shared" si="7"/>
        <v>111</v>
      </c>
      <c r="AA14" s="50">
        <f t="shared" si="3"/>
        <v>1</v>
      </c>
      <c r="AB14" s="50">
        <f t="shared" si="4"/>
        <v>1</v>
      </c>
      <c r="AC14" s="50">
        <f t="shared" si="5"/>
        <v>1</v>
      </c>
    </row>
    <row r="15" spans="1:29" ht="15">
      <c r="A15" s="378" t="s">
        <v>1690</v>
      </c>
      <c r="B15" s="58"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44" t="s">
        <v>1691</v>
      </c>
      <c r="Q15" s="1262" t="str">
        <f t="shared" si="6"/>
        <v>产业集聚程度</v>
      </c>
      <c r="R15" s="666" t="s">
        <v>14</v>
      </c>
      <c r="S15" s="667">
        <f t="shared" si="0"/>
        <v>100</v>
      </c>
      <c r="T15" s="666" t="s">
        <v>14</v>
      </c>
      <c r="U15" s="667">
        <f t="shared" si="1"/>
        <v>100</v>
      </c>
      <c r="V15" s="666" t="s">
        <v>14</v>
      </c>
      <c r="W15" s="667">
        <f t="shared" si="2"/>
        <v>100</v>
      </c>
      <c r="X15" s="1264"/>
      <c r="Y15" s="3444"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45"/>
      <c r="Q16" s="1262"/>
      <c r="R16" s="666"/>
      <c r="S16" s="667"/>
      <c r="T16" s="666"/>
      <c r="U16" s="667"/>
      <c r="V16" s="666"/>
      <c r="W16" s="667"/>
      <c r="X16" s="1264"/>
      <c r="Y16" s="3445"/>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45"/>
      <c r="Q17" s="1262" t="str">
        <f>B17</f>
        <v>交通便捷度</v>
      </c>
      <c r="R17" s="666" t="s">
        <v>14</v>
      </c>
      <c r="S17" s="667">
        <f>F17</f>
        <v>100</v>
      </c>
      <c r="T17" s="666" t="s">
        <v>14</v>
      </c>
      <c r="U17" s="667">
        <f>H17</f>
        <v>100</v>
      </c>
      <c r="V17" s="666" t="s">
        <v>14</v>
      </c>
      <c r="W17" s="667">
        <f>J17</f>
        <v>100</v>
      </c>
      <c r="X17" s="1264"/>
      <c r="Y17" s="3445"/>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45"/>
      <c r="Q18" s="1262"/>
      <c r="R18" s="666"/>
      <c r="S18" s="667"/>
      <c r="T18" s="666"/>
      <c r="U18" s="667"/>
      <c r="V18" s="666"/>
      <c r="W18" s="667"/>
      <c r="X18" s="1264"/>
      <c r="Y18" s="3445"/>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45"/>
      <c r="Q19" s="1262" t="str">
        <f>B19</f>
        <v>公共配套设施</v>
      </c>
      <c r="R19" s="666" t="s">
        <v>14</v>
      </c>
      <c r="S19" s="667">
        <f>F19</f>
        <v>100</v>
      </c>
      <c r="T19" s="666" t="s">
        <v>14</v>
      </c>
      <c r="U19" s="667">
        <f>H19</f>
        <v>100</v>
      </c>
      <c r="V19" s="666" t="s">
        <v>14</v>
      </c>
      <c r="W19" s="667">
        <f>J19</f>
        <v>100</v>
      </c>
      <c r="X19" s="1264"/>
      <c r="Y19" s="3445"/>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45"/>
      <c r="Q20" s="1262"/>
      <c r="R20" s="666"/>
      <c r="S20" s="667"/>
      <c r="T20" s="666"/>
      <c r="U20" s="667"/>
      <c r="V20" s="666"/>
      <c r="W20" s="667"/>
      <c r="X20" s="1264"/>
      <c r="Y20" s="3445"/>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45"/>
      <c r="Q21" s="1262" t="str">
        <f>B21</f>
        <v>基础设施水平</v>
      </c>
      <c r="R21" s="666" t="s">
        <v>14</v>
      </c>
      <c r="S21" s="667">
        <f>F21</f>
        <v>100</v>
      </c>
      <c r="T21" s="666" t="s">
        <v>14</v>
      </c>
      <c r="U21" s="667">
        <f>H21</f>
        <v>100</v>
      </c>
      <c r="V21" s="666" t="s">
        <v>14</v>
      </c>
      <c r="W21" s="667">
        <f>J21</f>
        <v>100</v>
      </c>
      <c r="X21" s="1264"/>
      <c r="Y21" s="3445"/>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45"/>
      <c r="Q22" s="1262"/>
      <c r="R22" s="666"/>
      <c r="S22" s="667"/>
      <c r="T22" s="666"/>
      <c r="U22" s="667"/>
      <c r="V22" s="666"/>
      <c r="W22" s="667"/>
      <c r="X22" s="1264"/>
      <c r="Y22" s="3445"/>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45"/>
      <c r="Q23" s="1262" t="str">
        <f>B23</f>
        <v>环境质量</v>
      </c>
      <c r="R23" s="666" t="s">
        <v>14</v>
      </c>
      <c r="S23" s="667">
        <f>F23</f>
        <v>100</v>
      </c>
      <c r="T23" s="666" t="s">
        <v>14</v>
      </c>
      <c r="U23" s="667">
        <f>H23</f>
        <v>100</v>
      </c>
      <c r="V23" s="666" t="s">
        <v>14</v>
      </c>
      <c r="W23" s="667">
        <f>J23</f>
        <v>100</v>
      </c>
      <c r="X23" s="1264"/>
      <c r="Y23" s="3445"/>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45"/>
      <c r="Q24" s="1262"/>
      <c r="R24" s="666"/>
      <c r="S24" s="667"/>
      <c r="T24" s="666"/>
      <c r="U24" s="667"/>
      <c r="V24" s="666"/>
      <c r="W24" s="667"/>
      <c r="X24" s="1264"/>
      <c r="Y24" s="3445"/>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45"/>
      <c r="Q25" s="1262">
        <f>B25</f>
        <v>111</v>
      </c>
      <c r="R25" s="666" t="s">
        <v>14</v>
      </c>
      <c r="S25" s="667">
        <f>F25</f>
        <v>100</v>
      </c>
      <c r="T25" s="666" t="s">
        <v>14</v>
      </c>
      <c r="U25" s="667">
        <f>H25</f>
        <v>100</v>
      </c>
      <c r="V25" s="666" t="s">
        <v>14</v>
      </c>
      <c r="W25" s="667">
        <f>J25</f>
        <v>100</v>
      </c>
      <c r="X25" s="1264"/>
      <c r="Y25" s="3445"/>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45"/>
      <c r="Q26" s="1262">
        <f t="shared" ref="Q26:Q40" si="11">B26</f>
        <v>111</v>
      </c>
      <c r="R26" s="666" t="s">
        <v>14</v>
      </c>
      <c r="S26" s="667">
        <f>F26</f>
        <v>100</v>
      </c>
      <c r="T26" s="666" t="s">
        <v>14</v>
      </c>
      <c r="U26" s="667">
        <f>H26</f>
        <v>100</v>
      </c>
      <c r="V26" s="666" t="s">
        <v>14</v>
      </c>
      <c r="W26" s="667">
        <f>J26</f>
        <v>100</v>
      </c>
      <c r="X26" s="1264"/>
      <c r="Y26" s="3445"/>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45"/>
      <c r="Q27" s="529">
        <f t="shared" si="11"/>
        <v>111</v>
      </c>
      <c r="R27" s="663" t="s">
        <v>14</v>
      </c>
      <c r="S27" s="664">
        <f>F27</f>
        <v>100</v>
      </c>
      <c r="T27" s="663" t="s">
        <v>14</v>
      </c>
      <c r="U27" s="664">
        <f>H27</f>
        <v>100</v>
      </c>
      <c r="V27" s="663" t="s">
        <v>14</v>
      </c>
      <c r="W27" s="664">
        <f>J27</f>
        <v>100</v>
      </c>
      <c r="X27" s="665"/>
      <c r="Y27" s="3445"/>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45"/>
      <c r="Q28" s="1262">
        <f t="shared" si="11"/>
        <v>111</v>
      </c>
      <c r="R28" s="666" t="s">
        <v>14</v>
      </c>
      <c r="S28" s="667">
        <f t="shared" ref="S28:S40" si="12">F28</f>
        <v>100</v>
      </c>
      <c r="T28" s="666" t="s">
        <v>14</v>
      </c>
      <c r="U28" s="667">
        <f t="shared" ref="U28:U40" si="13">H28</f>
        <v>100</v>
      </c>
      <c r="V28" s="666" t="s">
        <v>14</v>
      </c>
      <c r="W28" s="667">
        <f t="shared" ref="W28:W40" si="14">J28</f>
        <v>100</v>
      </c>
      <c r="X28" s="1264"/>
      <c r="Y28" s="3445"/>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68" t="s">
        <v>1696</v>
      </c>
      <c r="Q29" s="1262" t="str">
        <f t="shared" si="11"/>
        <v>建筑类型</v>
      </c>
      <c r="R29" s="666" t="s">
        <v>14</v>
      </c>
      <c r="S29" s="667">
        <f t="shared" si="12"/>
        <v>100</v>
      </c>
      <c r="T29" s="666" t="s">
        <v>14</v>
      </c>
      <c r="U29" s="667">
        <f t="shared" si="13"/>
        <v>100</v>
      </c>
      <c r="V29" s="666" t="s">
        <v>14</v>
      </c>
      <c r="W29" s="667">
        <f t="shared" si="14"/>
        <v>100</v>
      </c>
      <c r="X29" s="1264"/>
      <c r="Y29" s="3449"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9"/>
      <c r="Q30" s="530" t="str">
        <f t="shared" si="11"/>
        <v>项目建筑规模</v>
      </c>
      <c r="R30" s="668" t="s">
        <v>14</v>
      </c>
      <c r="S30" s="669" t="e">
        <f t="shared" si="12"/>
        <v>#N/A</v>
      </c>
      <c r="T30" s="668" t="s">
        <v>14</v>
      </c>
      <c r="U30" s="669" t="e">
        <f t="shared" si="13"/>
        <v>#N/A</v>
      </c>
      <c r="V30" s="668" t="s">
        <v>14</v>
      </c>
      <c r="W30" s="669" t="e">
        <f t="shared" si="14"/>
        <v>#N/A</v>
      </c>
      <c r="X30" s="670"/>
      <c r="Y30" s="3449"/>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9"/>
      <c r="Q31" s="1262" t="str">
        <f t="shared" si="11"/>
        <v>建筑结构</v>
      </c>
      <c r="R31" s="666" t="s">
        <v>14</v>
      </c>
      <c r="S31" s="667">
        <f t="shared" si="12"/>
        <v>100</v>
      </c>
      <c r="T31" s="666" t="s">
        <v>14</v>
      </c>
      <c r="U31" s="667">
        <f t="shared" si="13"/>
        <v>100</v>
      </c>
      <c r="V31" s="666" t="s">
        <v>14</v>
      </c>
      <c r="W31" s="667">
        <f t="shared" si="14"/>
        <v>100</v>
      </c>
      <c r="X31" s="1264"/>
      <c r="Y31" s="3449"/>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9"/>
      <c r="Q32" s="1262" t="str">
        <f t="shared" si="11"/>
        <v>公共部分装修</v>
      </c>
      <c r="R32" s="666" t="s">
        <v>14</v>
      </c>
      <c r="S32" s="667">
        <f t="shared" si="12"/>
        <v>100</v>
      </c>
      <c r="T32" s="666" t="s">
        <v>14</v>
      </c>
      <c r="U32" s="667">
        <f t="shared" si="13"/>
        <v>100</v>
      </c>
      <c r="V32" s="666" t="s">
        <v>14</v>
      </c>
      <c r="W32" s="667">
        <f t="shared" si="14"/>
        <v>100</v>
      </c>
      <c r="X32" s="1264"/>
      <c r="Y32" s="3449"/>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9"/>
      <c r="Q33" s="1262" t="str">
        <f t="shared" si="11"/>
        <v>成新度</v>
      </c>
      <c r="R33" s="666" t="s">
        <v>14</v>
      </c>
      <c r="S33" s="667" t="e">
        <f t="shared" si="12"/>
        <v>#N/A</v>
      </c>
      <c r="T33" s="666" t="s">
        <v>14</v>
      </c>
      <c r="U33" s="667" t="e">
        <f t="shared" si="13"/>
        <v>#N/A</v>
      </c>
      <c r="V33" s="666" t="s">
        <v>14</v>
      </c>
      <c r="W33" s="667" t="e">
        <f t="shared" si="14"/>
        <v>#N/A</v>
      </c>
      <c r="X33" s="1264"/>
      <c r="Y33" s="3449"/>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9"/>
      <c r="Q34" s="529" t="str">
        <f t="shared" si="11"/>
        <v>物业管理</v>
      </c>
      <c r="R34" s="663" t="s">
        <v>14</v>
      </c>
      <c r="S34" s="664">
        <f t="shared" si="12"/>
        <v>100</v>
      </c>
      <c r="T34" s="663" t="s">
        <v>14</v>
      </c>
      <c r="U34" s="664">
        <f t="shared" si="13"/>
        <v>100</v>
      </c>
      <c r="V34" s="663" t="s">
        <v>14</v>
      </c>
      <c r="W34" s="664">
        <f t="shared" si="14"/>
        <v>100</v>
      </c>
      <c r="X34" s="665"/>
      <c r="Y34" s="3449"/>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9" t="s">
        <v>1696</v>
      </c>
      <c r="Q35" s="1262" t="str">
        <f t="shared" si="11"/>
        <v>市政基础设施</v>
      </c>
      <c r="R35" s="666" t="s">
        <v>14</v>
      </c>
      <c r="S35" s="667">
        <f t="shared" si="12"/>
        <v>100</v>
      </c>
      <c r="T35" s="666" t="s">
        <v>14</v>
      </c>
      <c r="U35" s="667">
        <f t="shared" si="13"/>
        <v>100</v>
      </c>
      <c r="V35" s="666" t="s">
        <v>14</v>
      </c>
      <c r="W35" s="667">
        <f t="shared" si="14"/>
        <v>100</v>
      </c>
      <c r="X35" s="1264"/>
      <c r="Y35" s="3449"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9"/>
      <c r="Q36" s="1262" t="str">
        <f t="shared" si="11"/>
        <v>内部装修</v>
      </c>
      <c r="R36" s="666" t="s">
        <v>14</v>
      </c>
      <c r="S36" s="667">
        <f t="shared" si="12"/>
        <v>100</v>
      </c>
      <c r="T36" s="666" t="s">
        <v>14</v>
      </c>
      <c r="U36" s="667">
        <f t="shared" si="13"/>
        <v>100</v>
      </c>
      <c r="V36" s="666" t="s">
        <v>14</v>
      </c>
      <c r="W36" s="667">
        <f t="shared" si="14"/>
        <v>100</v>
      </c>
      <c r="X36" s="1264"/>
      <c r="Y36" s="3449"/>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9"/>
      <c r="Q37" s="1262" t="str">
        <f t="shared" si="11"/>
        <v>内部装修状况</v>
      </c>
      <c r="R37" s="666" t="s">
        <v>14</v>
      </c>
      <c r="S37" s="667">
        <f t="shared" si="12"/>
        <v>100</v>
      </c>
      <c r="T37" s="666" t="s">
        <v>14</v>
      </c>
      <c r="U37" s="667">
        <f t="shared" si="13"/>
        <v>100</v>
      </c>
      <c r="V37" s="666" t="s">
        <v>14</v>
      </c>
      <c r="W37" s="667">
        <f t="shared" si="14"/>
        <v>100</v>
      </c>
      <c r="X37" s="1264"/>
      <c r="Y37" s="3449"/>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9"/>
      <c r="Q38" s="530">
        <f t="shared" si="11"/>
        <v>111</v>
      </c>
      <c r="R38" s="668" t="s">
        <v>14</v>
      </c>
      <c r="S38" s="669">
        <f t="shared" si="12"/>
        <v>100</v>
      </c>
      <c r="T38" s="668" t="s">
        <v>14</v>
      </c>
      <c r="U38" s="669">
        <f t="shared" si="13"/>
        <v>100</v>
      </c>
      <c r="V38" s="668" t="s">
        <v>14</v>
      </c>
      <c r="W38" s="669">
        <f t="shared" si="14"/>
        <v>100</v>
      </c>
      <c r="X38" s="670"/>
      <c r="Y38" s="3449"/>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9"/>
      <c r="Q39" s="1262">
        <f t="shared" si="11"/>
        <v>111</v>
      </c>
      <c r="R39" s="666" t="s">
        <v>14</v>
      </c>
      <c r="S39" s="667">
        <f t="shared" si="12"/>
        <v>100</v>
      </c>
      <c r="T39" s="666" t="s">
        <v>14</v>
      </c>
      <c r="U39" s="667">
        <f t="shared" si="13"/>
        <v>100</v>
      </c>
      <c r="V39" s="666" t="s">
        <v>14</v>
      </c>
      <c r="W39" s="667">
        <f t="shared" si="14"/>
        <v>100</v>
      </c>
      <c r="X39" s="1264"/>
      <c r="Y39" s="3449"/>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50"/>
      <c r="Q40" s="1262">
        <f t="shared" si="11"/>
        <v>111</v>
      </c>
      <c r="R40" s="666" t="s">
        <v>14</v>
      </c>
      <c r="S40" s="667">
        <f t="shared" si="12"/>
        <v>100</v>
      </c>
      <c r="T40" s="666" t="s">
        <v>14</v>
      </c>
      <c r="U40" s="667">
        <f t="shared" si="13"/>
        <v>100</v>
      </c>
      <c r="V40" s="666" t="s">
        <v>14</v>
      </c>
      <c r="W40" s="667">
        <f t="shared" si="14"/>
        <v>100</v>
      </c>
      <c r="X40" s="1264"/>
      <c r="Y40" s="3450"/>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443" t="str">
        <f>A41</f>
        <v>成交单价（元/平方米）</v>
      </c>
      <c r="Q41" s="3443"/>
      <c r="R41" s="3438">
        <f>E41</f>
        <v>0</v>
      </c>
      <c r="S41" s="3438"/>
      <c r="T41" s="3438">
        <f>G41</f>
        <v>0</v>
      </c>
      <c r="U41" s="3438"/>
      <c r="V41" s="3438">
        <f>I41</f>
        <v>0</v>
      </c>
      <c r="W41" s="3438"/>
      <c r="X41" s="384"/>
      <c r="Y41" s="672"/>
      <c r="Z41" s="384"/>
      <c r="AA41" s="384"/>
      <c r="AB41" s="384"/>
      <c r="AC41" s="384"/>
    </row>
    <row r="42" spans="1:29" ht="15.7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443" t="str">
        <f>A42</f>
        <v>比较价值（元/平方米）</v>
      </c>
      <c r="Q42" s="3443"/>
      <c r="R42" s="3438" t="e">
        <f>IF(F1="售价",ROUND(PRODUCT(R41,AA7:AA40),0),ROUND(PRODUCT(R41,AA7:AA40),1))</f>
        <v>#DIV/0!</v>
      </c>
      <c r="S42" s="3438"/>
      <c r="T42" s="3438" t="e">
        <f>IF(F1="售价",ROUND(PRODUCT(T41,AB7:AB40),0),ROUND(PRODUCT(T41,AB7:AB40),1))</f>
        <v>#DIV/0!</v>
      </c>
      <c r="U42" s="3438"/>
      <c r="V42" s="3438" t="e">
        <f>IF(F1="售价",ROUND(PRODUCT(V41,AC7:AC40),0),ROUND(PRODUCT(V41,AC7:AC40),1))</f>
        <v>#DIV/0!</v>
      </c>
      <c r="W42" s="3438"/>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40" t="str">
        <f>A43</f>
        <v>估价对象XX用房的比较价值（楼面单价，元/平方米）</v>
      </c>
      <c r="Q43" s="3441"/>
      <c r="R43" s="3442" t="e">
        <f>IF(F1="售价",ROUND(IF(D42="简单平均",AVERAGE(R42:V42),R42*F42+T42*H42+V42*J42),0),ROUND(IF(D42="简单平均",AVERAGE(R42:V42),R42*F42+T42*H42+V42*J42),1))</f>
        <v>#DIV/0!</v>
      </c>
      <c r="S43" s="3442"/>
      <c r="T43" s="3442"/>
      <c r="U43" s="3442"/>
      <c r="V43" s="3442"/>
      <c r="W43" s="3442"/>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2025-7</v>
      </c>
      <c r="D52" s="1103">
        <f>EDATE(C52,-1)</f>
        <v>45809</v>
      </c>
      <c r="E52" s="1103">
        <f t="shared" ref="E52:O52" si="16">EDATE(D52,-1)</f>
        <v>45778</v>
      </c>
      <c r="F52" s="1103">
        <f t="shared" si="16"/>
        <v>45748</v>
      </c>
      <c r="G52" s="1103">
        <f t="shared" si="16"/>
        <v>45717</v>
      </c>
      <c r="H52" s="1103">
        <f t="shared" si="16"/>
        <v>45689</v>
      </c>
      <c r="I52" s="1103">
        <f t="shared" si="16"/>
        <v>45658</v>
      </c>
      <c r="J52" s="1103">
        <f t="shared" si="16"/>
        <v>45627</v>
      </c>
      <c r="K52" s="1103">
        <f t="shared" si="16"/>
        <v>45597</v>
      </c>
      <c r="L52" s="1103">
        <f t="shared" si="16"/>
        <v>45566</v>
      </c>
      <c r="M52" s="1103">
        <f t="shared" si="16"/>
        <v>45536</v>
      </c>
      <c r="N52" s="1103">
        <f t="shared" si="16"/>
        <v>45505</v>
      </c>
      <c r="O52" s="1103">
        <f t="shared" si="16"/>
        <v>45474</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8"/>
      <c r="O54" s="2539"/>
      <c r="P54" s="438"/>
      <c r="Q54" s="438"/>
    </row>
    <row r="55" spans="1:17" s="101" customFormat="1" ht="15">
      <c r="A55" s="454" t="s">
        <v>1681</v>
      </c>
      <c r="B55" s="443"/>
      <c r="C55" s="455" t="s">
        <v>1776</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3312</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5">
      <c r="A4" s="344" t="s">
        <v>1769</v>
      </c>
      <c r="B4" s="345"/>
      <c r="C4" s="3426" t="s">
        <v>1770</v>
      </c>
      <c r="D4" s="3427"/>
      <c r="E4" s="3428" t="s">
        <v>1771</v>
      </c>
      <c r="F4" s="3429"/>
      <c r="G4" s="3426" t="s">
        <v>1772</v>
      </c>
      <c r="H4" s="3427"/>
      <c r="I4" s="3426" t="s">
        <v>1773</v>
      </c>
      <c r="J4" s="3427"/>
      <c r="K4" s="536" t="s">
        <v>1774</v>
      </c>
      <c r="L4" s="2486"/>
      <c r="M4" s="2487"/>
      <c r="N4" s="2487"/>
      <c r="O4" s="2487"/>
      <c r="P4" s="3430" t="s">
        <v>1775</v>
      </c>
      <c r="Q4" s="3431"/>
      <c r="R4" s="3413" t="s">
        <v>1771</v>
      </c>
      <c r="S4" s="3414"/>
      <c r="T4" s="3413" t="s">
        <v>1772</v>
      </c>
      <c r="U4" s="3414"/>
      <c r="V4" s="3438" t="s">
        <v>1773</v>
      </c>
      <c r="W4" s="3438"/>
      <c r="X4" s="1264"/>
      <c r="Y4" s="3413" t="s">
        <v>1775</v>
      </c>
      <c r="Z4" s="3414"/>
      <c r="AA4" s="3408" t="s">
        <v>1771</v>
      </c>
      <c r="AB4" s="3409" t="s">
        <v>1772</v>
      </c>
      <c r="AC4" s="3408" t="s">
        <v>1773</v>
      </c>
    </row>
    <row r="5" spans="1:29" ht="15">
      <c r="A5" s="347"/>
      <c r="B5" s="348"/>
      <c r="C5" s="3419" t="s">
        <v>1673</v>
      </c>
      <c r="D5" s="3420"/>
      <c r="E5" s="3417" t="s">
        <v>1674</v>
      </c>
      <c r="F5" s="3418"/>
      <c r="G5" s="3419" t="s">
        <v>1675</v>
      </c>
      <c r="H5" s="3420"/>
      <c r="I5" s="3419" t="s">
        <v>1676</v>
      </c>
      <c r="J5" s="3420"/>
      <c r="K5" s="536"/>
      <c r="L5" s="2486"/>
      <c r="M5" s="2487"/>
      <c r="N5" s="2487"/>
      <c r="O5" s="2487"/>
      <c r="P5" s="3432"/>
      <c r="Q5" s="3433"/>
      <c r="R5" s="3415"/>
      <c r="S5" s="3416"/>
      <c r="T5" s="3415"/>
      <c r="U5" s="3416"/>
      <c r="V5" s="3438"/>
      <c r="W5" s="3438"/>
      <c r="X5" s="1264"/>
      <c r="Y5" s="3415"/>
      <c r="Z5" s="3416"/>
      <c r="AA5" s="3409"/>
      <c r="AB5" s="3409"/>
      <c r="AC5" s="3409"/>
    </row>
    <row r="6" spans="1:29" ht="15.75" thickBot="1">
      <c r="A6" s="349"/>
      <c r="B6" s="350"/>
      <c r="C6" s="3421" t="s">
        <v>1677</v>
      </c>
      <c r="D6" s="3422"/>
      <c r="E6" s="3423" t="s">
        <v>1677</v>
      </c>
      <c r="F6" s="3424"/>
      <c r="G6" s="3421" t="s">
        <v>1677</v>
      </c>
      <c r="H6" s="3422"/>
      <c r="I6" s="3421" t="s">
        <v>1677</v>
      </c>
      <c r="J6" s="3422"/>
      <c r="K6" s="536" t="s">
        <v>1678</v>
      </c>
      <c r="L6" s="2486"/>
      <c r="M6" s="2487"/>
      <c r="N6" s="2487"/>
      <c r="O6" s="2487"/>
      <c r="P6" s="3434"/>
      <c r="Q6" s="3435"/>
      <c r="R6" s="3415"/>
      <c r="S6" s="3416"/>
      <c r="T6" s="3436"/>
      <c r="U6" s="3437"/>
      <c r="V6" s="3438"/>
      <c r="W6" s="3438"/>
      <c r="X6" s="1264"/>
      <c r="Y6" s="3436"/>
      <c r="Z6" s="3437"/>
      <c r="AA6" s="3410"/>
      <c r="AB6" s="3410"/>
      <c r="AC6" s="3410"/>
    </row>
    <row r="7" spans="1:29" s="101" customFormat="1" ht="15.75" thickBot="1">
      <c r="A7" s="351" t="s">
        <v>1679</v>
      </c>
      <c r="B7" s="352"/>
      <c r="C7" s="353">
        <f>'数据-取费表'!B2</f>
        <v>45862</v>
      </c>
      <c r="D7" s="354">
        <v>100</v>
      </c>
      <c r="E7" s="355"/>
      <c r="F7" s="356">
        <f>SUMIF(48:48,YEAR(E7)&amp;"-"&amp;MONTH(E7),49:49)</f>
        <v>0</v>
      </c>
      <c r="G7" s="355"/>
      <c r="H7" s="354">
        <f>SUMIF(48:48,YEAR(G7)&amp;"-"&amp;MONTH(G7),49:49)</f>
        <v>0</v>
      </c>
      <c r="I7" s="355"/>
      <c r="J7" s="354">
        <f>SUMIF(48:48,YEAR(I7)&amp;"-"&amp;MONTH(I7),49:49)</f>
        <v>0</v>
      </c>
      <c r="K7" s="38"/>
      <c r="L7" s="2488"/>
      <c r="M7" s="2439"/>
      <c r="N7" s="2439"/>
      <c r="O7" s="2439"/>
      <c r="P7" s="3411" t="s">
        <v>1680</v>
      </c>
      <c r="Q7" s="3439"/>
      <c r="R7" s="663" t="s">
        <v>14</v>
      </c>
      <c r="S7" s="664">
        <f t="shared" ref="S7:S14" si="0">F7</f>
        <v>0</v>
      </c>
      <c r="T7" s="663" t="s">
        <v>14</v>
      </c>
      <c r="U7" s="664">
        <f t="shared" ref="U7:U14" si="1">H7</f>
        <v>0</v>
      </c>
      <c r="V7" s="663" t="s">
        <v>14</v>
      </c>
      <c r="W7" s="664">
        <f t="shared" ref="W7:W14" si="2">J7</f>
        <v>0</v>
      </c>
      <c r="X7" s="665"/>
      <c r="Y7" s="3411" t="s">
        <v>1680</v>
      </c>
      <c r="Z7" s="3412"/>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8"/>
      <c r="M8" s="2439"/>
      <c r="N8" s="2439"/>
      <c r="O8" s="2439"/>
      <c r="P8" s="3411" t="s">
        <v>1683</v>
      </c>
      <c r="Q8" s="3412"/>
      <c r="R8" s="663" t="s">
        <v>14</v>
      </c>
      <c r="S8" s="664">
        <f t="shared" si="0"/>
        <v>100</v>
      </c>
      <c r="T8" s="663" t="s">
        <v>14</v>
      </c>
      <c r="U8" s="664">
        <f t="shared" si="1"/>
        <v>100</v>
      </c>
      <c r="V8" s="663" t="s">
        <v>14</v>
      </c>
      <c r="W8" s="664">
        <f t="shared" si="2"/>
        <v>100</v>
      </c>
      <c r="X8" s="665"/>
      <c r="Y8" s="3411" t="s">
        <v>1683</v>
      </c>
      <c r="Z8" s="3412"/>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8"/>
      <c r="M9" s="2439"/>
      <c r="N9" s="2439"/>
      <c r="O9" s="2439"/>
      <c r="P9" s="3443" t="s">
        <v>1686</v>
      </c>
      <c r="Q9" s="529" t="str">
        <f t="shared" ref="Q9:Q14" si="6">B9</f>
        <v>用途</v>
      </c>
      <c r="R9" s="663" t="s">
        <v>14</v>
      </c>
      <c r="S9" s="664">
        <f t="shared" si="0"/>
        <v>100</v>
      </c>
      <c r="T9" s="663" t="s">
        <v>14</v>
      </c>
      <c r="U9" s="664">
        <f t="shared" si="1"/>
        <v>100</v>
      </c>
      <c r="V9" s="663" t="s">
        <v>14</v>
      </c>
      <c r="W9" s="664">
        <f t="shared" si="2"/>
        <v>100</v>
      </c>
      <c r="X9" s="665"/>
      <c r="Y9" s="3374" t="s">
        <v>1687</v>
      </c>
      <c r="Z9" s="50" t="str">
        <f t="shared" ref="Z9:Z14" si="7">Q9</f>
        <v>用途</v>
      </c>
      <c r="AA9" s="50">
        <f t="shared" si="3"/>
        <v>1</v>
      </c>
      <c r="AB9" s="50">
        <f t="shared" si="4"/>
        <v>1</v>
      </c>
      <c r="AC9" s="50">
        <f t="shared" si="5"/>
        <v>1</v>
      </c>
    </row>
    <row r="10" spans="1:29" s="365" customFormat="1" ht="27">
      <c r="A10" s="564"/>
      <c r="B10" s="565" t="s">
        <v>1688</v>
      </c>
      <c r="C10" s="3132"/>
      <c r="D10" s="118">
        <v>100</v>
      </c>
      <c r="E10" s="3132"/>
      <c r="F10" s="118">
        <f>SUMIF(55:55,E10,56:56)-SUMIF(55:55,C10,56:56)+100</f>
        <v>100</v>
      </c>
      <c r="G10" s="3133"/>
      <c r="H10" s="118">
        <f>SUMIF(55:55,G10,56:56)-SUMIF(55:55,C10,56:56)+100</f>
        <v>100</v>
      </c>
      <c r="I10" s="3132"/>
      <c r="J10" s="118">
        <f>SUMIF(55:55,I10,56:56)-SUMIF(55:55,C10,56:56)+100</f>
        <v>100</v>
      </c>
      <c r="K10" s="38"/>
      <c r="L10" s="2489"/>
      <c r="M10" s="2490"/>
      <c r="N10" s="2490"/>
      <c r="O10" s="2490"/>
      <c r="P10" s="3443"/>
      <c r="Q10" s="529" t="str">
        <f t="shared" si="6"/>
        <v>土地使用年限（年）</v>
      </c>
      <c r="R10" s="663" t="s">
        <v>14</v>
      </c>
      <c r="S10" s="664">
        <f t="shared" si="0"/>
        <v>100</v>
      </c>
      <c r="T10" s="663" t="s">
        <v>14</v>
      </c>
      <c r="U10" s="664">
        <f t="shared" si="1"/>
        <v>100</v>
      </c>
      <c r="V10" s="663" t="s">
        <v>14</v>
      </c>
      <c r="W10" s="664">
        <f t="shared" si="2"/>
        <v>100</v>
      </c>
      <c r="X10" s="665"/>
      <c r="Y10" s="3374"/>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443"/>
      <c r="Q11" s="529">
        <f t="shared" si="6"/>
        <v>111</v>
      </c>
      <c r="R11" s="663" t="s">
        <v>14</v>
      </c>
      <c r="S11" s="664">
        <f t="shared" si="0"/>
        <v>100</v>
      </c>
      <c r="T11" s="663" t="s">
        <v>14</v>
      </c>
      <c r="U11" s="664">
        <f t="shared" si="1"/>
        <v>100</v>
      </c>
      <c r="V11" s="663" t="s">
        <v>14</v>
      </c>
      <c r="W11" s="664">
        <f t="shared" si="2"/>
        <v>100</v>
      </c>
      <c r="X11" s="665"/>
      <c r="Y11" s="3374"/>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443"/>
      <c r="Q12" s="529">
        <f t="shared" si="6"/>
        <v>111</v>
      </c>
      <c r="R12" s="663" t="s">
        <v>14</v>
      </c>
      <c r="S12" s="664">
        <f t="shared" si="0"/>
        <v>100</v>
      </c>
      <c r="T12" s="663" t="s">
        <v>14</v>
      </c>
      <c r="U12" s="664">
        <f t="shared" si="1"/>
        <v>100</v>
      </c>
      <c r="V12" s="663" t="s">
        <v>14</v>
      </c>
      <c r="W12" s="664">
        <f t="shared" si="2"/>
        <v>100</v>
      </c>
      <c r="X12" s="665"/>
      <c r="Y12" s="3374"/>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443"/>
      <c r="Q13" s="529">
        <f t="shared" si="6"/>
        <v>111</v>
      </c>
      <c r="R13" s="663" t="s">
        <v>14</v>
      </c>
      <c r="S13" s="664">
        <f t="shared" si="0"/>
        <v>100</v>
      </c>
      <c r="T13" s="663" t="s">
        <v>14</v>
      </c>
      <c r="U13" s="664">
        <f t="shared" si="1"/>
        <v>100</v>
      </c>
      <c r="V13" s="663" t="s">
        <v>14</v>
      </c>
      <c r="W13" s="664">
        <f t="shared" si="2"/>
        <v>100</v>
      </c>
      <c r="X13" s="665"/>
      <c r="Y13" s="3374"/>
      <c r="Z13" s="50">
        <f t="shared" si="7"/>
        <v>111</v>
      </c>
      <c r="AA13" s="50">
        <f t="shared" si="3"/>
        <v>1</v>
      </c>
      <c r="AB13" s="50">
        <f t="shared" si="4"/>
        <v>1</v>
      </c>
      <c r="AC13" s="50">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444" t="s">
        <v>1691</v>
      </c>
      <c r="Q14" s="1262" t="str">
        <f t="shared" si="6"/>
        <v>交通便捷度</v>
      </c>
      <c r="R14" s="666" t="s">
        <v>14</v>
      </c>
      <c r="S14" s="667">
        <f t="shared" si="0"/>
        <v>100</v>
      </c>
      <c r="T14" s="666" t="s">
        <v>14</v>
      </c>
      <c r="U14" s="667">
        <f t="shared" si="1"/>
        <v>100</v>
      </c>
      <c r="V14" s="666" t="s">
        <v>14</v>
      </c>
      <c r="W14" s="667">
        <f t="shared" si="2"/>
        <v>100</v>
      </c>
      <c r="X14" s="1264"/>
      <c r="Y14" s="3444"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445"/>
      <c r="Q15" s="1262"/>
      <c r="R15" s="666"/>
      <c r="S15" s="667"/>
      <c r="T15" s="666"/>
      <c r="U15" s="667"/>
      <c r="V15" s="666"/>
      <c r="W15" s="667"/>
      <c r="X15" s="1264"/>
      <c r="Y15" s="3445"/>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445"/>
      <c r="Q16" s="1262" t="str">
        <f>B16</f>
        <v>公共配套设施</v>
      </c>
      <c r="R16" s="666" t="s">
        <v>14</v>
      </c>
      <c r="S16" s="667">
        <f>F16</f>
        <v>100</v>
      </c>
      <c r="T16" s="666" t="s">
        <v>14</v>
      </c>
      <c r="U16" s="667">
        <f>H16</f>
        <v>100</v>
      </c>
      <c r="V16" s="666" t="s">
        <v>14</v>
      </c>
      <c r="W16" s="667">
        <f>J16</f>
        <v>100</v>
      </c>
      <c r="X16" s="1264"/>
      <c r="Y16" s="3445"/>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445"/>
      <c r="Q17" s="1262"/>
      <c r="R17" s="666"/>
      <c r="S17" s="667"/>
      <c r="T17" s="666"/>
      <c r="U17" s="667"/>
      <c r="V17" s="666"/>
      <c r="W17" s="667"/>
      <c r="X17" s="1264"/>
      <c r="Y17" s="3445"/>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445"/>
      <c r="Q18" s="1262" t="str">
        <f>B18</f>
        <v>基础设施水平</v>
      </c>
      <c r="R18" s="666" t="s">
        <v>14</v>
      </c>
      <c r="S18" s="667">
        <f>F18</f>
        <v>100</v>
      </c>
      <c r="T18" s="666" t="s">
        <v>14</v>
      </c>
      <c r="U18" s="667">
        <f>H18</f>
        <v>100</v>
      </c>
      <c r="V18" s="666" t="s">
        <v>14</v>
      </c>
      <c r="W18" s="667">
        <f>J18</f>
        <v>100</v>
      </c>
      <c r="X18" s="1264"/>
      <c r="Y18" s="3445"/>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445"/>
      <c r="Q19" s="1262"/>
      <c r="R19" s="666"/>
      <c r="S19" s="667"/>
      <c r="T19" s="666"/>
      <c r="U19" s="667"/>
      <c r="V19" s="666"/>
      <c r="W19" s="667"/>
      <c r="X19" s="1264"/>
      <c r="Y19" s="3445"/>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445"/>
      <c r="Q20" s="1262" t="str">
        <f>B20</f>
        <v>自然及人文环境</v>
      </c>
      <c r="R20" s="666" t="s">
        <v>14</v>
      </c>
      <c r="S20" s="667">
        <f>F20</f>
        <v>100</v>
      </c>
      <c r="T20" s="666" t="s">
        <v>14</v>
      </c>
      <c r="U20" s="667">
        <f>H20</f>
        <v>100</v>
      </c>
      <c r="V20" s="666" t="s">
        <v>14</v>
      </c>
      <c r="W20" s="667">
        <f>J20</f>
        <v>100</v>
      </c>
      <c r="X20" s="1264"/>
      <c r="Y20" s="3445"/>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445"/>
      <c r="Q21" s="1262"/>
      <c r="R21" s="666"/>
      <c r="S21" s="667"/>
      <c r="T21" s="666"/>
      <c r="U21" s="667"/>
      <c r="V21" s="666"/>
      <c r="W21" s="667"/>
      <c r="X21" s="1264"/>
      <c r="Y21" s="3445"/>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445"/>
      <c r="Q22" s="1262" t="str">
        <f>B22</f>
        <v>楼层</v>
      </c>
      <c r="R22" s="666" t="s">
        <v>14</v>
      </c>
      <c r="S22" s="667">
        <f>F22</f>
        <v>100</v>
      </c>
      <c r="T22" s="666" t="s">
        <v>14</v>
      </c>
      <c r="U22" s="667">
        <f>H22</f>
        <v>100</v>
      </c>
      <c r="V22" s="666" t="s">
        <v>14</v>
      </c>
      <c r="W22" s="667">
        <f>J22</f>
        <v>100</v>
      </c>
      <c r="X22" s="1264"/>
      <c r="Y22" s="3445"/>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445"/>
      <c r="Q23" s="1262">
        <f>B23</f>
        <v>111</v>
      </c>
      <c r="R23" s="666" t="s">
        <v>14</v>
      </c>
      <c r="S23" s="667">
        <f>F23</f>
        <v>100</v>
      </c>
      <c r="T23" s="666" t="s">
        <v>14</v>
      </c>
      <c r="U23" s="667">
        <f>H23</f>
        <v>100</v>
      </c>
      <c r="V23" s="666" t="s">
        <v>14</v>
      </c>
      <c r="W23" s="667">
        <f>J23</f>
        <v>100</v>
      </c>
      <c r="X23" s="1264"/>
      <c r="Y23" s="3445"/>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445"/>
      <c r="Q24" s="1262">
        <f t="shared" ref="Q24:Q36" si="11">B24</f>
        <v>111</v>
      </c>
      <c r="R24" s="666" t="s">
        <v>14</v>
      </c>
      <c r="S24" s="667">
        <f>F24</f>
        <v>100</v>
      </c>
      <c r="T24" s="666" t="s">
        <v>14</v>
      </c>
      <c r="U24" s="667">
        <f>H24</f>
        <v>100</v>
      </c>
      <c r="V24" s="666" t="s">
        <v>14</v>
      </c>
      <c r="W24" s="667">
        <f>J24</f>
        <v>100</v>
      </c>
      <c r="X24" s="1264"/>
      <c r="Y24" s="3445"/>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445"/>
      <c r="Q25" s="529">
        <f t="shared" si="11"/>
        <v>111</v>
      </c>
      <c r="R25" s="663" t="s">
        <v>14</v>
      </c>
      <c r="S25" s="664">
        <f>F25</f>
        <v>100</v>
      </c>
      <c r="T25" s="663" t="s">
        <v>14</v>
      </c>
      <c r="U25" s="664">
        <f>H25</f>
        <v>100</v>
      </c>
      <c r="V25" s="663" t="s">
        <v>14</v>
      </c>
      <c r="W25" s="664">
        <f>J25</f>
        <v>100</v>
      </c>
      <c r="X25" s="665"/>
      <c r="Y25" s="3445"/>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468"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49"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449"/>
      <c r="Q27" s="530" t="str">
        <f t="shared" si="11"/>
        <v>项目停车位配比</v>
      </c>
      <c r="R27" s="668" t="s">
        <v>14</v>
      </c>
      <c r="S27" s="669">
        <f t="shared" si="12"/>
        <v>100</v>
      </c>
      <c r="T27" s="668" t="s">
        <v>14</v>
      </c>
      <c r="U27" s="669">
        <f t="shared" si="13"/>
        <v>100</v>
      </c>
      <c r="V27" s="668" t="s">
        <v>14</v>
      </c>
      <c r="W27" s="669">
        <f t="shared" si="14"/>
        <v>100</v>
      </c>
      <c r="X27" s="670"/>
      <c r="Y27" s="3449"/>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449"/>
      <c r="Q28" s="1262" t="str">
        <f t="shared" si="11"/>
        <v>公共部分装修</v>
      </c>
      <c r="R28" s="666" t="s">
        <v>14</v>
      </c>
      <c r="S28" s="667">
        <f t="shared" si="12"/>
        <v>100</v>
      </c>
      <c r="T28" s="666" t="s">
        <v>14</v>
      </c>
      <c r="U28" s="667">
        <f t="shared" si="13"/>
        <v>100</v>
      </c>
      <c r="V28" s="666" t="s">
        <v>14</v>
      </c>
      <c r="W28" s="667">
        <f t="shared" si="14"/>
        <v>100</v>
      </c>
      <c r="X28" s="1264"/>
      <c r="Y28" s="3449"/>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449"/>
      <c r="Q29" s="1262" t="str">
        <f t="shared" si="11"/>
        <v>成新率</v>
      </c>
      <c r="R29" s="666" t="s">
        <v>14</v>
      </c>
      <c r="S29" s="667" t="e">
        <f t="shared" si="12"/>
        <v>#N/A</v>
      </c>
      <c r="T29" s="666" t="s">
        <v>14</v>
      </c>
      <c r="U29" s="667" t="e">
        <f t="shared" si="13"/>
        <v>#N/A</v>
      </c>
      <c r="V29" s="666" t="s">
        <v>14</v>
      </c>
      <c r="W29" s="667" t="e">
        <f t="shared" si="14"/>
        <v>#N/A</v>
      </c>
      <c r="X29" s="1264"/>
      <c r="Y29" s="3449"/>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449"/>
      <c r="Q30" s="1262" t="str">
        <f t="shared" si="11"/>
        <v>物业等级</v>
      </c>
      <c r="R30" s="666" t="s">
        <v>14</v>
      </c>
      <c r="S30" s="667">
        <f t="shared" si="12"/>
        <v>100</v>
      </c>
      <c r="T30" s="666" t="s">
        <v>14</v>
      </c>
      <c r="U30" s="667">
        <f t="shared" si="13"/>
        <v>100</v>
      </c>
      <c r="V30" s="666" t="s">
        <v>14</v>
      </c>
      <c r="W30" s="667">
        <f t="shared" si="14"/>
        <v>100</v>
      </c>
      <c r="X30" s="1264"/>
      <c r="Y30" s="3449"/>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449"/>
      <c r="Q31" s="529" t="str">
        <f t="shared" si="11"/>
        <v>停车位面积</v>
      </c>
      <c r="R31" s="663" t="s">
        <v>14</v>
      </c>
      <c r="S31" s="664" t="e">
        <f t="shared" si="12"/>
        <v>#N/A</v>
      </c>
      <c r="T31" s="663" t="s">
        <v>14</v>
      </c>
      <c r="U31" s="664" t="e">
        <f t="shared" si="13"/>
        <v>#N/A</v>
      </c>
      <c r="V31" s="663" t="s">
        <v>14</v>
      </c>
      <c r="W31" s="664" t="e">
        <f t="shared" si="14"/>
        <v>#N/A</v>
      </c>
      <c r="X31" s="665"/>
      <c r="Y31" s="3449"/>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449" t="s">
        <v>1696</v>
      </c>
      <c r="Q32" s="1262" t="str">
        <f t="shared" si="11"/>
        <v>车位类型</v>
      </c>
      <c r="R32" s="666" t="s">
        <v>14</v>
      </c>
      <c r="S32" s="667">
        <f t="shared" si="12"/>
        <v>100</v>
      </c>
      <c r="T32" s="666" t="s">
        <v>14</v>
      </c>
      <c r="U32" s="667">
        <f t="shared" si="13"/>
        <v>100</v>
      </c>
      <c r="V32" s="666" t="s">
        <v>14</v>
      </c>
      <c r="W32" s="667">
        <f t="shared" si="14"/>
        <v>100</v>
      </c>
      <c r="X32" s="1264"/>
      <c r="Y32" s="3449"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449"/>
      <c r="Q33" s="1262" t="str">
        <f t="shared" si="11"/>
        <v>是否直接入户</v>
      </c>
      <c r="R33" s="666" t="s">
        <v>14</v>
      </c>
      <c r="S33" s="667">
        <f t="shared" si="12"/>
        <v>100</v>
      </c>
      <c r="T33" s="666" t="s">
        <v>14</v>
      </c>
      <c r="U33" s="667">
        <f t="shared" si="13"/>
        <v>100</v>
      </c>
      <c r="V33" s="666" t="s">
        <v>14</v>
      </c>
      <c r="W33" s="667">
        <f t="shared" si="14"/>
        <v>100</v>
      </c>
      <c r="X33" s="1264"/>
      <c r="Y33" s="3449"/>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449"/>
      <c r="Q34" s="1262">
        <f t="shared" si="11"/>
        <v>111</v>
      </c>
      <c r="R34" s="666" t="s">
        <v>14</v>
      </c>
      <c r="S34" s="667">
        <f t="shared" si="12"/>
        <v>100</v>
      </c>
      <c r="T34" s="666" t="s">
        <v>14</v>
      </c>
      <c r="U34" s="667">
        <f t="shared" si="13"/>
        <v>100</v>
      </c>
      <c r="V34" s="666" t="s">
        <v>14</v>
      </c>
      <c r="W34" s="667">
        <f t="shared" si="14"/>
        <v>100</v>
      </c>
      <c r="X34" s="1264"/>
      <c r="Y34" s="3449"/>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449"/>
      <c r="Q35" s="530">
        <f t="shared" si="11"/>
        <v>111</v>
      </c>
      <c r="R35" s="668" t="s">
        <v>14</v>
      </c>
      <c r="S35" s="669">
        <f t="shared" si="12"/>
        <v>100</v>
      </c>
      <c r="T35" s="668" t="s">
        <v>14</v>
      </c>
      <c r="U35" s="669">
        <f t="shared" si="13"/>
        <v>100</v>
      </c>
      <c r="V35" s="668" t="s">
        <v>14</v>
      </c>
      <c r="W35" s="669">
        <f t="shared" si="14"/>
        <v>100</v>
      </c>
      <c r="X35" s="670"/>
      <c r="Y35" s="3449"/>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449"/>
      <c r="Q36" s="1262">
        <f t="shared" si="11"/>
        <v>111</v>
      </c>
      <c r="R36" s="666" t="s">
        <v>14</v>
      </c>
      <c r="S36" s="667">
        <f t="shared" si="12"/>
        <v>100</v>
      </c>
      <c r="T36" s="666" t="s">
        <v>14</v>
      </c>
      <c r="U36" s="667">
        <f t="shared" si="13"/>
        <v>100</v>
      </c>
      <c r="V36" s="666" t="s">
        <v>14</v>
      </c>
      <c r="W36" s="667">
        <f t="shared" si="14"/>
        <v>100</v>
      </c>
      <c r="X36" s="1264"/>
      <c r="Y36" s="3449"/>
      <c r="Z36" s="1263">
        <f t="shared" si="15"/>
        <v>111</v>
      </c>
      <c r="AA36" s="1263">
        <f t="shared" si="3"/>
        <v>1</v>
      </c>
      <c r="AB36" s="1263">
        <f t="shared" si="4"/>
        <v>1</v>
      </c>
      <c r="AC36" s="1263">
        <f t="shared" si="5"/>
        <v>1</v>
      </c>
    </row>
    <row r="37" spans="1:29" ht="15">
      <c r="A37" s="415" t="s">
        <v>1844</v>
      </c>
      <c r="B37" s="1820" t="s">
        <v>3333</v>
      </c>
      <c r="C37" s="1080" t="s">
        <v>0</v>
      </c>
      <c r="D37" s="417"/>
      <c r="E37" s="418"/>
      <c r="F37" s="419"/>
      <c r="G37" s="420"/>
      <c r="H37" s="421"/>
      <c r="I37" s="418"/>
      <c r="J37" s="421"/>
      <c r="K37" s="544"/>
      <c r="L37" s="2494"/>
      <c r="M37" s="2487"/>
      <c r="N37" s="2487"/>
      <c r="O37" s="2487"/>
      <c r="P37" s="3443" t="str">
        <f>A37</f>
        <v>成交单价</v>
      </c>
      <c r="Q37" s="3443"/>
      <c r="R37" s="3438">
        <f>E37</f>
        <v>0</v>
      </c>
      <c r="S37" s="3438"/>
      <c r="T37" s="3438">
        <f>G37</f>
        <v>0</v>
      </c>
      <c r="U37" s="3438"/>
      <c r="V37" s="3438">
        <f>I37</f>
        <v>0</v>
      </c>
      <c r="W37" s="3438"/>
      <c r="X37" s="384"/>
      <c r="Y37" s="672"/>
      <c r="Z37" s="384"/>
      <c r="AA37" s="384"/>
      <c r="AB37" s="384"/>
      <c r="AC37" s="384"/>
    </row>
    <row r="38" spans="1:29" ht="15.7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443" t="str">
        <f>A38</f>
        <v>比较价值（元/平方米）</v>
      </c>
      <c r="Q38" s="3443"/>
      <c r="R38" s="3438" t="e">
        <f>IF(F1="售价",ROUND(PRODUCT(R37,AA7:AA36),0),ROUND(PRODUCT(R37,AA7:AA36),1))</f>
        <v>#DIV/0!</v>
      </c>
      <c r="S38" s="3438"/>
      <c r="T38" s="3438" t="e">
        <f>IF(F1="售价",ROUND(PRODUCT(T37,AB7:AB36),0),ROUND(PRODUCT(T37,AB7:AB36),1))</f>
        <v>#DIV/0!</v>
      </c>
      <c r="U38" s="3438"/>
      <c r="V38" s="3438" t="e">
        <f>IF(F1="售价",ROUND(PRODUCT(V37,AC7:AC36),0),ROUND(PRODUCT(V37,AC7:AC36),1))</f>
        <v>#DIV/0!</v>
      </c>
      <c r="W38" s="3438"/>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4"/>
      <c r="M39" s="2487"/>
      <c r="N39" s="2487"/>
      <c r="O39" s="2487"/>
      <c r="P39" s="3440" t="str">
        <f>A39</f>
        <v>估价对象XX用房的比较价值（楼面单价，元/平方米）</v>
      </c>
      <c r="Q39" s="3441"/>
      <c r="R39" s="3469" t="e">
        <f>IF(F1="售价",ROUND(IF(D38="简单平均",AVERAGE(R38:W38),R38*F38+T38*H38+V38*J38),0),ROUND(IF(D38="简单平均",AVERAGE(R38:V38),R38*F38+T38*H38+V38*J38),1))</f>
        <v>#DIV/0!</v>
      </c>
      <c r="S39" s="3469"/>
      <c r="T39" s="3469"/>
      <c r="U39" s="3469"/>
      <c r="V39" s="3469"/>
      <c r="W39" s="3469"/>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5">
      <c r="A48" s="439" t="s">
        <v>1851</v>
      </c>
      <c r="B48" s="440"/>
      <c r="C48" s="1102" t="str">
        <f>YEAR(C7)&amp;"-"&amp;MONTH(C7)</f>
        <v>2025-7</v>
      </c>
      <c r="D48" s="1103">
        <f>EDATE(C48,-1)</f>
        <v>45809</v>
      </c>
      <c r="E48" s="1103">
        <f t="shared" ref="E48:O48" si="16">EDATE(D48,-1)</f>
        <v>45778</v>
      </c>
      <c r="F48" s="1103">
        <f t="shared" si="16"/>
        <v>45748</v>
      </c>
      <c r="G48" s="1103">
        <f t="shared" si="16"/>
        <v>45717</v>
      </c>
      <c r="H48" s="1103">
        <f t="shared" si="16"/>
        <v>45689</v>
      </c>
      <c r="I48" s="1103">
        <f t="shared" si="16"/>
        <v>45658</v>
      </c>
      <c r="J48" s="1103">
        <f t="shared" si="16"/>
        <v>45627</v>
      </c>
      <c r="K48" s="1103">
        <f t="shared" si="16"/>
        <v>45597</v>
      </c>
      <c r="L48" s="1103">
        <f t="shared" si="16"/>
        <v>45566</v>
      </c>
      <c r="M48" s="1103">
        <f t="shared" si="16"/>
        <v>45536</v>
      </c>
      <c r="N48" s="1103">
        <f t="shared" si="16"/>
        <v>45505</v>
      </c>
      <c r="O48" s="1103">
        <f t="shared" si="16"/>
        <v>45474</v>
      </c>
      <c r="P48" s="2527"/>
      <c r="Q48" s="2510"/>
      <c r="R48" s="2510"/>
      <c r="S48" s="2510"/>
      <c r="T48" s="2510"/>
      <c r="U48" s="2510"/>
      <c r="V48" s="2510"/>
      <c r="W48" s="2510"/>
      <c r="X48" s="2510"/>
      <c r="Y48" s="2510"/>
      <c r="Z48" s="2510"/>
      <c r="AA48" s="2510"/>
      <c r="AB48" s="2510"/>
      <c r="AC48" s="2510"/>
    </row>
    <row r="49" spans="1:29" s="101" customFormat="1" ht="15">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1" customFormat="1" ht="15.75" thickBot="1">
      <c r="A50" s="448" t="s">
        <v>1716</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1" customFormat="1" ht="15">
      <c r="A51" s="454" t="s">
        <v>1681</v>
      </c>
      <c r="B51" s="443"/>
      <c r="C51" s="455" t="s">
        <v>1776</v>
      </c>
      <c r="D51" s="31"/>
      <c r="E51" s="31"/>
      <c r="F51" s="31"/>
      <c r="G51" s="31"/>
      <c r="H51" s="31"/>
      <c r="I51" s="31"/>
      <c r="J51" s="31"/>
      <c r="K51" s="31"/>
      <c r="L51" s="456"/>
      <c r="M51" s="457"/>
      <c r="N51" s="2520"/>
      <c r="O51" s="2520"/>
      <c r="P51" s="2529"/>
      <c r="Q51" s="2508"/>
      <c r="R51" s="2439"/>
      <c r="S51" s="2439"/>
      <c r="T51" s="2439"/>
      <c r="U51" s="2439"/>
      <c r="V51" s="2439"/>
      <c r="W51" s="2439"/>
      <c r="X51" s="2439"/>
      <c r="Y51" s="2439"/>
      <c r="Z51" s="2439"/>
      <c r="AA51" s="2439"/>
      <c r="AB51" s="2439"/>
      <c r="AC51" s="2439"/>
    </row>
    <row r="52" spans="1:29" s="101" customFormat="1" ht="15.75"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5.75"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7.75" thickTop="1">
      <c r="A55" s="366"/>
      <c r="B55" s="468" t="s">
        <v>1688</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5.75"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5.75"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5.75"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5.75"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5.75"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5.75"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5.75"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75" thickTop="1">
      <c r="A65" s="366"/>
      <c r="B65" s="468" t="s">
        <v>1727</v>
      </c>
      <c r="C65" s="508" t="s">
        <v>1721</v>
      </c>
      <c r="D65" s="508" t="s">
        <v>1722</v>
      </c>
      <c r="E65" s="508" t="s">
        <v>1723</v>
      </c>
      <c r="F65" s="508" t="s">
        <v>1724</v>
      </c>
      <c r="G65" s="508" t="s">
        <v>1725</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75" thickTop="1">
      <c r="A67" s="366"/>
      <c r="B67" s="476" t="s">
        <v>1813</v>
      </c>
      <c r="C67" s="580" t="s">
        <v>1799</v>
      </c>
      <c r="D67" s="580" t="s">
        <v>1800</v>
      </c>
      <c r="E67" s="580" t="s">
        <v>1801</v>
      </c>
      <c r="F67" s="580" t="s">
        <v>1802</v>
      </c>
      <c r="G67" s="580" t="s">
        <v>1803</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75" thickTop="1">
      <c r="A69" s="366"/>
      <c r="B69" s="468" t="s">
        <v>1733</v>
      </c>
      <c r="C69" s="508" t="s">
        <v>1721</v>
      </c>
      <c r="D69" s="508" t="s">
        <v>1722</v>
      </c>
      <c r="E69" s="508" t="s">
        <v>1723</v>
      </c>
      <c r="F69" s="508" t="s">
        <v>1724</v>
      </c>
      <c r="G69" s="508" t="s">
        <v>1725</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75" thickTop="1">
      <c r="A71" s="366"/>
      <c r="B71" s="468" t="s">
        <v>1852</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1" customFormat="1" ht="15.75"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1" customFormat="1" ht="15.75"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1" customFormat="1" ht="15.75"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1" customFormat="1" ht="15.75"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5.75"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7.75" thickTop="1">
      <c r="A79" s="378" t="s">
        <v>1694</v>
      </c>
      <c r="B79" s="459" t="s">
        <v>1853</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6"/>
      <c r="B81" s="468"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1740</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1856</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1858</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1859</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5"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5.75"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5"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5.75"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5"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3313</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426" t="s">
        <v>1770</v>
      </c>
      <c r="D4" s="3427"/>
      <c r="E4" s="3428" t="s">
        <v>1771</v>
      </c>
      <c r="F4" s="3429"/>
      <c r="G4" s="3426" t="s">
        <v>1772</v>
      </c>
      <c r="H4" s="3427"/>
      <c r="I4" s="3426" t="s">
        <v>1773</v>
      </c>
      <c r="J4" s="3427"/>
      <c r="K4" s="536" t="s">
        <v>1774</v>
      </c>
      <c r="L4" s="2486"/>
      <c r="M4" s="2487"/>
      <c r="N4" s="2487"/>
      <c r="O4" s="2487"/>
      <c r="P4" s="3430" t="s">
        <v>1775</v>
      </c>
      <c r="Q4" s="3431"/>
      <c r="R4" s="3413" t="s">
        <v>1771</v>
      </c>
      <c r="S4" s="3414"/>
      <c r="T4" s="3413" t="s">
        <v>1772</v>
      </c>
      <c r="U4" s="3414"/>
      <c r="V4" s="3438" t="s">
        <v>1773</v>
      </c>
      <c r="W4" s="3438"/>
      <c r="X4" s="1264"/>
      <c r="Y4" s="3413" t="s">
        <v>1775</v>
      </c>
      <c r="Z4" s="3414"/>
      <c r="AA4" s="3408" t="s">
        <v>1771</v>
      </c>
      <c r="AB4" s="3409" t="s">
        <v>1772</v>
      </c>
      <c r="AC4" s="3408" t="s">
        <v>1773</v>
      </c>
    </row>
    <row r="5" spans="1:29" ht="15">
      <c r="A5" s="347"/>
      <c r="B5" s="348"/>
      <c r="C5" s="3419" t="s">
        <v>1673</v>
      </c>
      <c r="D5" s="3420"/>
      <c r="E5" s="3417" t="s">
        <v>1674</v>
      </c>
      <c r="F5" s="3418"/>
      <c r="G5" s="3419" t="s">
        <v>1675</v>
      </c>
      <c r="H5" s="3420"/>
      <c r="I5" s="3419" t="s">
        <v>1676</v>
      </c>
      <c r="J5" s="3420"/>
      <c r="K5" s="536"/>
      <c r="L5" s="2486"/>
      <c r="M5" s="2487"/>
      <c r="N5" s="2487"/>
      <c r="O5" s="2487"/>
      <c r="P5" s="3432"/>
      <c r="Q5" s="3433"/>
      <c r="R5" s="3415"/>
      <c r="S5" s="3416"/>
      <c r="T5" s="3415"/>
      <c r="U5" s="3416"/>
      <c r="V5" s="3438"/>
      <c r="W5" s="3438"/>
      <c r="X5" s="1264"/>
      <c r="Y5" s="3415"/>
      <c r="Z5" s="3416"/>
      <c r="AA5" s="3409"/>
      <c r="AB5" s="3409"/>
      <c r="AC5" s="3409"/>
    </row>
    <row r="6" spans="1:29" ht="15.75" thickBot="1">
      <c r="A6" s="349"/>
      <c r="B6" s="350"/>
      <c r="C6" s="3421" t="s">
        <v>1677</v>
      </c>
      <c r="D6" s="3422"/>
      <c r="E6" s="3423" t="s">
        <v>1677</v>
      </c>
      <c r="F6" s="3424"/>
      <c r="G6" s="3421" t="s">
        <v>1677</v>
      </c>
      <c r="H6" s="3422"/>
      <c r="I6" s="3421" t="s">
        <v>1677</v>
      </c>
      <c r="J6" s="3422"/>
      <c r="K6" s="536" t="s">
        <v>1678</v>
      </c>
      <c r="L6" s="2486"/>
      <c r="M6" s="2487"/>
      <c r="N6" s="2487"/>
      <c r="O6" s="2487"/>
      <c r="P6" s="3434"/>
      <c r="Q6" s="3435"/>
      <c r="R6" s="3415"/>
      <c r="S6" s="3416"/>
      <c r="T6" s="3436"/>
      <c r="U6" s="3437"/>
      <c r="V6" s="3438"/>
      <c r="W6" s="3438"/>
      <c r="X6" s="1264"/>
      <c r="Y6" s="3436"/>
      <c r="Z6" s="3437"/>
      <c r="AA6" s="3410"/>
      <c r="AB6" s="3410"/>
      <c r="AC6" s="3410"/>
    </row>
    <row r="7" spans="1:29" s="101" customFormat="1" ht="15.75" thickBot="1">
      <c r="A7" s="351" t="s">
        <v>1679</v>
      </c>
      <c r="B7" s="352"/>
      <c r="C7" s="353">
        <f>'数据-取费表'!B2</f>
        <v>45862</v>
      </c>
      <c r="D7" s="354">
        <v>100</v>
      </c>
      <c r="E7" s="355"/>
      <c r="F7" s="356">
        <f>SUMIF(46:46,YEAR(E7)&amp;"-"&amp;MONTH(E7),47:47)</f>
        <v>0</v>
      </c>
      <c r="G7" s="1821"/>
      <c r="H7" s="354">
        <f>SUMIF(46:46,YEAR(G7)&amp;"-"&amp;MONTH(G7),47:47)</f>
        <v>0</v>
      </c>
      <c r="I7" s="355"/>
      <c r="J7" s="354">
        <f>SUMIF(46:46,YEAR(I7)&amp;"-"&amp;MONTH(I7),47:47)</f>
        <v>0</v>
      </c>
      <c r="K7" s="38"/>
      <c r="L7" s="2488"/>
      <c r="M7" s="2439"/>
      <c r="N7" s="2439"/>
      <c r="O7" s="2439"/>
      <c r="P7" s="3411" t="s">
        <v>1680</v>
      </c>
      <c r="Q7" s="3439"/>
      <c r="R7" s="663" t="s">
        <v>14</v>
      </c>
      <c r="S7" s="664">
        <f t="shared" ref="S7:S14" si="0">F7</f>
        <v>0</v>
      </c>
      <c r="T7" s="663" t="s">
        <v>14</v>
      </c>
      <c r="U7" s="664">
        <f t="shared" ref="U7:U14" si="1">H7</f>
        <v>0</v>
      </c>
      <c r="V7" s="663" t="s">
        <v>14</v>
      </c>
      <c r="W7" s="664">
        <f t="shared" ref="W7:W14" si="2">J7</f>
        <v>0</v>
      </c>
      <c r="X7" s="665"/>
      <c r="Y7" s="3411" t="s">
        <v>1680</v>
      </c>
      <c r="Z7" s="3412"/>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8"/>
      <c r="M8" s="2439"/>
      <c r="N8" s="2439"/>
      <c r="O8" s="2439"/>
      <c r="P8" s="3411" t="s">
        <v>1683</v>
      </c>
      <c r="Q8" s="3412"/>
      <c r="R8" s="663" t="s">
        <v>14</v>
      </c>
      <c r="S8" s="664">
        <f t="shared" si="0"/>
        <v>100</v>
      </c>
      <c r="T8" s="663" t="s">
        <v>14</v>
      </c>
      <c r="U8" s="664">
        <f t="shared" si="1"/>
        <v>100</v>
      </c>
      <c r="V8" s="663" t="s">
        <v>14</v>
      </c>
      <c r="W8" s="664">
        <f t="shared" si="2"/>
        <v>100</v>
      </c>
      <c r="X8" s="665"/>
      <c r="Y8" s="3411" t="s">
        <v>1683</v>
      </c>
      <c r="Z8" s="3412"/>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8"/>
      <c r="M9" s="2439"/>
      <c r="N9" s="2439"/>
      <c r="O9" s="2540"/>
      <c r="P9" s="3443" t="s">
        <v>1686</v>
      </c>
      <c r="Q9" s="529" t="str">
        <f t="shared" ref="Q9:Q14" si="6">B9</f>
        <v>用途</v>
      </c>
      <c r="R9" s="663" t="s">
        <v>14</v>
      </c>
      <c r="S9" s="664">
        <f t="shared" si="0"/>
        <v>100</v>
      </c>
      <c r="T9" s="663" t="s">
        <v>14</v>
      </c>
      <c r="U9" s="664">
        <f t="shared" si="1"/>
        <v>100</v>
      </c>
      <c r="V9" s="663" t="s">
        <v>14</v>
      </c>
      <c r="W9" s="664">
        <f t="shared" si="2"/>
        <v>100</v>
      </c>
      <c r="X9" s="665"/>
      <c r="Y9" s="3374" t="s">
        <v>1687</v>
      </c>
      <c r="Z9" s="50" t="str">
        <f t="shared" ref="Z9:Z14" si="7">Q9</f>
        <v>用途</v>
      </c>
      <c r="AA9" s="50">
        <f t="shared" si="3"/>
        <v>1</v>
      </c>
      <c r="AB9" s="50">
        <f t="shared" si="4"/>
        <v>1</v>
      </c>
      <c r="AC9" s="50">
        <f t="shared" si="5"/>
        <v>1</v>
      </c>
    </row>
    <row r="10" spans="1:29" s="365" customFormat="1" ht="27">
      <c r="A10" s="362"/>
      <c r="B10" s="363" t="s">
        <v>1688</v>
      </c>
      <c r="C10" s="3132"/>
      <c r="D10" s="118">
        <v>100</v>
      </c>
      <c r="E10" s="3132"/>
      <c r="F10" s="363">
        <f>SUMIF(53:53,E10,54:54)-SUMIF(53:53,C10,54:54)+100</f>
        <v>100</v>
      </c>
      <c r="G10" s="3132"/>
      <c r="H10" s="118">
        <f>SUMIF(53:53,G10,54:54)-SUMIF(53:53,C10,54:54)+100</f>
        <v>100</v>
      </c>
      <c r="I10" s="3132"/>
      <c r="J10" s="118">
        <f>SUMIF(53:53,I10,54:54)-SUMIF(53:53,C10,54:54)+100</f>
        <v>100</v>
      </c>
      <c r="K10" s="38"/>
      <c r="L10" s="2489"/>
      <c r="M10" s="2490"/>
      <c r="N10" s="2490"/>
      <c r="O10" s="2541"/>
      <c r="P10" s="3443"/>
      <c r="Q10" s="529" t="str">
        <f t="shared" si="6"/>
        <v>土地使用年限（年）</v>
      </c>
      <c r="R10" s="663" t="s">
        <v>14</v>
      </c>
      <c r="S10" s="664">
        <f t="shared" si="0"/>
        <v>100</v>
      </c>
      <c r="T10" s="663" t="s">
        <v>14</v>
      </c>
      <c r="U10" s="664">
        <f t="shared" si="1"/>
        <v>100</v>
      </c>
      <c r="V10" s="663" t="s">
        <v>14</v>
      </c>
      <c r="W10" s="664">
        <f t="shared" si="2"/>
        <v>100</v>
      </c>
      <c r="X10" s="665"/>
      <c r="Y10" s="3374"/>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443"/>
      <c r="Q11" s="529">
        <f t="shared" si="6"/>
        <v>111</v>
      </c>
      <c r="R11" s="663" t="s">
        <v>14</v>
      </c>
      <c r="S11" s="664">
        <f t="shared" si="0"/>
        <v>100</v>
      </c>
      <c r="T11" s="663" t="s">
        <v>14</v>
      </c>
      <c r="U11" s="664">
        <f t="shared" si="1"/>
        <v>100</v>
      </c>
      <c r="V11" s="663" t="s">
        <v>14</v>
      </c>
      <c r="W11" s="664">
        <f t="shared" si="2"/>
        <v>100</v>
      </c>
      <c r="X11" s="665"/>
      <c r="Y11" s="3374"/>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443"/>
      <c r="Q12" s="529">
        <f t="shared" si="6"/>
        <v>111</v>
      </c>
      <c r="R12" s="663" t="s">
        <v>14</v>
      </c>
      <c r="S12" s="664">
        <f t="shared" si="0"/>
        <v>100</v>
      </c>
      <c r="T12" s="663" t="s">
        <v>14</v>
      </c>
      <c r="U12" s="664">
        <f t="shared" si="1"/>
        <v>100</v>
      </c>
      <c r="V12" s="663" t="s">
        <v>14</v>
      </c>
      <c r="W12" s="664">
        <f t="shared" si="2"/>
        <v>100</v>
      </c>
      <c r="X12" s="665"/>
      <c r="Y12" s="3374"/>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443"/>
      <c r="Q13" s="529">
        <f t="shared" si="6"/>
        <v>111</v>
      </c>
      <c r="R13" s="663" t="s">
        <v>14</v>
      </c>
      <c r="S13" s="664">
        <f t="shared" si="0"/>
        <v>100</v>
      </c>
      <c r="T13" s="663" t="s">
        <v>14</v>
      </c>
      <c r="U13" s="664">
        <f t="shared" si="1"/>
        <v>100</v>
      </c>
      <c r="V13" s="663" t="s">
        <v>14</v>
      </c>
      <c r="W13" s="664">
        <f t="shared" si="2"/>
        <v>100</v>
      </c>
      <c r="X13" s="665"/>
      <c r="Y13" s="3374"/>
      <c r="Z13" s="50">
        <f t="shared" si="7"/>
        <v>111</v>
      </c>
      <c r="AA13" s="50">
        <f t="shared" si="3"/>
        <v>1</v>
      </c>
      <c r="AB13" s="50">
        <f t="shared" si="4"/>
        <v>1</v>
      </c>
      <c r="AC13" s="50">
        <f t="shared" si="5"/>
        <v>1</v>
      </c>
    </row>
    <row r="14" spans="1:29" ht="15">
      <c r="A14" s="378" t="s">
        <v>1690</v>
      </c>
      <c r="B14" s="58"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444" t="s">
        <v>1691</v>
      </c>
      <c r="Q14" s="1262" t="str">
        <f t="shared" si="6"/>
        <v>交通便捷度</v>
      </c>
      <c r="R14" s="666" t="s">
        <v>14</v>
      </c>
      <c r="S14" s="667">
        <f t="shared" si="0"/>
        <v>100</v>
      </c>
      <c r="T14" s="666" t="s">
        <v>14</v>
      </c>
      <c r="U14" s="667">
        <f t="shared" si="1"/>
        <v>100</v>
      </c>
      <c r="V14" s="666" t="s">
        <v>14</v>
      </c>
      <c r="W14" s="667">
        <f t="shared" si="2"/>
        <v>100</v>
      </c>
      <c r="X14" s="1264"/>
      <c r="Y14" s="3444"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445"/>
      <c r="Q15" s="1262"/>
      <c r="R15" s="666"/>
      <c r="S15" s="667"/>
      <c r="T15" s="666"/>
      <c r="U15" s="667"/>
      <c r="V15" s="666"/>
      <c r="W15" s="667"/>
      <c r="X15" s="1264"/>
      <c r="Y15" s="3445"/>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445"/>
      <c r="Q16" s="1262" t="str">
        <f>B16</f>
        <v>公共配套设施</v>
      </c>
      <c r="R16" s="666" t="s">
        <v>14</v>
      </c>
      <c r="S16" s="667">
        <f>F16</f>
        <v>100</v>
      </c>
      <c r="T16" s="666" t="s">
        <v>14</v>
      </c>
      <c r="U16" s="667">
        <f>H16</f>
        <v>100</v>
      </c>
      <c r="V16" s="666" t="s">
        <v>14</v>
      </c>
      <c r="W16" s="667">
        <f>J16</f>
        <v>100</v>
      </c>
      <c r="X16" s="1264"/>
      <c r="Y16" s="3445"/>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445"/>
      <c r="Q17" s="1262"/>
      <c r="R17" s="666"/>
      <c r="S17" s="667"/>
      <c r="T17" s="666"/>
      <c r="U17" s="667"/>
      <c r="V17" s="666"/>
      <c r="W17" s="667"/>
      <c r="X17" s="1264"/>
      <c r="Y17" s="3445"/>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445"/>
      <c r="Q18" s="1262" t="str">
        <f>B18</f>
        <v>基础设施水平</v>
      </c>
      <c r="R18" s="666" t="s">
        <v>14</v>
      </c>
      <c r="S18" s="667">
        <f>F18</f>
        <v>100</v>
      </c>
      <c r="T18" s="666" t="s">
        <v>14</v>
      </c>
      <c r="U18" s="667">
        <f>H18</f>
        <v>100</v>
      </c>
      <c r="V18" s="666" t="s">
        <v>14</v>
      </c>
      <c r="W18" s="667">
        <f>J18</f>
        <v>100</v>
      </c>
      <c r="X18" s="1264"/>
      <c r="Y18" s="3445"/>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445"/>
      <c r="Q19" s="1262"/>
      <c r="R19" s="666"/>
      <c r="S19" s="667"/>
      <c r="T19" s="666"/>
      <c r="U19" s="667"/>
      <c r="V19" s="666"/>
      <c r="W19" s="667"/>
      <c r="X19" s="1264"/>
      <c r="Y19" s="3445"/>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445"/>
      <c r="Q20" s="1262" t="str">
        <f>B20</f>
        <v>自然及人文环境</v>
      </c>
      <c r="R20" s="666" t="s">
        <v>14</v>
      </c>
      <c r="S20" s="667">
        <f>F20</f>
        <v>100</v>
      </c>
      <c r="T20" s="666" t="s">
        <v>14</v>
      </c>
      <c r="U20" s="667">
        <f>H20</f>
        <v>100</v>
      </c>
      <c r="V20" s="666" t="s">
        <v>14</v>
      </c>
      <c r="W20" s="667">
        <f>J20</f>
        <v>100</v>
      </c>
      <c r="X20" s="1264"/>
      <c r="Y20" s="3445"/>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445"/>
      <c r="Q21" s="1262"/>
      <c r="R21" s="666"/>
      <c r="S21" s="667"/>
      <c r="T21" s="666"/>
      <c r="U21" s="667"/>
      <c r="V21" s="666"/>
      <c r="W21" s="667"/>
      <c r="X21" s="1264"/>
      <c r="Y21" s="3445"/>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445"/>
      <c r="Q22" s="1262" t="str">
        <f>B22</f>
        <v>楼层</v>
      </c>
      <c r="R22" s="666" t="s">
        <v>14</v>
      </c>
      <c r="S22" s="667">
        <f>F22</f>
        <v>100</v>
      </c>
      <c r="T22" s="666" t="s">
        <v>14</v>
      </c>
      <c r="U22" s="667">
        <f>H22</f>
        <v>100</v>
      </c>
      <c r="V22" s="666" t="s">
        <v>14</v>
      </c>
      <c r="W22" s="667">
        <f>J22</f>
        <v>100</v>
      </c>
      <c r="X22" s="1264"/>
      <c r="Y22" s="3445"/>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445"/>
      <c r="Q23" s="1262">
        <f>B23</f>
        <v>111</v>
      </c>
      <c r="R23" s="666" t="s">
        <v>14</v>
      </c>
      <c r="S23" s="667">
        <f>F23</f>
        <v>100</v>
      </c>
      <c r="T23" s="666" t="s">
        <v>14</v>
      </c>
      <c r="U23" s="667">
        <f>H23</f>
        <v>100</v>
      </c>
      <c r="V23" s="666" t="s">
        <v>14</v>
      </c>
      <c r="W23" s="667">
        <f>J23</f>
        <v>100</v>
      </c>
      <c r="X23" s="1264"/>
      <c r="Y23" s="3445"/>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445"/>
      <c r="Q24" s="1262">
        <f t="shared" ref="Q24:Q34" si="11">B24</f>
        <v>111</v>
      </c>
      <c r="R24" s="666" t="s">
        <v>14</v>
      </c>
      <c r="S24" s="667">
        <f>F24</f>
        <v>100</v>
      </c>
      <c r="T24" s="666" t="s">
        <v>14</v>
      </c>
      <c r="U24" s="667">
        <f>H24</f>
        <v>100</v>
      </c>
      <c r="V24" s="666" t="s">
        <v>14</v>
      </c>
      <c r="W24" s="667">
        <f>J24</f>
        <v>100</v>
      </c>
      <c r="X24" s="1264"/>
      <c r="Y24" s="3445"/>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445"/>
      <c r="Q25" s="529">
        <f t="shared" si="11"/>
        <v>111</v>
      </c>
      <c r="R25" s="663" t="s">
        <v>14</v>
      </c>
      <c r="S25" s="664">
        <f>F25</f>
        <v>100</v>
      </c>
      <c r="T25" s="663" t="s">
        <v>14</v>
      </c>
      <c r="U25" s="664">
        <f>H25</f>
        <v>100</v>
      </c>
      <c r="V25" s="663" t="s">
        <v>14</v>
      </c>
      <c r="W25" s="664">
        <f>J25</f>
        <v>100</v>
      </c>
      <c r="X25" s="665"/>
      <c r="Y25" s="3445"/>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468"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49"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449"/>
      <c r="Q27" s="530" t="str">
        <f t="shared" si="11"/>
        <v>成新率</v>
      </c>
      <c r="R27" s="668" t="s">
        <v>14</v>
      </c>
      <c r="S27" s="669" t="e">
        <f t="shared" si="12"/>
        <v>#N/A</v>
      </c>
      <c r="T27" s="668" t="s">
        <v>14</v>
      </c>
      <c r="U27" s="669" t="e">
        <f t="shared" si="13"/>
        <v>#N/A</v>
      </c>
      <c r="V27" s="668" t="s">
        <v>14</v>
      </c>
      <c r="W27" s="669" t="e">
        <f t="shared" si="14"/>
        <v>#N/A</v>
      </c>
      <c r="X27" s="670"/>
      <c r="Y27" s="3449"/>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449"/>
      <c r="Q28" s="1262" t="str">
        <f t="shared" si="11"/>
        <v>物业等级</v>
      </c>
      <c r="R28" s="666" t="s">
        <v>14</v>
      </c>
      <c r="S28" s="667">
        <f t="shared" si="12"/>
        <v>100</v>
      </c>
      <c r="T28" s="666" t="s">
        <v>14</v>
      </c>
      <c r="U28" s="667">
        <f t="shared" si="13"/>
        <v>100</v>
      </c>
      <c r="V28" s="666" t="s">
        <v>14</v>
      </c>
      <c r="W28" s="667">
        <f t="shared" si="14"/>
        <v>100</v>
      </c>
      <c r="X28" s="1264"/>
      <c r="Y28" s="3449"/>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449"/>
      <c r="Q29" s="1262" t="str">
        <f t="shared" si="11"/>
        <v>有无电梯</v>
      </c>
      <c r="R29" s="666" t="s">
        <v>14</v>
      </c>
      <c r="S29" s="667">
        <f t="shared" si="12"/>
        <v>100</v>
      </c>
      <c r="T29" s="666" t="s">
        <v>14</v>
      </c>
      <c r="U29" s="667">
        <f t="shared" si="13"/>
        <v>100</v>
      </c>
      <c r="V29" s="666" t="s">
        <v>14</v>
      </c>
      <c r="W29" s="667">
        <f t="shared" si="14"/>
        <v>100</v>
      </c>
      <c r="X29" s="1264"/>
      <c r="Y29" s="3449"/>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449"/>
      <c r="Q30" s="1262" t="str">
        <f t="shared" si="11"/>
        <v>建筑面积</v>
      </c>
      <c r="R30" s="666" t="s">
        <v>14</v>
      </c>
      <c r="S30" s="667" t="e">
        <f t="shared" si="12"/>
        <v>#N/A</v>
      </c>
      <c r="T30" s="666" t="s">
        <v>14</v>
      </c>
      <c r="U30" s="667" t="e">
        <f t="shared" si="13"/>
        <v>#N/A</v>
      </c>
      <c r="V30" s="666" t="s">
        <v>14</v>
      </c>
      <c r="W30" s="667" t="e">
        <f t="shared" si="14"/>
        <v>#N/A</v>
      </c>
      <c r="X30" s="1264"/>
      <c r="Y30" s="3449"/>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449"/>
      <c r="Q31" s="529" t="str">
        <f t="shared" si="11"/>
        <v>是否封闭</v>
      </c>
      <c r="R31" s="663" t="s">
        <v>14</v>
      </c>
      <c r="S31" s="664">
        <f t="shared" si="12"/>
        <v>100</v>
      </c>
      <c r="T31" s="663" t="s">
        <v>14</v>
      </c>
      <c r="U31" s="664">
        <f t="shared" si="13"/>
        <v>100</v>
      </c>
      <c r="V31" s="663" t="s">
        <v>14</v>
      </c>
      <c r="W31" s="664">
        <f t="shared" si="14"/>
        <v>100</v>
      </c>
      <c r="X31" s="665"/>
      <c r="Y31" s="3449"/>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449" t="s">
        <v>1696</v>
      </c>
      <c r="Q32" s="1262">
        <f t="shared" si="11"/>
        <v>111</v>
      </c>
      <c r="R32" s="666" t="s">
        <v>14</v>
      </c>
      <c r="S32" s="667">
        <f t="shared" si="12"/>
        <v>100</v>
      </c>
      <c r="T32" s="666" t="s">
        <v>14</v>
      </c>
      <c r="U32" s="667">
        <f t="shared" si="13"/>
        <v>100</v>
      </c>
      <c r="V32" s="666" t="s">
        <v>14</v>
      </c>
      <c r="W32" s="667">
        <f t="shared" si="14"/>
        <v>100</v>
      </c>
      <c r="X32" s="1264"/>
      <c r="Y32" s="3449"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449"/>
      <c r="Q33" s="1262">
        <f t="shared" si="11"/>
        <v>111</v>
      </c>
      <c r="R33" s="666" t="s">
        <v>14</v>
      </c>
      <c r="S33" s="667">
        <f t="shared" si="12"/>
        <v>100</v>
      </c>
      <c r="T33" s="666" t="s">
        <v>14</v>
      </c>
      <c r="U33" s="667">
        <f t="shared" si="13"/>
        <v>100</v>
      </c>
      <c r="V33" s="666" t="s">
        <v>14</v>
      </c>
      <c r="W33" s="667">
        <f t="shared" si="14"/>
        <v>100</v>
      </c>
      <c r="X33" s="1264"/>
      <c r="Y33" s="3449"/>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449"/>
      <c r="Q34" s="1262">
        <f t="shared" si="11"/>
        <v>111</v>
      </c>
      <c r="R34" s="666" t="s">
        <v>14</v>
      </c>
      <c r="S34" s="667">
        <f t="shared" si="12"/>
        <v>100</v>
      </c>
      <c r="T34" s="666" t="s">
        <v>14</v>
      </c>
      <c r="U34" s="667">
        <f t="shared" si="13"/>
        <v>100</v>
      </c>
      <c r="V34" s="666" t="s">
        <v>14</v>
      </c>
      <c r="W34" s="667">
        <f t="shared" si="14"/>
        <v>100</v>
      </c>
      <c r="X34" s="1264"/>
      <c r="Y34" s="3449"/>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4"/>
      <c r="M35" s="2487"/>
      <c r="N35" s="2487"/>
      <c r="O35" s="2487"/>
      <c r="P35" s="3443" t="str">
        <f>A35</f>
        <v>成交单价（元/平方米）</v>
      </c>
      <c r="Q35" s="3443"/>
      <c r="R35" s="3438">
        <f>E35</f>
        <v>0</v>
      </c>
      <c r="S35" s="3438"/>
      <c r="T35" s="3438">
        <f>G35</f>
        <v>0</v>
      </c>
      <c r="U35" s="3438"/>
      <c r="V35" s="3438">
        <f>I35</f>
        <v>0</v>
      </c>
      <c r="W35" s="3438"/>
      <c r="X35" s="384"/>
      <c r="Y35" s="672"/>
      <c r="Z35" s="384"/>
      <c r="AA35" s="384"/>
      <c r="AB35" s="384"/>
      <c r="AC35" s="384"/>
    </row>
    <row r="36" spans="1:30" ht="15.75" thickBot="1">
      <c r="A36" s="422" t="s">
        <v>1793</v>
      </c>
      <c r="B36" s="423"/>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443" t="str">
        <f>A36</f>
        <v>比较价值（元/平方米）</v>
      </c>
      <c r="Q36" s="3443"/>
      <c r="R36" s="3438" t="e">
        <f>IF(F1="售价",ROUND(PRODUCT(R35,AA7:AA34),0),ROUND(PRODUCT(R35,AA7:AA34),1))</f>
        <v>#DIV/0!</v>
      </c>
      <c r="S36" s="3438"/>
      <c r="T36" s="3438" t="e">
        <f>IF(F1="售价",ROUND(PRODUCT(T35,AB7:AB34),0),ROUND(PRODUCT(T35,AB7:AB34),1))</f>
        <v>#DIV/0!</v>
      </c>
      <c r="U36" s="3438"/>
      <c r="V36" s="3438" t="e">
        <f>IF(F1="售价",ROUND(PRODUCT(V35,AC7:AC34),0),ROUND(PRODUCT(V35,AC7:AC34),1))</f>
        <v>#DIV/0!</v>
      </c>
      <c r="W36" s="3438"/>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4"/>
      <c r="M37" s="2487"/>
      <c r="N37" s="2487"/>
      <c r="O37" s="2487"/>
      <c r="P37" s="3440" t="str">
        <f>A37</f>
        <v>估价对象XX用房的比较价值（楼面单价，元/平方米）</v>
      </c>
      <c r="Q37" s="3441"/>
      <c r="R37" s="3469" t="e">
        <f>IF(F1="售价",ROUND(IF(D36="简单平均",AVERAGE(R36:W36),R36*F36+T36*H36+V36*J36),0),ROUND(IF(D36="简单平均",AVERAGE(R36:V36),R36*F36+T36*H36+V36*J36),1))</f>
        <v>#DIV/0!</v>
      </c>
      <c r="S37" s="3469"/>
      <c r="T37" s="3469"/>
      <c r="U37" s="3469"/>
      <c r="V37" s="3469"/>
      <c r="W37" s="3469"/>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5">
      <c r="A46" s="439" t="s">
        <v>1679</v>
      </c>
      <c r="B46" s="440"/>
      <c r="C46" s="1102" t="str">
        <f>YEAR(C7)&amp;"-"&amp;MONTH(C7)</f>
        <v>2025-7</v>
      </c>
      <c r="D46" s="1103">
        <f>EDATE(C46,-1)</f>
        <v>45809</v>
      </c>
      <c r="E46" s="1103">
        <f t="shared" ref="E46:O46" si="16">EDATE(D46,-1)</f>
        <v>45778</v>
      </c>
      <c r="F46" s="1103">
        <f t="shared" si="16"/>
        <v>45748</v>
      </c>
      <c r="G46" s="1103">
        <f t="shared" si="16"/>
        <v>45717</v>
      </c>
      <c r="H46" s="1103">
        <f t="shared" si="16"/>
        <v>45689</v>
      </c>
      <c r="I46" s="1103">
        <f t="shared" si="16"/>
        <v>45658</v>
      </c>
      <c r="J46" s="1103">
        <f t="shared" si="16"/>
        <v>45627</v>
      </c>
      <c r="K46" s="1103">
        <f t="shared" si="16"/>
        <v>45597</v>
      </c>
      <c r="L46" s="1103">
        <f t="shared" si="16"/>
        <v>45566</v>
      </c>
      <c r="M46" s="1103">
        <f t="shared" si="16"/>
        <v>45536</v>
      </c>
      <c r="N46" s="1103">
        <f t="shared" si="16"/>
        <v>45505</v>
      </c>
      <c r="O46" s="1103">
        <f t="shared" si="16"/>
        <v>45474</v>
      </c>
      <c r="P46" s="2510"/>
      <c r="Q46" s="2510"/>
      <c r="R46" s="2510"/>
      <c r="S46" s="2510"/>
      <c r="T46" s="2510"/>
      <c r="U46" s="2510"/>
      <c r="V46" s="2510"/>
      <c r="W46" s="2510"/>
      <c r="X46" s="2510"/>
      <c r="Y46" s="2510"/>
      <c r="Z46" s="2510"/>
      <c r="AA46" s="2510"/>
      <c r="AB46" s="2510"/>
      <c r="AC46" s="2510"/>
      <c r="AD46" s="2510"/>
    </row>
    <row r="47" spans="1:30" s="101" customFormat="1" ht="15">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1" customFormat="1" ht="15.75" thickBot="1">
      <c r="A48" s="448" t="s">
        <v>1716</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1" customFormat="1" ht="15">
      <c r="A49" s="454" t="s">
        <v>1681</v>
      </c>
      <c r="B49" s="443"/>
      <c r="C49" s="455" t="s">
        <v>1776</v>
      </c>
      <c r="D49" s="31"/>
      <c r="E49" s="31"/>
      <c r="F49" s="31"/>
      <c r="G49" s="31"/>
      <c r="H49" s="31"/>
      <c r="I49" s="31"/>
      <c r="J49" s="31"/>
      <c r="K49" s="31"/>
      <c r="L49" s="456"/>
      <c r="M49" s="457"/>
      <c r="N49" s="2520"/>
      <c r="O49" s="2520"/>
      <c r="P49" s="2544"/>
      <c r="Q49" s="2508"/>
      <c r="R49" s="2439"/>
      <c r="S49" s="2439"/>
      <c r="T49" s="2439"/>
      <c r="U49" s="2439"/>
      <c r="V49" s="2439"/>
      <c r="W49" s="2439"/>
      <c r="X49" s="2439"/>
      <c r="Y49" s="2439"/>
      <c r="Z49" s="2439"/>
      <c r="AA49" s="2439"/>
      <c r="AB49" s="2439"/>
      <c r="AC49" s="2439"/>
      <c r="AD49" s="2439"/>
    </row>
    <row r="50" spans="1:30" s="101" customFormat="1" ht="15.75"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5.75"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7.75" thickTop="1">
      <c r="A53" s="366"/>
      <c r="B53" s="468" t="s">
        <v>1688</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5.75"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5.75"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5.75"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5.75"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5.75"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5.75"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5.75"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7.75" thickTop="1">
      <c r="A63" s="366"/>
      <c r="B63" s="468" t="s">
        <v>1863</v>
      </c>
      <c r="C63" s="508" t="s">
        <v>1721</v>
      </c>
      <c r="D63" s="508" t="s">
        <v>1722</v>
      </c>
      <c r="E63" s="508" t="s">
        <v>1723</v>
      </c>
      <c r="F63" s="508" t="s">
        <v>1724</v>
      </c>
      <c r="G63" s="508" t="s">
        <v>1725</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75" thickTop="1">
      <c r="A65" s="366"/>
      <c r="B65" s="476" t="s">
        <v>1813</v>
      </c>
      <c r="C65" s="580" t="s">
        <v>1799</v>
      </c>
      <c r="D65" s="580" t="s">
        <v>1800</v>
      </c>
      <c r="E65" s="580" t="s">
        <v>1801</v>
      </c>
      <c r="F65" s="580" t="s">
        <v>1802</v>
      </c>
      <c r="G65" s="580" t="s">
        <v>1803</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75" thickTop="1">
      <c r="A67" s="366"/>
      <c r="B67" s="468" t="s">
        <v>1733</v>
      </c>
      <c r="C67" s="508" t="s">
        <v>1721</v>
      </c>
      <c r="D67" s="508" t="s">
        <v>1722</v>
      </c>
      <c r="E67" s="508" t="s">
        <v>1723</v>
      </c>
      <c r="F67" s="508" t="s">
        <v>1724</v>
      </c>
      <c r="G67" s="508" t="s">
        <v>1725</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75" thickTop="1">
      <c r="A69" s="366"/>
      <c r="B69" s="468" t="s">
        <v>1852</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5.75"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1" customFormat="1" ht="15.75"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1" customFormat="1" ht="15.75"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1" customFormat="1" ht="15.75"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1" customFormat="1" ht="15.75"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5.75"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1694</v>
      </c>
      <c r="B77" s="459" t="s">
        <v>1740</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ht="15">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1856</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1864</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5.75"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1866</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5.75"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5"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5.75"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5"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5.75"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5"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5.75"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426" t="s">
        <v>1770</v>
      </c>
      <c r="D4" s="3427"/>
      <c r="E4" s="3428" t="s">
        <v>1771</v>
      </c>
      <c r="F4" s="3429"/>
      <c r="G4" s="3426" t="s">
        <v>1772</v>
      </c>
      <c r="H4" s="3427"/>
      <c r="I4" s="3426" t="s">
        <v>1773</v>
      </c>
      <c r="J4" s="3427"/>
      <c r="K4" s="536" t="s">
        <v>1774</v>
      </c>
      <c r="L4" s="2486"/>
      <c r="M4" s="2487"/>
      <c r="N4" s="2487"/>
      <c r="O4" s="2487"/>
      <c r="P4" s="3430" t="s">
        <v>1775</v>
      </c>
      <c r="Q4" s="3431"/>
      <c r="R4" s="3413" t="s">
        <v>1771</v>
      </c>
      <c r="S4" s="3414"/>
      <c r="T4" s="3413" t="s">
        <v>1772</v>
      </c>
      <c r="U4" s="3414"/>
      <c r="V4" s="3438" t="s">
        <v>1773</v>
      </c>
      <c r="W4" s="3438"/>
      <c r="X4" s="1264"/>
      <c r="Y4" s="3413" t="s">
        <v>1775</v>
      </c>
      <c r="Z4" s="3414"/>
      <c r="AA4" s="3408" t="s">
        <v>1771</v>
      </c>
      <c r="AB4" s="3409" t="s">
        <v>1772</v>
      </c>
      <c r="AC4" s="3408" t="s">
        <v>1773</v>
      </c>
    </row>
    <row r="5" spans="1:29" ht="15">
      <c r="A5" s="347"/>
      <c r="B5" s="348"/>
      <c r="C5" s="3419" t="s">
        <v>1673</v>
      </c>
      <c r="D5" s="3420"/>
      <c r="E5" s="3417" t="s">
        <v>1674</v>
      </c>
      <c r="F5" s="3418"/>
      <c r="G5" s="3419" t="s">
        <v>1675</v>
      </c>
      <c r="H5" s="3420"/>
      <c r="I5" s="3419" t="s">
        <v>1676</v>
      </c>
      <c r="J5" s="3420"/>
      <c r="K5" s="536"/>
      <c r="L5" s="2486"/>
      <c r="M5" s="2487"/>
      <c r="N5" s="2487"/>
      <c r="O5" s="2487"/>
      <c r="P5" s="3432"/>
      <c r="Q5" s="3433"/>
      <c r="R5" s="3415"/>
      <c r="S5" s="3416"/>
      <c r="T5" s="3415"/>
      <c r="U5" s="3416"/>
      <c r="V5" s="3438"/>
      <c r="W5" s="3438"/>
      <c r="X5" s="1264"/>
      <c r="Y5" s="3415"/>
      <c r="Z5" s="3416"/>
      <c r="AA5" s="3409"/>
      <c r="AB5" s="3409"/>
      <c r="AC5" s="3409"/>
    </row>
    <row r="6" spans="1:29" ht="15.75" thickBot="1">
      <c r="A6" s="349"/>
      <c r="B6" s="350"/>
      <c r="C6" s="3421" t="s">
        <v>1677</v>
      </c>
      <c r="D6" s="3422"/>
      <c r="E6" s="3423" t="s">
        <v>1677</v>
      </c>
      <c r="F6" s="3424"/>
      <c r="G6" s="3421" t="s">
        <v>1677</v>
      </c>
      <c r="H6" s="3422"/>
      <c r="I6" s="3421" t="s">
        <v>1677</v>
      </c>
      <c r="J6" s="3422"/>
      <c r="K6" s="536" t="s">
        <v>1678</v>
      </c>
      <c r="L6" s="2486"/>
      <c r="M6" s="2487"/>
      <c r="N6" s="2487"/>
      <c r="O6" s="2487"/>
      <c r="P6" s="3434"/>
      <c r="Q6" s="3435"/>
      <c r="R6" s="3415"/>
      <c r="S6" s="3416"/>
      <c r="T6" s="3436"/>
      <c r="U6" s="3437"/>
      <c r="V6" s="3438"/>
      <c r="W6" s="3438"/>
      <c r="X6" s="1264"/>
      <c r="Y6" s="3436"/>
      <c r="Z6" s="3437"/>
      <c r="AA6" s="3410"/>
      <c r="AB6" s="3410"/>
      <c r="AC6" s="3410"/>
    </row>
    <row r="7" spans="1:29" s="101" customFormat="1" ht="15.75" thickBot="1">
      <c r="A7" s="351" t="s">
        <v>1679</v>
      </c>
      <c r="B7" s="352"/>
      <c r="C7" s="353">
        <f>'数据-取费表'!B2</f>
        <v>45862</v>
      </c>
      <c r="D7" s="354">
        <v>100</v>
      </c>
      <c r="E7" s="355"/>
      <c r="F7" s="356">
        <f>SUMIF(69:69,YEAR(E7)&amp;"-"&amp;INT((MONTH(E7)+2)/3),70:70)</f>
        <v>0</v>
      </c>
      <c r="G7" s="1821"/>
      <c r="H7" s="354">
        <f>SUMIF(69:69,YEAR(G7)&amp;"-"&amp;INT((MONTH(G7)+2)/3),70:70)</f>
        <v>0</v>
      </c>
      <c r="I7" s="1821"/>
      <c r="J7" s="354">
        <f>SUMIF(69:69,YEAR(I7)&amp;"-"&amp;INT((MONTH(I7)+2)/3),70:70)</f>
        <v>0</v>
      </c>
      <c r="K7" s="38"/>
      <c r="L7" s="2488"/>
      <c r="M7" s="2439"/>
      <c r="N7" s="2439"/>
      <c r="O7" s="2439"/>
      <c r="P7" s="3411" t="s">
        <v>1680</v>
      </c>
      <c r="Q7" s="3439"/>
      <c r="R7" s="663" t="s">
        <v>14</v>
      </c>
      <c r="S7" s="664">
        <f t="shared" ref="S7:S15" si="0">F7</f>
        <v>0</v>
      </c>
      <c r="T7" s="663" t="s">
        <v>14</v>
      </c>
      <c r="U7" s="664">
        <f t="shared" ref="U7:U15" si="1">H7</f>
        <v>0</v>
      </c>
      <c r="V7" s="663" t="s">
        <v>14</v>
      </c>
      <c r="W7" s="664">
        <f t="shared" ref="W7:W15" si="2">J7</f>
        <v>0</v>
      </c>
      <c r="X7" s="665"/>
      <c r="Y7" s="3411" t="s">
        <v>1680</v>
      </c>
      <c r="Z7" s="3412"/>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8"/>
      <c r="M8" s="2439"/>
      <c r="N8" s="2439"/>
      <c r="O8" s="2439"/>
      <c r="P8" s="3411" t="s">
        <v>1683</v>
      </c>
      <c r="Q8" s="3412"/>
      <c r="R8" s="663" t="s">
        <v>14</v>
      </c>
      <c r="S8" s="664">
        <f t="shared" si="0"/>
        <v>0</v>
      </c>
      <c r="T8" s="663" t="s">
        <v>14</v>
      </c>
      <c r="U8" s="664">
        <f t="shared" si="1"/>
        <v>0</v>
      </c>
      <c r="V8" s="663" t="s">
        <v>14</v>
      </c>
      <c r="W8" s="664">
        <f t="shared" si="2"/>
        <v>0</v>
      </c>
      <c r="X8" s="665"/>
      <c r="Y8" s="3411" t="s">
        <v>1683</v>
      </c>
      <c r="Z8" s="3412"/>
      <c r="AA8" s="50" t="e">
        <f t="shared" ref="AA8:AA45" si="3">D8/F8</f>
        <v>#DIV/0!</v>
      </c>
      <c r="AB8" s="50" t="e">
        <f t="shared" ref="AB8:AB45" si="4">D8/H8</f>
        <v>#DIV/0!</v>
      </c>
      <c r="AC8" s="50" t="e">
        <f t="shared" ref="AC8:AC45" si="5">D8/J8</f>
        <v>#DIV/0!</v>
      </c>
    </row>
    <row r="9" spans="1:29" s="101"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43" t="s">
        <v>1686</v>
      </c>
      <c r="Q9" s="529" t="str">
        <f t="shared" ref="Q9:Q15" si="6">B9</f>
        <v>用途</v>
      </c>
      <c r="R9" s="663" t="s">
        <v>14</v>
      </c>
      <c r="S9" s="664">
        <f t="shared" si="0"/>
        <v>100</v>
      </c>
      <c r="T9" s="663" t="s">
        <v>14</v>
      </c>
      <c r="U9" s="664">
        <f t="shared" si="1"/>
        <v>100</v>
      </c>
      <c r="V9" s="663" t="s">
        <v>14</v>
      </c>
      <c r="W9" s="664">
        <f t="shared" si="2"/>
        <v>100</v>
      </c>
      <c r="X9" s="665"/>
      <c r="Y9" s="3374"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143</v>
      </c>
      <c r="G10" s="401"/>
      <c r="H10" s="118">
        <f>ROUND(100/'数据-取费表'!G16,0)</f>
        <v>143</v>
      </c>
      <c r="I10" s="401"/>
      <c r="J10" s="118">
        <f>ROUND(100/'数据-取费表'!G16,0)</f>
        <v>143</v>
      </c>
      <c r="K10" s="591"/>
      <c r="L10" s="2489"/>
      <c r="M10" s="2490"/>
      <c r="N10" s="2490"/>
      <c r="O10" s="2541"/>
      <c r="P10" s="3443"/>
      <c r="Q10" s="529" t="str">
        <f t="shared" si="6"/>
        <v>土地使用年限（年）</v>
      </c>
      <c r="R10" s="663" t="s">
        <v>14</v>
      </c>
      <c r="S10" s="664">
        <f t="shared" si="0"/>
        <v>143</v>
      </c>
      <c r="T10" s="663" t="s">
        <v>14</v>
      </c>
      <c r="U10" s="664">
        <f t="shared" si="1"/>
        <v>143</v>
      </c>
      <c r="V10" s="663" t="s">
        <v>14</v>
      </c>
      <c r="W10" s="664">
        <f t="shared" si="2"/>
        <v>143</v>
      </c>
      <c r="X10" s="665"/>
      <c r="Y10" s="3374"/>
      <c r="Z10" s="50" t="str">
        <f t="shared" si="7"/>
        <v>土地使用年限（年）</v>
      </c>
      <c r="AA10" s="50">
        <f t="shared" si="3"/>
        <v>0.69930069930069927</v>
      </c>
      <c r="AB10" s="50">
        <f t="shared" si="4"/>
        <v>0.69930069930069927</v>
      </c>
      <c r="AC10" s="50">
        <f t="shared" si="5"/>
        <v>0.69930069930069927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1"/>
      <c r="M11" s="2487"/>
      <c r="N11" s="2487"/>
      <c r="O11" s="2542"/>
      <c r="P11" s="3443"/>
      <c r="Q11" s="529" t="str">
        <f t="shared" si="6"/>
        <v>容积率</v>
      </c>
      <c r="R11" s="663" t="s">
        <v>14</v>
      </c>
      <c r="S11" s="664" t="e">
        <f t="shared" si="0"/>
        <v>#N/A</v>
      </c>
      <c r="T11" s="663" t="s">
        <v>14</v>
      </c>
      <c r="U11" s="664" t="e">
        <f t="shared" si="1"/>
        <v>#N/A</v>
      </c>
      <c r="V11" s="663" t="s">
        <v>14</v>
      </c>
      <c r="W11" s="664" t="e">
        <f t="shared" si="2"/>
        <v>#N/A</v>
      </c>
      <c r="X11" s="665"/>
      <c r="Y11" s="3374"/>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443"/>
      <c r="Q12" s="529" t="str">
        <f t="shared" si="6"/>
        <v>配建</v>
      </c>
      <c r="R12" s="663" t="s">
        <v>14</v>
      </c>
      <c r="S12" s="664">
        <f t="shared" si="0"/>
        <v>100</v>
      </c>
      <c r="T12" s="663" t="s">
        <v>14</v>
      </c>
      <c r="U12" s="664">
        <f t="shared" si="1"/>
        <v>100</v>
      </c>
      <c r="V12" s="663" t="s">
        <v>14</v>
      </c>
      <c r="W12" s="664">
        <f t="shared" si="2"/>
        <v>100</v>
      </c>
      <c r="X12" s="665"/>
      <c r="Y12" s="3374"/>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443"/>
      <c r="Q13" s="529">
        <f t="shared" si="6"/>
        <v>111</v>
      </c>
      <c r="R13" s="663" t="s">
        <v>14</v>
      </c>
      <c r="S13" s="664">
        <f t="shared" si="0"/>
        <v>100</v>
      </c>
      <c r="T13" s="663" t="s">
        <v>14</v>
      </c>
      <c r="U13" s="664">
        <f t="shared" si="1"/>
        <v>100</v>
      </c>
      <c r="V13" s="663" t="s">
        <v>14</v>
      </c>
      <c r="W13" s="664">
        <f t="shared" si="2"/>
        <v>100</v>
      </c>
      <c r="X13" s="665"/>
      <c r="Y13" s="3374"/>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443"/>
      <c r="Q14" s="529">
        <f t="shared" si="6"/>
        <v>111</v>
      </c>
      <c r="R14" s="663" t="s">
        <v>14</v>
      </c>
      <c r="S14" s="664">
        <f t="shared" si="0"/>
        <v>100</v>
      </c>
      <c r="T14" s="663" t="s">
        <v>14</v>
      </c>
      <c r="U14" s="664">
        <f t="shared" si="1"/>
        <v>100</v>
      </c>
      <c r="V14" s="663" t="s">
        <v>14</v>
      </c>
      <c r="W14" s="664">
        <f t="shared" si="2"/>
        <v>100</v>
      </c>
      <c r="X14" s="665"/>
      <c r="Y14" s="3374"/>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444" t="s">
        <v>1691</v>
      </c>
      <c r="Q15" s="1262" t="str">
        <f t="shared" si="6"/>
        <v>居住社区成熟度</v>
      </c>
      <c r="R15" s="666" t="s">
        <v>14</v>
      </c>
      <c r="S15" s="667">
        <f t="shared" si="0"/>
        <v>100</v>
      </c>
      <c r="T15" s="666" t="s">
        <v>14</v>
      </c>
      <c r="U15" s="667">
        <f t="shared" si="1"/>
        <v>100</v>
      </c>
      <c r="V15" s="666" t="s">
        <v>14</v>
      </c>
      <c r="W15" s="667">
        <f t="shared" si="2"/>
        <v>100</v>
      </c>
      <c r="X15" s="1264"/>
      <c r="Y15" s="3444"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2"/>
      <c r="M16" s="2487"/>
      <c r="N16" s="2487"/>
      <c r="O16" s="2542"/>
      <c r="P16" s="3445"/>
      <c r="Q16" s="1262"/>
      <c r="R16" s="666"/>
      <c r="S16" s="667"/>
      <c r="T16" s="666"/>
      <c r="U16" s="667"/>
      <c r="V16" s="666"/>
      <c r="W16" s="667"/>
      <c r="X16" s="1264"/>
      <c r="Y16" s="3445"/>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2"/>
      <c r="M17" s="2487"/>
      <c r="N17" s="2487"/>
      <c r="O17" s="2542"/>
      <c r="P17" s="3445"/>
      <c r="Q17" s="1262" t="str">
        <f>B17</f>
        <v>商业繁华度</v>
      </c>
      <c r="R17" s="666" t="s">
        <v>14</v>
      </c>
      <c r="S17" s="667">
        <f>F17</f>
        <v>100</v>
      </c>
      <c r="T17" s="666" t="s">
        <v>14</v>
      </c>
      <c r="U17" s="667">
        <f>H17</f>
        <v>100</v>
      </c>
      <c r="V17" s="666" t="s">
        <v>14</v>
      </c>
      <c r="W17" s="667">
        <f>J17</f>
        <v>100</v>
      </c>
      <c r="X17" s="1264"/>
      <c r="Y17" s="3445"/>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2"/>
      <c r="M18" s="2487"/>
      <c r="N18" s="2487"/>
      <c r="O18" s="2542"/>
      <c r="P18" s="3445"/>
      <c r="Q18" s="1262"/>
      <c r="R18" s="666"/>
      <c r="S18" s="667"/>
      <c r="T18" s="666"/>
      <c r="U18" s="667"/>
      <c r="V18" s="666"/>
      <c r="W18" s="667"/>
      <c r="X18" s="1264"/>
      <c r="Y18" s="3445"/>
      <c r="Z18" s="1263"/>
      <c r="AA18" s="1263">
        <v>1</v>
      </c>
      <c r="AB18" s="1263">
        <v>1</v>
      </c>
      <c r="AC18" s="1263">
        <v>1</v>
      </c>
    </row>
    <row r="19" spans="1:29" ht="15">
      <c r="A19" s="366"/>
      <c r="B19" s="389" t="s">
        <v>1811</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92"/>
      <c r="M19" s="2487"/>
      <c r="N19" s="2487"/>
      <c r="O19" s="2542"/>
      <c r="P19" s="3445"/>
      <c r="Q19" s="1262" t="str">
        <f>B19</f>
        <v>办公集聚程度</v>
      </c>
      <c r="R19" s="666" t="s">
        <v>14</v>
      </c>
      <c r="S19" s="667">
        <f>F19</f>
        <v>100</v>
      </c>
      <c r="T19" s="666" t="s">
        <v>14</v>
      </c>
      <c r="U19" s="667">
        <f>H19</f>
        <v>100</v>
      </c>
      <c r="V19" s="666" t="s">
        <v>14</v>
      </c>
      <c r="W19" s="667">
        <f>J19</f>
        <v>100</v>
      </c>
      <c r="X19" s="1264"/>
      <c r="Y19" s="3445"/>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2"/>
      <c r="M20" s="2487"/>
      <c r="N20" s="2487"/>
      <c r="O20" s="2542"/>
      <c r="P20" s="3445"/>
      <c r="Q20" s="1262"/>
      <c r="R20" s="666"/>
      <c r="S20" s="667"/>
      <c r="T20" s="666"/>
      <c r="U20" s="667"/>
      <c r="V20" s="666"/>
      <c r="W20" s="667"/>
      <c r="X20" s="1264"/>
      <c r="Y20" s="3445"/>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92"/>
      <c r="M21" s="2487"/>
      <c r="N21" s="2487"/>
      <c r="O21" s="2542"/>
      <c r="P21" s="3445"/>
      <c r="Q21" s="1262" t="str">
        <f>B21</f>
        <v>交通便捷度</v>
      </c>
      <c r="R21" s="666" t="s">
        <v>14</v>
      </c>
      <c r="S21" s="667">
        <f>F21</f>
        <v>100</v>
      </c>
      <c r="T21" s="666" t="s">
        <v>14</v>
      </c>
      <c r="U21" s="667">
        <f>H21</f>
        <v>100</v>
      </c>
      <c r="V21" s="666" t="s">
        <v>14</v>
      </c>
      <c r="W21" s="667">
        <f>J21</f>
        <v>100</v>
      </c>
      <c r="X21" s="1264"/>
      <c r="Y21" s="3445"/>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2"/>
      <c r="M22" s="2487"/>
      <c r="N22" s="2487"/>
      <c r="O22" s="2542"/>
      <c r="P22" s="3445"/>
      <c r="Q22" s="1262"/>
      <c r="R22" s="666"/>
      <c r="S22" s="667"/>
      <c r="T22" s="666"/>
      <c r="U22" s="667"/>
      <c r="V22" s="666"/>
      <c r="W22" s="667"/>
      <c r="X22" s="1264"/>
      <c r="Y22" s="3445"/>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2"/>
      <c r="M23" s="2487"/>
      <c r="N23" s="2487"/>
      <c r="O23" s="2542"/>
      <c r="P23" s="3445"/>
      <c r="Q23" s="1262" t="str">
        <f t="shared" ref="Q23:Q37" si="8">B23</f>
        <v>区域土地利用方向</v>
      </c>
      <c r="R23" s="666" t="s">
        <v>14</v>
      </c>
      <c r="S23" s="667">
        <f>F23</f>
        <v>100</v>
      </c>
      <c r="T23" s="666" t="s">
        <v>14</v>
      </c>
      <c r="U23" s="667">
        <f>H23</f>
        <v>100</v>
      </c>
      <c r="V23" s="666" t="s">
        <v>14</v>
      </c>
      <c r="W23" s="667">
        <f>J23</f>
        <v>100</v>
      </c>
      <c r="X23" s="1264"/>
      <c r="Y23" s="3445"/>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2"/>
      <c r="M24" s="2487"/>
      <c r="N24" s="2487"/>
      <c r="O24" s="2542"/>
      <c r="P24" s="3445"/>
      <c r="Q24" s="1262"/>
      <c r="R24" s="666"/>
      <c r="S24" s="667"/>
      <c r="T24" s="666"/>
      <c r="U24" s="667"/>
      <c r="V24" s="666"/>
      <c r="W24" s="667"/>
      <c r="X24" s="1264"/>
      <c r="Y24" s="3445"/>
      <c r="Z24" s="1263"/>
      <c r="AA24" s="1263"/>
      <c r="AB24" s="1263"/>
      <c r="AC24" s="1263"/>
    </row>
    <row r="25" spans="1:29" ht="27">
      <c r="A25" s="347"/>
      <c r="B25" s="585" t="s">
        <v>1872</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92"/>
      <c r="M25" s="2487"/>
      <c r="N25" s="2487"/>
      <c r="O25" s="2542"/>
      <c r="P25" s="3445"/>
      <c r="Q25" s="1262" t="str">
        <f t="shared" si="8"/>
        <v>自然及人文环境状况</v>
      </c>
      <c r="R25" s="666" t="s">
        <v>14</v>
      </c>
      <c r="S25" s="667">
        <f>F25</f>
        <v>100</v>
      </c>
      <c r="T25" s="666" t="s">
        <v>14</v>
      </c>
      <c r="U25" s="667">
        <f>H25</f>
        <v>100</v>
      </c>
      <c r="V25" s="666" t="s">
        <v>14</v>
      </c>
      <c r="W25" s="667">
        <f>J25</f>
        <v>100</v>
      </c>
      <c r="X25" s="1264"/>
      <c r="Y25" s="3445"/>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2"/>
      <c r="M26" s="2487"/>
      <c r="N26" s="2487"/>
      <c r="O26" s="2542"/>
      <c r="P26" s="3445"/>
      <c r="Q26" s="1262"/>
      <c r="R26" s="666"/>
      <c r="S26" s="667"/>
      <c r="T26" s="666"/>
      <c r="U26" s="667"/>
      <c r="V26" s="666"/>
      <c r="W26" s="667"/>
      <c r="X26" s="1264"/>
      <c r="Y26" s="3445"/>
      <c r="Z26" s="1263"/>
      <c r="AA26" s="1263">
        <v>1</v>
      </c>
      <c r="AB26" s="1263">
        <v>1</v>
      </c>
      <c r="AC26" s="1263">
        <v>1</v>
      </c>
    </row>
    <row r="27" spans="1:29" s="101" customFormat="1" ht="1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8"/>
      <c r="M27" s="2439"/>
      <c r="N27" s="2439"/>
      <c r="O27" s="2540"/>
      <c r="P27" s="3445"/>
      <c r="Q27" s="529" t="str">
        <f t="shared" si="8"/>
        <v>公共配套设施</v>
      </c>
      <c r="R27" s="663" t="s">
        <v>14</v>
      </c>
      <c r="S27" s="664">
        <f>F27</f>
        <v>100</v>
      </c>
      <c r="T27" s="663" t="s">
        <v>14</v>
      </c>
      <c r="U27" s="664">
        <f>H27</f>
        <v>100</v>
      </c>
      <c r="V27" s="663" t="s">
        <v>14</v>
      </c>
      <c r="W27" s="664">
        <f>J27</f>
        <v>100</v>
      </c>
      <c r="X27" s="665"/>
      <c r="Y27" s="3445"/>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8"/>
      <c r="M28" s="2439"/>
      <c r="N28" s="2439"/>
      <c r="O28" s="2540"/>
      <c r="P28" s="3445"/>
      <c r="Q28" s="529"/>
      <c r="R28" s="663"/>
      <c r="S28" s="664"/>
      <c r="T28" s="663"/>
      <c r="U28" s="664"/>
      <c r="V28" s="663"/>
      <c r="W28" s="664"/>
      <c r="X28" s="665"/>
      <c r="Y28" s="3445"/>
      <c r="Z28" s="50"/>
      <c r="AA28" s="1263">
        <v>1</v>
      </c>
      <c r="AB28" s="1263">
        <v>1</v>
      </c>
      <c r="AC28" s="1263">
        <v>1</v>
      </c>
    </row>
    <row r="29" spans="1:29" s="101"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8"/>
      <c r="M29" s="2439"/>
      <c r="N29" s="2439"/>
      <c r="O29" s="2540"/>
      <c r="P29" s="3445"/>
      <c r="Q29" s="529" t="str">
        <f t="shared" ref="Q29" si="9">B29</f>
        <v>基础设施水平</v>
      </c>
      <c r="R29" s="663" t="s">
        <v>14</v>
      </c>
      <c r="S29" s="664">
        <f>F29</f>
        <v>100</v>
      </c>
      <c r="T29" s="663" t="s">
        <v>14</v>
      </c>
      <c r="U29" s="664">
        <f>H29</f>
        <v>100</v>
      </c>
      <c r="V29" s="663" t="s">
        <v>14</v>
      </c>
      <c r="W29" s="664">
        <f>J29</f>
        <v>100</v>
      </c>
      <c r="X29" s="665"/>
      <c r="Y29" s="3445"/>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8"/>
      <c r="M30" s="2439"/>
      <c r="N30" s="2439"/>
      <c r="O30" s="2540"/>
      <c r="P30" s="3445"/>
      <c r="Q30" s="529"/>
      <c r="R30" s="663"/>
      <c r="S30" s="664"/>
      <c r="T30" s="663"/>
      <c r="U30" s="664"/>
      <c r="V30" s="663"/>
      <c r="W30" s="664"/>
      <c r="X30" s="665"/>
      <c r="Y30" s="3445"/>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445"/>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45"/>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445"/>
      <c r="Q32" s="1262" t="str">
        <f t="shared" si="8"/>
        <v>毗邻道路的类型与等级</v>
      </c>
      <c r="R32" s="666" t="s">
        <v>14</v>
      </c>
      <c r="S32" s="667">
        <f t="shared" si="10"/>
        <v>100</v>
      </c>
      <c r="T32" s="666" t="s">
        <v>14</v>
      </c>
      <c r="U32" s="667">
        <f t="shared" si="11"/>
        <v>100</v>
      </c>
      <c r="V32" s="666" t="s">
        <v>14</v>
      </c>
      <c r="W32" s="667">
        <f t="shared" si="12"/>
        <v>100</v>
      </c>
      <c r="X32" s="1264"/>
      <c r="Y32" s="3445"/>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2"/>
      <c r="M33" s="2487"/>
      <c r="N33" s="2487"/>
      <c r="O33" s="2542"/>
      <c r="P33" s="3445"/>
      <c r="Q33" s="1262"/>
      <c r="R33" s="666"/>
      <c r="S33" s="667"/>
      <c r="T33" s="666"/>
      <c r="U33" s="667"/>
      <c r="V33" s="666"/>
      <c r="W33" s="667"/>
      <c r="X33" s="1264"/>
      <c r="Y33" s="3445"/>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445"/>
      <c r="Q34" s="1262" t="str">
        <f t="shared" si="8"/>
        <v>土地级别</v>
      </c>
      <c r="R34" s="666" t="s">
        <v>14</v>
      </c>
      <c r="S34" s="667">
        <f t="shared" si="10"/>
        <v>100</v>
      </c>
      <c r="T34" s="666" t="s">
        <v>14</v>
      </c>
      <c r="U34" s="667">
        <f t="shared" si="11"/>
        <v>100</v>
      </c>
      <c r="V34" s="666" t="s">
        <v>14</v>
      </c>
      <c r="W34" s="667">
        <f t="shared" si="12"/>
        <v>100</v>
      </c>
      <c r="X34" s="1264"/>
      <c r="Y34" s="3445"/>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445"/>
      <c r="Q35" s="1262">
        <f t="shared" si="8"/>
        <v>111</v>
      </c>
      <c r="R35" s="666" t="s">
        <v>14</v>
      </c>
      <c r="S35" s="667">
        <f t="shared" si="10"/>
        <v>100</v>
      </c>
      <c r="T35" s="666" t="s">
        <v>14</v>
      </c>
      <c r="U35" s="667">
        <f t="shared" si="11"/>
        <v>100</v>
      </c>
      <c r="V35" s="666" t="s">
        <v>14</v>
      </c>
      <c r="W35" s="667">
        <f t="shared" si="12"/>
        <v>100</v>
      </c>
      <c r="X35" s="1264"/>
      <c r="Y35" s="3445"/>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468" t="s">
        <v>1696</v>
      </c>
      <c r="Q36" s="1262">
        <f t="shared" si="8"/>
        <v>111</v>
      </c>
      <c r="R36" s="666" t="s">
        <v>14</v>
      </c>
      <c r="S36" s="667">
        <f t="shared" si="10"/>
        <v>100</v>
      </c>
      <c r="T36" s="666" t="s">
        <v>14</v>
      </c>
      <c r="U36" s="667">
        <f t="shared" si="11"/>
        <v>100</v>
      </c>
      <c r="V36" s="666" t="s">
        <v>14</v>
      </c>
      <c r="W36" s="667">
        <f t="shared" si="12"/>
        <v>100</v>
      </c>
      <c r="X36" s="1264"/>
      <c r="Y36" s="3449"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449"/>
      <c r="Q37" s="1262">
        <f t="shared" si="8"/>
        <v>111</v>
      </c>
      <c r="R37" s="668" t="s">
        <v>14</v>
      </c>
      <c r="S37" s="669">
        <f t="shared" si="10"/>
        <v>100</v>
      </c>
      <c r="T37" s="668" t="s">
        <v>14</v>
      </c>
      <c r="U37" s="669">
        <f t="shared" si="11"/>
        <v>100</v>
      </c>
      <c r="V37" s="668" t="s">
        <v>14</v>
      </c>
      <c r="W37" s="669">
        <f t="shared" si="12"/>
        <v>100</v>
      </c>
      <c r="X37" s="670"/>
      <c r="Y37" s="3449"/>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2"/>
      <c r="M38" s="2487"/>
      <c r="N38" s="2487"/>
      <c r="O38" s="2542"/>
      <c r="P38" s="3449"/>
      <c r="Q38" s="1262" t="str">
        <f>B38</f>
        <v>宗地面积</v>
      </c>
      <c r="R38" s="666" t="s">
        <v>14</v>
      </c>
      <c r="S38" s="667" t="e">
        <f t="shared" si="10"/>
        <v>#N/A</v>
      </c>
      <c r="T38" s="666" t="s">
        <v>14</v>
      </c>
      <c r="U38" s="667" t="e">
        <f t="shared" si="11"/>
        <v>#N/A</v>
      </c>
      <c r="V38" s="666" t="s">
        <v>14</v>
      </c>
      <c r="W38" s="667" t="e">
        <f t="shared" si="12"/>
        <v>#N/A</v>
      </c>
      <c r="X38" s="1264"/>
      <c r="Y38" s="3449"/>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2"/>
      <c r="M39" s="2487"/>
      <c r="N39" s="2487"/>
      <c r="O39" s="2542"/>
      <c r="P39" s="3449"/>
      <c r="Q39" s="1262" t="str">
        <f t="shared" ref="Q39:Q45" si="14">B39</f>
        <v>宗地形状</v>
      </c>
      <c r="R39" s="666" t="s">
        <v>14</v>
      </c>
      <c r="S39" s="667">
        <f t="shared" si="10"/>
        <v>100</v>
      </c>
      <c r="T39" s="666" t="s">
        <v>14</v>
      </c>
      <c r="U39" s="667">
        <f t="shared" si="11"/>
        <v>100</v>
      </c>
      <c r="V39" s="666" t="s">
        <v>14</v>
      </c>
      <c r="W39" s="667">
        <f t="shared" si="12"/>
        <v>100</v>
      </c>
      <c r="X39" s="1264"/>
      <c r="Y39" s="3449"/>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2"/>
      <c r="M40" s="2487"/>
      <c r="N40" s="2487"/>
      <c r="O40" s="2542"/>
      <c r="P40" s="3449"/>
      <c r="Q40" s="1262" t="str">
        <f t="shared" si="14"/>
        <v>临街宽度及深度</v>
      </c>
      <c r="R40" s="666" t="s">
        <v>14</v>
      </c>
      <c r="S40" s="667">
        <f t="shared" si="10"/>
        <v>100</v>
      </c>
      <c r="T40" s="666" t="s">
        <v>14</v>
      </c>
      <c r="U40" s="667">
        <f t="shared" si="11"/>
        <v>100</v>
      </c>
      <c r="V40" s="666" t="s">
        <v>14</v>
      </c>
      <c r="W40" s="667">
        <f t="shared" si="12"/>
        <v>100</v>
      </c>
      <c r="X40" s="1264"/>
      <c r="Y40" s="3449"/>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8"/>
      <c r="M41" s="2439"/>
      <c r="N41" s="2439"/>
      <c r="O41" s="2540"/>
      <c r="P41" s="3449"/>
      <c r="Q41" s="1262" t="str">
        <f t="shared" si="14"/>
        <v>宗地开发程度</v>
      </c>
      <c r="R41" s="663" t="s">
        <v>14</v>
      </c>
      <c r="S41" s="664">
        <f t="shared" si="10"/>
        <v>100</v>
      </c>
      <c r="T41" s="663" t="s">
        <v>14</v>
      </c>
      <c r="U41" s="664">
        <f t="shared" si="11"/>
        <v>100</v>
      </c>
      <c r="V41" s="663" t="s">
        <v>14</v>
      </c>
      <c r="W41" s="664">
        <f t="shared" si="12"/>
        <v>100</v>
      </c>
      <c r="X41" s="665"/>
      <c r="Y41" s="3449"/>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2"/>
      <c r="M42" s="2487"/>
      <c r="N42" s="2487"/>
      <c r="O42" s="2542"/>
      <c r="P42" s="3449" t="s">
        <v>1696</v>
      </c>
      <c r="Q42" s="1262" t="str">
        <f t="shared" si="14"/>
        <v>工程地质条件</v>
      </c>
      <c r="R42" s="666" t="s">
        <v>14</v>
      </c>
      <c r="S42" s="667">
        <f t="shared" si="10"/>
        <v>100</v>
      </c>
      <c r="T42" s="666" t="s">
        <v>14</v>
      </c>
      <c r="U42" s="667">
        <f t="shared" si="11"/>
        <v>100</v>
      </c>
      <c r="V42" s="666" t="s">
        <v>14</v>
      </c>
      <c r="W42" s="667">
        <f t="shared" si="12"/>
        <v>100</v>
      </c>
      <c r="X42" s="1264"/>
      <c r="Y42" s="3449"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449"/>
      <c r="Q43" s="1262">
        <f t="shared" si="14"/>
        <v>111</v>
      </c>
      <c r="R43" s="666" t="s">
        <v>14</v>
      </c>
      <c r="S43" s="667">
        <f t="shared" si="10"/>
        <v>100</v>
      </c>
      <c r="T43" s="666" t="s">
        <v>14</v>
      </c>
      <c r="U43" s="667">
        <f t="shared" si="11"/>
        <v>100</v>
      </c>
      <c r="V43" s="666" t="s">
        <v>14</v>
      </c>
      <c r="W43" s="667">
        <f t="shared" si="12"/>
        <v>100</v>
      </c>
      <c r="X43" s="1264"/>
      <c r="Y43" s="3449"/>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449"/>
      <c r="Q44" s="1262">
        <f t="shared" si="14"/>
        <v>111</v>
      </c>
      <c r="R44" s="666" t="s">
        <v>14</v>
      </c>
      <c r="S44" s="667">
        <f t="shared" si="10"/>
        <v>100</v>
      </c>
      <c r="T44" s="666" t="s">
        <v>14</v>
      </c>
      <c r="U44" s="667">
        <f t="shared" si="11"/>
        <v>100</v>
      </c>
      <c r="V44" s="666" t="s">
        <v>14</v>
      </c>
      <c r="W44" s="667">
        <f t="shared" si="12"/>
        <v>100</v>
      </c>
      <c r="X44" s="1264"/>
      <c r="Y44" s="3449"/>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449"/>
      <c r="Q45" s="1262">
        <f t="shared" si="14"/>
        <v>111</v>
      </c>
      <c r="R45" s="668" t="s">
        <v>14</v>
      </c>
      <c r="S45" s="669">
        <f t="shared" si="10"/>
        <v>100</v>
      </c>
      <c r="T45" s="668" t="s">
        <v>14</v>
      </c>
      <c r="U45" s="669">
        <f t="shared" si="11"/>
        <v>100</v>
      </c>
      <c r="V45" s="668" t="s">
        <v>14</v>
      </c>
      <c r="W45" s="669">
        <f t="shared" si="12"/>
        <v>100</v>
      </c>
      <c r="X45" s="670"/>
      <c r="Y45" s="3449"/>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4"/>
      <c r="M46" s="2487"/>
      <c r="N46" s="2487"/>
      <c r="O46" s="2487"/>
      <c r="P46" s="3443" t="str">
        <f>A46</f>
        <v>成交单价</v>
      </c>
      <c r="Q46" s="3443"/>
      <c r="R46" s="3438">
        <f>E46</f>
        <v>0</v>
      </c>
      <c r="S46" s="3438"/>
      <c r="T46" s="3438">
        <f>G46</f>
        <v>0</v>
      </c>
      <c r="U46" s="3438"/>
      <c r="V46" s="3438">
        <f>I46</f>
        <v>0</v>
      </c>
      <c r="W46" s="3438"/>
      <c r="X46" s="384"/>
      <c r="Y46" s="672"/>
      <c r="Z46" s="384"/>
      <c r="AA46" s="384"/>
      <c r="AB46" s="384"/>
      <c r="AC46" s="384"/>
    </row>
    <row r="47" spans="1:29" ht="15.75" thickBot="1">
      <c r="A47" s="422" t="s">
        <v>1793</v>
      </c>
      <c r="B47" s="602"/>
      <c r="C47" s="425" t="e">
        <f>R48</f>
        <v>#DIV/0!</v>
      </c>
      <c r="D47" s="2140" t="s">
        <v>2138</v>
      </c>
      <c r="E47" s="425" t="e">
        <f>R47</f>
        <v>#DIV/0!</v>
      </c>
      <c r="F47" s="2141"/>
      <c r="G47" s="424" t="e">
        <f>T47</f>
        <v>#DIV/0!</v>
      </c>
      <c r="H47" s="2141"/>
      <c r="I47" s="425" t="e">
        <f>V47</f>
        <v>#DIV/0!</v>
      </c>
      <c r="J47" s="2141"/>
      <c r="K47" s="2143">
        <f>F47+H47+J47</f>
        <v>0</v>
      </c>
      <c r="L47" s="2494"/>
      <c r="M47" s="2487"/>
      <c r="N47" s="2487"/>
      <c r="O47" s="2487"/>
      <c r="P47" s="3443" t="str">
        <f>A47</f>
        <v>比较价值（元/平方米）</v>
      </c>
      <c r="Q47" s="3443"/>
      <c r="R47" s="3470" t="e">
        <f>ROUND(PRODUCT(R46,AA7:AA45),0)</f>
        <v>#DIV/0!</v>
      </c>
      <c r="S47" s="3470"/>
      <c r="T47" s="3470" t="e">
        <f>ROUND(PRODUCT(T46,AB7:AB45),0)</f>
        <v>#DIV/0!</v>
      </c>
      <c r="U47" s="3470"/>
      <c r="V47" s="3470" t="e">
        <f>ROUND(PRODUCT(V46,AC7:AC45),0)</f>
        <v>#DIV/0!</v>
      </c>
      <c r="W47" s="3470"/>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4"/>
      <c r="M48" s="2487"/>
      <c r="N48" s="2487"/>
      <c r="O48" s="2487"/>
      <c r="P48" s="3440" t="str">
        <f>A48</f>
        <v>估价对象XX用房的比较价值（楼面单价，元/平方米）</v>
      </c>
      <c r="Q48" s="3441"/>
      <c r="R48" s="3471" t="e">
        <f>ROUND(IF(D47="简单平均",AVERAGE(R47:W47),R47*F47+T47*H47+V47*J47),0)</f>
        <v>#DIV/0!</v>
      </c>
      <c r="S48" s="3471"/>
      <c r="T48" s="3471"/>
      <c r="U48" s="3471"/>
      <c r="V48" s="3471"/>
      <c r="W48" s="3471"/>
      <c r="X48" s="384"/>
      <c r="Y48" s="384"/>
      <c r="Z48" s="384"/>
      <c r="AA48" s="384"/>
      <c r="AB48" s="384"/>
      <c r="AC48" s="384"/>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426" t="s">
        <v>1887</v>
      </c>
      <c r="H55" s="3472"/>
      <c r="I55" s="126"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50987.63</v>
      </c>
      <c r="F56" s="832" t="e">
        <f t="shared" ref="F56:F64" si="15">ROUND(B56*E56/10000,0)</f>
        <v>#DIV/0!</v>
      </c>
      <c r="G56" s="3425"/>
      <c r="H56" s="3443"/>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09" t="e">
        <f>ROUND($C$48*C57*D57,0)</f>
        <v>#DIV/0!</v>
      </c>
      <c r="C57" s="162">
        <f t="shared" ref="C57:C64" si="16">IF($C$55="北京市系数",I57,J57)</f>
        <v>0.7</v>
      </c>
      <c r="D57" s="890">
        <v>0.25</v>
      </c>
      <c r="E57" s="613"/>
      <c r="F57" s="832" t="e">
        <f t="shared" si="15"/>
        <v>#DIV/0!</v>
      </c>
      <c r="G57" s="2750" t="s">
        <v>1892</v>
      </c>
      <c r="H57" s="833" t="str">
        <f>项目基本情况!B37</f>
        <v>一级</v>
      </c>
      <c r="I57" s="837">
        <f>SUMIF(修正!A59:A70,H57,修正!B59:B70)</f>
        <v>0.7</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09" t="e">
        <f t="shared" ref="B58:B64" si="17">ROUND($C$48*C58*D58,0)</f>
        <v>#DIV/0!</v>
      </c>
      <c r="C58" s="162">
        <f t="shared" si="16"/>
        <v>0.4</v>
      </c>
      <c r="D58" s="890">
        <v>0.25</v>
      </c>
      <c r="E58" s="613"/>
      <c r="F58" s="832" t="e">
        <f t="shared" si="15"/>
        <v>#DIV/0!</v>
      </c>
      <c r="G58" s="2751"/>
      <c r="H58" s="833" t="str">
        <f>项目基本情况!B37</f>
        <v>一级</v>
      </c>
      <c r="I58" s="837">
        <f>SUMIF(修正!A59:A70,H58,修正!C59:C70)</f>
        <v>0.4</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09" t="e">
        <f t="shared" si="17"/>
        <v>#DIV/0!</v>
      </c>
      <c r="C59" s="162">
        <f t="shared" si="16"/>
        <v>0.3</v>
      </c>
      <c r="D59" s="890">
        <v>0.25</v>
      </c>
      <c r="E59" s="613"/>
      <c r="F59" s="832" t="e">
        <f t="shared" si="15"/>
        <v>#DIV/0!</v>
      </c>
      <c r="G59" s="2751"/>
      <c r="H59" s="833" t="str">
        <f>项目基本情况!B37</f>
        <v>一级</v>
      </c>
      <c r="I59" s="837">
        <f>SUMIF(修正!A59:A70,H59,修正!D59:D70)</f>
        <v>0.3</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SUMIF(修正!A59:A70,H60,修正!E59:E70)</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09" t="e">
        <f t="shared" si="17"/>
        <v>#DIV/0!</v>
      </c>
      <c r="C63" s="162">
        <f t="shared" si="16"/>
        <v>0.2</v>
      </c>
      <c r="D63" s="890">
        <v>0.25</v>
      </c>
      <c r="E63" s="208">
        <f>'数据-汇总表'!E14</f>
        <v>0</v>
      </c>
      <c r="F63" s="832" t="e">
        <f t="shared" si="15"/>
        <v>#DIV/0!</v>
      </c>
      <c r="G63" s="1834" t="s">
        <v>1892</v>
      </c>
      <c r="H63" s="833" t="str">
        <f>项目基本情况!B37</f>
        <v>一级</v>
      </c>
      <c r="I63" s="837">
        <f>SUMIF(修正!A59:A70,H63,修正!G59:G70)</f>
        <v>0.2</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SUMIF(修正!A59:A70,H64,修正!G59:G70)</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50987.63</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2025-7-1</v>
      </c>
      <c r="D67" s="655">
        <f>EDATE(C67,-3)</f>
        <v>45748</v>
      </c>
      <c r="E67" s="655">
        <f>EDATE(D67,-3)</f>
        <v>45658</v>
      </c>
      <c r="F67" s="655">
        <f t="shared" ref="F67:O67" si="18">EDATE(E67,-3)</f>
        <v>45566</v>
      </c>
      <c r="G67" s="655">
        <f t="shared" si="18"/>
        <v>45474</v>
      </c>
      <c r="H67" s="655">
        <f t="shared" si="18"/>
        <v>45383</v>
      </c>
      <c r="I67" s="655">
        <f t="shared" si="18"/>
        <v>45292</v>
      </c>
      <c r="J67" s="655">
        <f t="shared" si="18"/>
        <v>45200</v>
      </c>
      <c r="K67" s="655">
        <f t="shared" si="18"/>
        <v>45108</v>
      </c>
      <c r="L67" s="655">
        <f t="shared" si="18"/>
        <v>45017</v>
      </c>
      <c r="M67" s="655">
        <f t="shared" si="18"/>
        <v>44927</v>
      </c>
      <c r="N67" s="655">
        <f t="shared" si="18"/>
        <v>44835</v>
      </c>
      <c r="O67" s="655">
        <f t="shared" si="18"/>
        <v>44743</v>
      </c>
      <c r="P67" s="2487"/>
      <c r="Q67" s="2487"/>
      <c r="R67" s="2487"/>
      <c r="S67" s="2487"/>
      <c r="T67" s="2487"/>
      <c r="U67" s="2487"/>
      <c r="V67" s="2487"/>
      <c r="W67" s="2487"/>
      <c r="X67" s="2487"/>
      <c r="Y67" s="2487"/>
      <c r="Z67" s="2487"/>
      <c r="AA67" s="2487"/>
      <c r="AB67" s="2487"/>
      <c r="AC67" s="2487"/>
    </row>
    <row r="68" spans="1:29" ht="21.75" thickBot="1">
      <c r="A68" s="657" t="s">
        <v>1798</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5">
      <c r="A69" s="1629" t="s">
        <v>1904</v>
      </c>
      <c r="B69" s="1045"/>
      <c r="C69" s="1100" t="str">
        <f>YEAR(C67)&amp;"-"&amp;ROUNDUP(MONTH(C67)/3,0)</f>
        <v>2025-3</v>
      </c>
      <c r="D69" s="1100" t="str">
        <f>YEAR(D67)&amp;"-"&amp;ROUNDUP(MONTH(D67)/3,0)</f>
        <v>2025-2</v>
      </c>
      <c r="E69" s="1100" t="str">
        <f t="shared" ref="E69:O69" si="19">YEAR(E67)&amp;"-"&amp;ROUNDUP(MONTH(E67)/3,0)</f>
        <v>2025-1</v>
      </c>
      <c r="F69" s="1100" t="str">
        <f t="shared" si="19"/>
        <v>2024-4</v>
      </c>
      <c r="G69" s="1100" t="str">
        <f t="shared" si="19"/>
        <v>2024-3</v>
      </c>
      <c r="H69" s="1100" t="str">
        <f t="shared" si="19"/>
        <v>2024-2</v>
      </c>
      <c r="I69" s="1100" t="str">
        <f t="shared" si="19"/>
        <v>2024-1</v>
      </c>
      <c r="J69" s="1100" t="str">
        <f t="shared" si="19"/>
        <v>2023-4</v>
      </c>
      <c r="K69" s="1100" t="str">
        <f t="shared" si="19"/>
        <v>2023-3</v>
      </c>
      <c r="L69" s="1100" t="str">
        <f t="shared" si="19"/>
        <v>2023-2</v>
      </c>
      <c r="M69" s="1100" t="str">
        <f t="shared" si="19"/>
        <v>2023-1</v>
      </c>
      <c r="N69" s="1100" t="str">
        <f t="shared" si="19"/>
        <v>2022-4</v>
      </c>
      <c r="O69" s="1100" t="str">
        <f t="shared" si="19"/>
        <v>2022-3</v>
      </c>
      <c r="P69" s="2510"/>
      <c r="Q69" s="2510"/>
      <c r="R69" s="2510"/>
      <c r="S69" s="2510"/>
      <c r="T69" s="2510"/>
      <c r="U69" s="2510"/>
      <c r="V69" s="2510"/>
      <c r="W69" s="2510"/>
      <c r="X69" s="2510"/>
      <c r="Y69" s="2510"/>
      <c r="Z69" s="2510"/>
      <c r="AA69" s="2510"/>
      <c r="AB69" s="2510"/>
      <c r="AC69" s="2510"/>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1" customFormat="1" ht="15.75" thickBot="1">
      <c r="A71" s="448" t="s">
        <v>1716</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1" customFormat="1" ht="15">
      <c r="A72" s="454" t="s">
        <v>1681</v>
      </c>
      <c r="B72" s="443"/>
      <c r="C72" s="455" t="s">
        <v>1776</v>
      </c>
      <c r="D72" s="31"/>
      <c r="E72" s="31"/>
      <c r="F72" s="31"/>
      <c r="G72" s="31"/>
      <c r="H72" s="31"/>
      <c r="I72" s="31"/>
      <c r="J72" s="31"/>
      <c r="K72" s="31"/>
      <c r="L72" s="456"/>
      <c r="M72" s="457"/>
      <c r="N72" s="2520"/>
      <c r="O72" s="2520"/>
      <c r="P72" s="2544"/>
      <c r="Q72" s="2508"/>
      <c r="R72" s="2439"/>
      <c r="S72" s="2439"/>
      <c r="T72" s="2439"/>
      <c r="U72" s="2439"/>
      <c r="V72" s="2439"/>
      <c r="W72" s="2439"/>
      <c r="X72" s="2439"/>
      <c r="Y72" s="2439"/>
      <c r="Z72" s="2439"/>
      <c r="AA72" s="2439"/>
      <c r="AB72" s="2439"/>
      <c r="AC72" s="2439"/>
    </row>
    <row r="73" spans="1:29" s="101" customFormat="1" ht="15.75"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5.75"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7.75" thickTop="1">
      <c r="A76" s="366"/>
      <c r="B76" s="468" t="s">
        <v>1688</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5.75"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6"/>
      <c r="B79" s="478"/>
      <c r="C79" s="479"/>
      <c r="D79" s="479"/>
      <c r="E79" s="479"/>
      <c r="F79" s="479"/>
      <c r="G79" s="479"/>
      <c r="H79" s="479"/>
      <c r="I79" s="479"/>
      <c r="J79" s="479"/>
      <c r="K79" s="480"/>
      <c r="L79" s="481"/>
      <c r="M79" s="482"/>
      <c r="N79" s="2521"/>
      <c r="O79" s="2521"/>
      <c r="P79" s="2520"/>
      <c r="Q79" s="2508"/>
      <c r="R79" s="2487"/>
      <c r="S79" s="2487"/>
      <c r="T79" s="2487"/>
      <c r="U79" s="2487"/>
      <c r="V79" s="2487"/>
      <c r="W79" s="2487"/>
      <c r="X79" s="2487"/>
      <c r="Y79" s="2487"/>
      <c r="Z79" s="2487"/>
      <c r="AA79" s="2487"/>
      <c r="AB79" s="2487"/>
      <c r="AC79" s="2487"/>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5.75"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5.75"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5.75"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5.75"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5.75" thickTop="1">
      <c r="A85" s="483"/>
      <c r="B85" s="476">
        <f>B14</f>
        <v>111</v>
      </c>
      <c r="C85" s="31"/>
      <c r="D85" s="31"/>
      <c r="E85" s="31"/>
      <c r="F85" s="31"/>
      <c r="G85" s="31"/>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5.75"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c r="A87" s="378" t="s">
        <v>1690</v>
      </c>
      <c r="B87" s="459" t="s">
        <v>1720</v>
      </c>
      <c r="C87" s="503" t="s">
        <v>1721</v>
      </c>
      <c r="D87" s="503" t="s">
        <v>1722</v>
      </c>
      <c r="E87" s="503" t="s">
        <v>1723</v>
      </c>
      <c r="F87" s="503" t="s">
        <v>1724</v>
      </c>
      <c r="G87" s="503" t="s">
        <v>1725</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75" thickTop="1">
      <c r="A89" s="366"/>
      <c r="B89" s="468" t="s">
        <v>1906</v>
      </c>
      <c r="C89" s="508" t="s">
        <v>1721</v>
      </c>
      <c r="D89" s="508" t="s">
        <v>1722</v>
      </c>
      <c r="E89" s="508" t="s">
        <v>1723</v>
      </c>
      <c r="F89" s="508" t="s">
        <v>1724</v>
      </c>
      <c r="G89" s="508" t="s">
        <v>1725</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75" thickTop="1">
      <c r="A91" s="366"/>
      <c r="B91" s="468" t="s">
        <v>1821</v>
      </c>
      <c r="C91" s="508" t="s">
        <v>1721</v>
      </c>
      <c r="D91" s="508" t="s">
        <v>1722</v>
      </c>
      <c r="E91" s="508" t="s">
        <v>1723</v>
      </c>
      <c r="F91" s="508" t="s">
        <v>1724</v>
      </c>
      <c r="G91" s="508" t="s">
        <v>1725</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75" thickTop="1">
      <c r="A93" s="366"/>
      <c r="B93" s="468" t="s">
        <v>1726</v>
      </c>
      <c r="C93" s="508" t="s">
        <v>1721</v>
      </c>
      <c r="D93" s="508" t="s">
        <v>1722</v>
      </c>
      <c r="E93" s="508" t="s">
        <v>1723</v>
      </c>
      <c r="F93" s="508" t="s">
        <v>1724</v>
      </c>
      <c r="G93" s="508" t="s">
        <v>1725</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6"/>
      <c r="B105" s="468" t="s">
        <v>1815</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6"/>
      <c r="B107" s="468" t="s">
        <v>1873</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5.75"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8">
        <f>B36</f>
        <v>111</v>
      </c>
      <c r="C111" s="31"/>
      <c r="D111" s="31"/>
      <c r="E111" s="31"/>
      <c r="F111" s="31"/>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5.75"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5"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5.75"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6"/>
      <c r="B116" s="476"/>
      <c r="C116" s="6"/>
      <c r="D116" s="6"/>
      <c r="E116" s="6"/>
      <c r="F116" s="6"/>
      <c r="G116" s="6"/>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5.75" thickBot="1">
      <c r="A117" s="366"/>
      <c r="B117" s="473"/>
      <c r="C117" s="500"/>
      <c r="D117" s="520"/>
      <c r="E117" s="520"/>
      <c r="F117" s="520"/>
      <c r="G117" s="520"/>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1914</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1915</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1916</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1917</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5.75"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5" thickTop="1">
      <c r="A128" s="408"/>
      <c r="B128" s="468">
        <f>B44</f>
        <v>111</v>
      </c>
      <c r="C128" s="31"/>
      <c r="D128" s="31"/>
      <c r="E128" s="31"/>
      <c r="F128" s="31"/>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5.75"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5" thickTop="1">
      <c r="A130" s="405"/>
      <c r="B130" s="468">
        <f>B45</f>
        <v>111</v>
      </c>
      <c r="C130" s="31"/>
      <c r="D130" s="31"/>
      <c r="E130" s="31"/>
      <c r="F130" s="31"/>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5.75"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426" t="s">
        <v>1770</v>
      </c>
      <c r="D4" s="3427"/>
      <c r="E4" s="3428" t="s">
        <v>1771</v>
      </c>
      <c r="F4" s="3429"/>
      <c r="G4" s="3426" t="s">
        <v>1772</v>
      </c>
      <c r="H4" s="3427"/>
      <c r="I4" s="3426" t="s">
        <v>1773</v>
      </c>
      <c r="J4" s="3427"/>
      <c r="K4" s="536" t="s">
        <v>1774</v>
      </c>
      <c r="L4" s="2486"/>
      <c r="M4" s="2487"/>
      <c r="N4" s="2487"/>
      <c r="O4" s="2487"/>
      <c r="P4" s="3430" t="s">
        <v>1775</v>
      </c>
      <c r="Q4" s="3431"/>
      <c r="R4" s="3413" t="s">
        <v>1771</v>
      </c>
      <c r="S4" s="3414"/>
      <c r="T4" s="3413" t="s">
        <v>1772</v>
      </c>
      <c r="U4" s="3414"/>
      <c r="V4" s="3438" t="s">
        <v>1773</v>
      </c>
      <c r="W4" s="3438"/>
      <c r="X4" s="1264"/>
      <c r="Y4" s="3413" t="s">
        <v>1775</v>
      </c>
      <c r="Z4" s="3414"/>
      <c r="AA4" s="3408" t="s">
        <v>1771</v>
      </c>
      <c r="AB4" s="3409" t="s">
        <v>1772</v>
      </c>
      <c r="AC4" s="3408" t="s">
        <v>1773</v>
      </c>
    </row>
    <row r="5" spans="1:29" ht="15">
      <c r="A5" s="347"/>
      <c r="B5" s="348"/>
      <c r="C5" s="3419" t="s">
        <v>1673</v>
      </c>
      <c r="D5" s="3420"/>
      <c r="E5" s="3417" t="s">
        <v>1674</v>
      </c>
      <c r="F5" s="3418"/>
      <c r="G5" s="3419" t="s">
        <v>1675</v>
      </c>
      <c r="H5" s="3420"/>
      <c r="I5" s="3419" t="s">
        <v>1676</v>
      </c>
      <c r="J5" s="3420"/>
      <c r="K5" s="536"/>
      <c r="L5" s="2486"/>
      <c r="M5" s="2487"/>
      <c r="N5" s="2487"/>
      <c r="O5" s="2487"/>
      <c r="P5" s="3432"/>
      <c r="Q5" s="3433"/>
      <c r="R5" s="3415"/>
      <c r="S5" s="3416"/>
      <c r="T5" s="3415"/>
      <c r="U5" s="3416"/>
      <c r="V5" s="3438"/>
      <c r="W5" s="3438"/>
      <c r="X5" s="1264"/>
      <c r="Y5" s="3415"/>
      <c r="Z5" s="3416"/>
      <c r="AA5" s="3409"/>
      <c r="AB5" s="3409"/>
      <c r="AC5" s="3409"/>
    </row>
    <row r="6" spans="1:29" ht="15.75" thickBot="1">
      <c r="A6" s="349"/>
      <c r="B6" s="350"/>
      <c r="C6" s="3473" t="s">
        <v>1919</v>
      </c>
      <c r="D6" s="3474"/>
      <c r="E6" s="3475" t="s">
        <v>1919</v>
      </c>
      <c r="F6" s="3476"/>
      <c r="G6" s="3473" t="s">
        <v>1919</v>
      </c>
      <c r="H6" s="3474"/>
      <c r="I6" s="3473" t="s">
        <v>1919</v>
      </c>
      <c r="J6" s="3474"/>
      <c r="K6" s="536" t="s">
        <v>1678</v>
      </c>
      <c r="L6" s="2486"/>
      <c r="M6" s="2487"/>
      <c r="N6" s="2487"/>
      <c r="O6" s="2487"/>
      <c r="P6" s="3434"/>
      <c r="Q6" s="3435"/>
      <c r="R6" s="3415"/>
      <c r="S6" s="3416"/>
      <c r="T6" s="3436"/>
      <c r="U6" s="3437"/>
      <c r="V6" s="3438"/>
      <c r="W6" s="3438"/>
      <c r="X6" s="1264"/>
      <c r="Y6" s="3436"/>
      <c r="Z6" s="3437"/>
      <c r="AA6" s="3410"/>
      <c r="AB6" s="3410"/>
      <c r="AC6" s="3410"/>
    </row>
    <row r="7" spans="1:29" s="101" customFormat="1" ht="15.75" thickBot="1">
      <c r="A7" s="351" t="s">
        <v>1679</v>
      </c>
      <c r="B7" s="352"/>
      <c r="C7" s="353">
        <f>'数据-取费表'!B2</f>
        <v>45862</v>
      </c>
      <c r="D7" s="354">
        <v>100</v>
      </c>
      <c r="E7" s="355"/>
      <c r="F7" s="356">
        <f>SUMIF(65:65,YEAR(E7)&amp;"-"&amp;INT((MONTH(E7)+2)/3),66:66)</f>
        <v>0</v>
      </c>
      <c r="G7" s="1821"/>
      <c r="H7" s="354">
        <f>SUMIF(65:65,YEAR(G7)&amp;"-"&amp;INT((MONTH(G7)+2)/3),66:66)</f>
        <v>0</v>
      </c>
      <c r="I7" s="1821"/>
      <c r="J7" s="354">
        <f>SUMIF(65:65,YEAR(I7)&amp;"-"&amp;INT((MONTH(I7)+2)/3),66:66)</f>
        <v>0</v>
      </c>
      <c r="K7" s="38"/>
      <c r="L7" s="2488"/>
      <c r="M7" s="2439"/>
      <c r="N7" s="2439"/>
      <c r="O7" s="2439"/>
      <c r="P7" s="3411" t="s">
        <v>1680</v>
      </c>
      <c r="Q7" s="3439"/>
      <c r="R7" s="663" t="s">
        <v>14</v>
      </c>
      <c r="S7" s="664">
        <f t="shared" ref="S7:S15" si="0">F7</f>
        <v>0</v>
      </c>
      <c r="T7" s="663" t="s">
        <v>14</v>
      </c>
      <c r="U7" s="664">
        <f t="shared" ref="U7:U15" si="1">H7</f>
        <v>0</v>
      </c>
      <c r="V7" s="663" t="s">
        <v>14</v>
      </c>
      <c r="W7" s="664">
        <f t="shared" ref="W7:W15" si="2">J7</f>
        <v>0</v>
      </c>
      <c r="X7" s="665"/>
      <c r="Y7" s="3411" t="s">
        <v>1680</v>
      </c>
      <c r="Z7" s="3412"/>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8"/>
      <c r="M8" s="2439"/>
      <c r="N8" s="2439"/>
      <c r="O8" s="2439"/>
      <c r="P8" s="3411" t="s">
        <v>1683</v>
      </c>
      <c r="Q8" s="3412"/>
      <c r="R8" s="663" t="s">
        <v>14</v>
      </c>
      <c r="S8" s="664">
        <f t="shared" si="0"/>
        <v>0</v>
      </c>
      <c r="T8" s="663" t="s">
        <v>14</v>
      </c>
      <c r="U8" s="664">
        <f t="shared" si="1"/>
        <v>0</v>
      </c>
      <c r="V8" s="663" t="s">
        <v>14</v>
      </c>
      <c r="W8" s="664">
        <f t="shared" si="2"/>
        <v>0</v>
      </c>
      <c r="X8" s="665"/>
      <c r="Y8" s="3411" t="s">
        <v>1683</v>
      </c>
      <c r="Z8" s="3412"/>
      <c r="AA8" s="50" t="e">
        <f t="shared" ref="AA8:AA40" si="3">D8/F8</f>
        <v>#DIV/0!</v>
      </c>
      <c r="AB8" s="50" t="e">
        <f t="shared" ref="AB8:AB40" si="4">D8/H8</f>
        <v>#DIV/0!</v>
      </c>
      <c r="AC8" s="50" t="e">
        <f t="shared" ref="AC8:AC40" si="5">D8/J8</f>
        <v>#DIV/0!</v>
      </c>
    </row>
    <row r="9" spans="1:29" s="101"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43" t="s">
        <v>1686</v>
      </c>
      <c r="Q9" s="529" t="str">
        <f t="shared" ref="Q9:Q15" si="6">B9</f>
        <v>用途</v>
      </c>
      <c r="R9" s="663" t="s">
        <v>14</v>
      </c>
      <c r="S9" s="664">
        <f t="shared" si="0"/>
        <v>100</v>
      </c>
      <c r="T9" s="663" t="s">
        <v>14</v>
      </c>
      <c r="U9" s="664">
        <f t="shared" si="1"/>
        <v>100</v>
      </c>
      <c r="V9" s="663" t="s">
        <v>14</v>
      </c>
      <c r="W9" s="664">
        <f t="shared" si="2"/>
        <v>100</v>
      </c>
      <c r="X9" s="665"/>
      <c r="Y9" s="3374"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143</v>
      </c>
      <c r="G10" s="370"/>
      <c r="H10" s="118">
        <f>ROUND(100/'数据-取费表'!G16,0)</f>
        <v>143</v>
      </c>
      <c r="I10" s="370"/>
      <c r="J10" s="118">
        <f>ROUND(100/'数据-取费表'!G16,0)</f>
        <v>143</v>
      </c>
      <c r="K10" s="591"/>
      <c r="L10" s="2489"/>
      <c r="M10" s="2490"/>
      <c r="N10" s="2490"/>
      <c r="O10" s="2541"/>
      <c r="P10" s="3443"/>
      <c r="Q10" s="529" t="str">
        <f t="shared" si="6"/>
        <v>土地使用年限（年）</v>
      </c>
      <c r="R10" s="663" t="s">
        <v>14</v>
      </c>
      <c r="S10" s="664">
        <f t="shared" si="0"/>
        <v>143</v>
      </c>
      <c r="T10" s="663" t="s">
        <v>14</v>
      </c>
      <c r="U10" s="664">
        <f t="shared" si="1"/>
        <v>143</v>
      </c>
      <c r="V10" s="663" t="s">
        <v>14</v>
      </c>
      <c r="W10" s="664">
        <f t="shared" si="2"/>
        <v>143</v>
      </c>
      <c r="X10" s="665"/>
      <c r="Y10" s="3374"/>
      <c r="Z10" s="50" t="str">
        <f t="shared" si="7"/>
        <v>土地使用年限（年）</v>
      </c>
      <c r="AA10" s="50">
        <f t="shared" si="3"/>
        <v>0.69930069930069927</v>
      </c>
      <c r="AB10" s="50">
        <f t="shared" si="4"/>
        <v>0.69930069930069927</v>
      </c>
      <c r="AC10" s="50">
        <f t="shared" si="5"/>
        <v>0.69930069930069927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443"/>
      <c r="Q11" s="529" t="str">
        <f t="shared" si="6"/>
        <v>容积率</v>
      </c>
      <c r="R11" s="663" t="s">
        <v>14</v>
      </c>
      <c r="S11" s="664" t="e">
        <f t="shared" si="0"/>
        <v>#N/A</v>
      </c>
      <c r="T11" s="663" t="s">
        <v>14</v>
      </c>
      <c r="U11" s="664" t="e">
        <f t="shared" si="1"/>
        <v>#N/A</v>
      </c>
      <c r="V11" s="663" t="s">
        <v>14</v>
      </c>
      <c r="W11" s="664" t="e">
        <f t="shared" si="2"/>
        <v>#N/A</v>
      </c>
      <c r="X11" s="665"/>
      <c r="Y11" s="3374"/>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443"/>
      <c r="Q12" s="529">
        <f t="shared" si="6"/>
        <v>111</v>
      </c>
      <c r="R12" s="663" t="s">
        <v>14</v>
      </c>
      <c r="S12" s="664">
        <f t="shared" si="0"/>
        <v>100</v>
      </c>
      <c r="T12" s="663" t="s">
        <v>14</v>
      </c>
      <c r="U12" s="664">
        <f t="shared" si="1"/>
        <v>100</v>
      </c>
      <c r="V12" s="663" t="s">
        <v>14</v>
      </c>
      <c r="W12" s="664">
        <f t="shared" si="2"/>
        <v>100</v>
      </c>
      <c r="X12" s="665"/>
      <c r="Y12" s="3374"/>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443"/>
      <c r="Q13" s="529">
        <f t="shared" si="6"/>
        <v>111</v>
      </c>
      <c r="R13" s="663" t="s">
        <v>14</v>
      </c>
      <c r="S13" s="664">
        <f t="shared" si="0"/>
        <v>100</v>
      </c>
      <c r="T13" s="663" t="s">
        <v>14</v>
      </c>
      <c r="U13" s="664">
        <f t="shared" si="1"/>
        <v>100</v>
      </c>
      <c r="V13" s="663" t="s">
        <v>14</v>
      </c>
      <c r="W13" s="664">
        <f t="shared" si="2"/>
        <v>100</v>
      </c>
      <c r="X13" s="665"/>
      <c r="Y13" s="3374"/>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443"/>
      <c r="Q14" s="529">
        <f t="shared" si="6"/>
        <v>111</v>
      </c>
      <c r="R14" s="663" t="s">
        <v>14</v>
      </c>
      <c r="S14" s="664">
        <f t="shared" si="0"/>
        <v>100</v>
      </c>
      <c r="T14" s="663" t="s">
        <v>14</v>
      </c>
      <c r="U14" s="664">
        <f t="shared" si="1"/>
        <v>100</v>
      </c>
      <c r="V14" s="663" t="s">
        <v>14</v>
      </c>
      <c r="W14" s="664">
        <f t="shared" si="2"/>
        <v>100</v>
      </c>
      <c r="X14" s="665"/>
      <c r="Y14" s="3374"/>
      <c r="Z14" s="50">
        <f t="shared" si="7"/>
        <v>111</v>
      </c>
      <c r="AA14" s="50">
        <f t="shared" si="3"/>
        <v>1</v>
      </c>
      <c r="AB14" s="50">
        <f t="shared" si="4"/>
        <v>1</v>
      </c>
      <c r="AC14" s="50">
        <f t="shared" si="5"/>
        <v>1</v>
      </c>
    </row>
    <row r="15" spans="1:29" ht="15">
      <c r="A15" s="378" t="s">
        <v>1690</v>
      </c>
      <c r="B15" s="553" t="s">
        <v>1920</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444" t="s">
        <v>1691</v>
      </c>
      <c r="Q15" s="1262" t="str">
        <f t="shared" si="6"/>
        <v>产业集聚程度</v>
      </c>
      <c r="R15" s="666" t="s">
        <v>14</v>
      </c>
      <c r="S15" s="667">
        <f t="shared" si="0"/>
        <v>100</v>
      </c>
      <c r="T15" s="666" t="s">
        <v>14</v>
      </c>
      <c r="U15" s="667">
        <f t="shared" si="1"/>
        <v>100</v>
      </c>
      <c r="V15" s="666" t="s">
        <v>14</v>
      </c>
      <c r="W15" s="667">
        <f t="shared" si="2"/>
        <v>100</v>
      </c>
      <c r="X15" s="1264"/>
      <c r="Y15" s="3444"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445"/>
      <c r="Q16" s="1262"/>
      <c r="R16" s="666"/>
      <c r="S16" s="667"/>
      <c r="T16" s="666"/>
      <c r="U16" s="667"/>
      <c r="V16" s="666"/>
      <c r="W16" s="667"/>
      <c r="X16" s="1264"/>
      <c r="Y16" s="3445"/>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445"/>
      <c r="Q17" s="1262" t="str">
        <f>B17</f>
        <v>交通便捷度</v>
      </c>
      <c r="R17" s="666" t="s">
        <v>14</v>
      </c>
      <c r="S17" s="667">
        <f>F17</f>
        <v>100</v>
      </c>
      <c r="T17" s="666" t="s">
        <v>14</v>
      </c>
      <c r="U17" s="667">
        <f>H17</f>
        <v>100</v>
      </c>
      <c r="V17" s="666" t="s">
        <v>14</v>
      </c>
      <c r="W17" s="667">
        <f>J17</f>
        <v>100</v>
      </c>
      <c r="X17" s="1264"/>
      <c r="Y17" s="3445"/>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445"/>
      <c r="Q18" s="1262"/>
      <c r="R18" s="666"/>
      <c r="S18" s="667"/>
      <c r="T18" s="666"/>
      <c r="U18" s="667"/>
      <c r="V18" s="666"/>
      <c r="W18" s="667"/>
      <c r="X18" s="1264"/>
      <c r="Y18" s="3445"/>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445"/>
      <c r="Q19" s="1262" t="str">
        <f t="shared" ref="Q19:Q33" si="8">B19</f>
        <v>区域土地利用方向</v>
      </c>
      <c r="R19" s="666" t="s">
        <v>14</v>
      </c>
      <c r="S19" s="667">
        <f>F19</f>
        <v>100</v>
      </c>
      <c r="T19" s="666" t="s">
        <v>14</v>
      </c>
      <c r="U19" s="667">
        <f>H19</f>
        <v>100</v>
      </c>
      <c r="V19" s="666" t="s">
        <v>14</v>
      </c>
      <c r="W19" s="667">
        <f>J19</f>
        <v>100</v>
      </c>
      <c r="X19" s="1264"/>
      <c r="Y19" s="3445"/>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445"/>
      <c r="Q20" s="1262"/>
      <c r="R20" s="666"/>
      <c r="S20" s="667"/>
      <c r="T20" s="666"/>
      <c r="U20" s="667"/>
      <c r="V20" s="666"/>
      <c r="W20" s="667"/>
      <c r="X20" s="1264"/>
      <c r="Y20" s="3445"/>
      <c r="Z20" s="1263"/>
      <c r="AA20" s="1263"/>
      <c r="AB20" s="1263"/>
      <c r="AC20" s="1263"/>
    </row>
    <row r="21" spans="1:29" ht="15">
      <c r="A21" s="347"/>
      <c r="B21" s="555" t="s">
        <v>1921</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445"/>
      <c r="Q21" s="1262" t="str">
        <f t="shared" si="8"/>
        <v>环境状况</v>
      </c>
      <c r="R21" s="666" t="s">
        <v>14</v>
      </c>
      <c r="S21" s="667">
        <f>F21</f>
        <v>100</v>
      </c>
      <c r="T21" s="666" t="s">
        <v>14</v>
      </c>
      <c r="U21" s="667">
        <f>H21</f>
        <v>100</v>
      </c>
      <c r="V21" s="666" t="s">
        <v>14</v>
      </c>
      <c r="W21" s="667">
        <f>J21</f>
        <v>100</v>
      </c>
      <c r="X21" s="1264"/>
      <c r="Y21" s="3445"/>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445"/>
      <c r="Q22" s="1262"/>
      <c r="R22" s="666"/>
      <c r="S22" s="667"/>
      <c r="T22" s="666"/>
      <c r="U22" s="667"/>
      <c r="V22" s="666"/>
      <c r="W22" s="667"/>
      <c r="X22" s="1264"/>
      <c r="Y22" s="3445"/>
      <c r="Z22" s="1263"/>
      <c r="AA22" s="1263">
        <v>1</v>
      </c>
      <c r="AB22" s="1263">
        <v>1</v>
      </c>
      <c r="AC22" s="1263">
        <v>1</v>
      </c>
    </row>
    <row r="23" spans="1:29" s="101"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445"/>
      <c r="Q23" s="529" t="str">
        <f t="shared" si="8"/>
        <v>公共配套设施</v>
      </c>
      <c r="R23" s="663" t="s">
        <v>14</v>
      </c>
      <c r="S23" s="664">
        <f>F23</f>
        <v>100</v>
      </c>
      <c r="T23" s="663" t="s">
        <v>14</v>
      </c>
      <c r="U23" s="664">
        <f>H23</f>
        <v>100</v>
      </c>
      <c r="V23" s="663" t="s">
        <v>14</v>
      </c>
      <c r="W23" s="664">
        <f>J23</f>
        <v>100</v>
      </c>
      <c r="X23" s="665"/>
      <c r="Y23" s="3445"/>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8"/>
      <c r="M24" s="2439"/>
      <c r="N24" s="2439"/>
      <c r="O24" s="2540"/>
      <c r="P24" s="3445"/>
      <c r="Q24" s="529"/>
      <c r="R24" s="663"/>
      <c r="S24" s="664"/>
      <c r="T24" s="663"/>
      <c r="U24" s="664"/>
      <c r="V24" s="663"/>
      <c r="W24" s="664"/>
      <c r="X24" s="665"/>
      <c r="Y24" s="3445"/>
      <c r="Z24" s="50"/>
      <c r="AA24" s="50">
        <v>1</v>
      </c>
      <c r="AB24" s="50">
        <v>1</v>
      </c>
      <c r="AC24" s="50">
        <v>1</v>
      </c>
    </row>
    <row r="25" spans="1:29" s="101"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445"/>
      <c r="Q25" s="529" t="str">
        <f t="shared" ref="Q25" si="9">B25</f>
        <v>基础设施水平</v>
      </c>
      <c r="R25" s="663" t="s">
        <v>14</v>
      </c>
      <c r="S25" s="664">
        <f>F25</f>
        <v>100</v>
      </c>
      <c r="T25" s="663" t="s">
        <v>14</v>
      </c>
      <c r="U25" s="664">
        <f>H25</f>
        <v>100</v>
      </c>
      <c r="V25" s="663" t="s">
        <v>14</v>
      </c>
      <c r="W25" s="664">
        <f>J25</f>
        <v>100</v>
      </c>
      <c r="X25" s="665"/>
      <c r="Y25" s="3445"/>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8"/>
      <c r="M26" s="2439"/>
      <c r="N26" s="2439"/>
      <c r="O26" s="2540"/>
      <c r="P26" s="3445"/>
      <c r="Q26" s="529"/>
      <c r="R26" s="663"/>
      <c r="S26" s="664"/>
      <c r="T26" s="663"/>
      <c r="U26" s="664"/>
      <c r="V26" s="663"/>
      <c r="W26" s="664"/>
      <c r="X26" s="665"/>
      <c r="Y26" s="3445"/>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445"/>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45"/>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445"/>
      <c r="Q28" s="1262" t="str">
        <f t="shared" si="8"/>
        <v>毗邻道路的类型与等级</v>
      </c>
      <c r="R28" s="666" t="s">
        <v>14</v>
      </c>
      <c r="S28" s="667">
        <f t="shared" si="10"/>
        <v>100</v>
      </c>
      <c r="T28" s="666" t="s">
        <v>14</v>
      </c>
      <c r="U28" s="667">
        <f t="shared" si="11"/>
        <v>100</v>
      </c>
      <c r="V28" s="666" t="s">
        <v>14</v>
      </c>
      <c r="W28" s="667">
        <f t="shared" si="12"/>
        <v>100</v>
      </c>
      <c r="X28" s="1264"/>
      <c r="Y28" s="3445"/>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445"/>
      <c r="Q29" s="1262"/>
      <c r="R29" s="666"/>
      <c r="S29" s="667"/>
      <c r="T29" s="666"/>
      <c r="U29" s="667"/>
      <c r="V29" s="666"/>
      <c r="W29" s="667"/>
      <c r="X29" s="1264"/>
      <c r="Y29" s="3445"/>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445"/>
      <c r="Q30" s="1262" t="str">
        <f t="shared" si="8"/>
        <v>土地级别</v>
      </c>
      <c r="R30" s="666" t="s">
        <v>14</v>
      </c>
      <c r="S30" s="667">
        <f t="shared" si="10"/>
        <v>100</v>
      </c>
      <c r="T30" s="666" t="s">
        <v>14</v>
      </c>
      <c r="U30" s="667">
        <f t="shared" si="11"/>
        <v>100</v>
      </c>
      <c r="V30" s="666" t="s">
        <v>14</v>
      </c>
      <c r="W30" s="667">
        <f t="shared" si="12"/>
        <v>100</v>
      </c>
      <c r="X30" s="1264"/>
      <c r="Y30" s="3445"/>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445"/>
      <c r="Q31" s="1262">
        <f t="shared" si="8"/>
        <v>111</v>
      </c>
      <c r="R31" s="666" t="s">
        <v>14</v>
      </c>
      <c r="S31" s="667">
        <f t="shared" si="10"/>
        <v>100</v>
      </c>
      <c r="T31" s="666" t="s">
        <v>14</v>
      </c>
      <c r="U31" s="667">
        <f t="shared" si="11"/>
        <v>100</v>
      </c>
      <c r="V31" s="666" t="s">
        <v>14</v>
      </c>
      <c r="W31" s="667">
        <f t="shared" si="12"/>
        <v>100</v>
      </c>
      <c r="X31" s="1264"/>
      <c r="Y31" s="3445"/>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468" t="s">
        <v>1696</v>
      </c>
      <c r="Q32" s="1262">
        <f t="shared" si="8"/>
        <v>111</v>
      </c>
      <c r="R32" s="666" t="s">
        <v>14</v>
      </c>
      <c r="S32" s="667">
        <f t="shared" si="10"/>
        <v>100</v>
      </c>
      <c r="T32" s="666" t="s">
        <v>14</v>
      </c>
      <c r="U32" s="667">
        <f t="shared" si="11"/>
        <v>100</v>
      </c>
      <c r="V32" s="666" t="s">
        <v>14</v>
      </c>
      <c r="W32" s="667">
        <f t="shared" si="12"/>
        <v>100</v>
      </c>
      <c r="X32" s="1264"/>
      <c r="Y32" s="3449"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449"/>
      <c r="Q33" s="1262">
        <f t="shared" si="8"/>
        <v>111</v>
      </c>
      <c r="R33" s="668" t="s">
        <v>14</v>
      </c>
      <c r="S33" s="669">
        <f t="shared" si="10"/>
        <v>100</v>
      </c>
      <c r="T33" s="668" t="s">
        <v>14</v>
      </c>
      <c r="U33" s="669">
        <f t="shared" si="11"/>
        <v>100</v>
      </c>
      <c r="V33" s="668" t="s">
        <v>14</v>
      </c>
      <c r="W33" s="669">
        <f t="shared" si="12"/>
        <v>100</v>
      </c>
      <c r="X33" s="670"/>
      <c r="Y33" s="3449"/>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449"/>
      <c r="Q34" s="1262" t="str">
        <f>B34</f>
        <v>宗地面积</v>
      </c>
      <c r="R34" s="666" t="s">
        <v>14</v>
      </c>
      <c r="S34" s="667" t="e">
        <f t="shared" si="10"/>
        <v>#N/A</v>
      </c>
      <c r="T34" s="666" t="s">
        <v>14</v>
      </c>
      <c r="U34" s="667" t="e">
        <f t="shared" si="11"/>
        <v>#N/A</v>
      </c>
      <c r="V34" s="666" t="s">
        <v>14</v>
      </c>
      <c r="W34" s="667" t="e">
        <f t="shared" si="12"/>
        <v>#N/A</v>
      </c>
      <c r="X34" s="1264"/>
      <c r="Y34" s="3449"/>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449"/>
      <c r="Q35" s="1262" t="str">
        <f t="shared" ref="Q35:Q40" si="14">B35</f>
        <v>宗地形状</v>
      </c>
      <c r="R35" s="666" t="s">
        <v>14</v>
      </c>
      <c r="S35" s="667">
        <f t="shared" si="10"/>
        <v>100</v>
      </c>
      <c r="T35" s="666" t="s">
        <v>14</v>
      </c>
      <c r="U35" s="667">
        <f t="shared" si="11"/>
        <v>100</v>
      </c>
      <c r="V35" s="666" t="s">
        <v>14</v>
      </c>
      <c r="W35" s="667">
        <f t="shared" si="12"/>
        <v>100</v>
      </c>
      <c r="X35" s="1264"/>
      <c r="Y35" s="3449"/>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449"/>
      <c r="Q36" s="1262" t="str">
        <f t="shared" si="14"/>
        <v>宗地开发程度</v>
      </c>
      <c r="R36" s="663" t="s">
        <v>14</v>
      </c>
      <c r="S36" s="664">
        <f t="shared" si="10"/>
        <v>100</v>
      </c>
      <c r="T36" s="663" t="s">
        <v>14</v>
      </c>
      <c r="U36" s="664">
        <f t="shared" si="11"/>
        <v>100</v>
      </c>
      <c r="V36" s="663" t="s">
        <v>14</v>
      </c>
      <c r="W36" s="664">
        <f t="shared" si="12"/>
        <v>100</v>
      </c>
      <c r="X36" s="665"/>
      <c r="Y36" s="3449"/>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449" t="s">
        <v>1696</v>
      </c>
      <c r="Q37" s="1262" t="str">
        <f t="shared" si="14"/>
        <v>工程地质条件</v>
      </c>
      <c r="R37" s="666" t="s">
        <v>14</v>
      </c>
      <c r="S37" s="667">
        <f t="shared" si="10"/>
        <v>100</v>
      </c>
      <c r="T37" s="666" t="s">
        <v>14</v>
      </c>
      <c r="U37" s="667">
        <f t="shared" si="11"/>
        <v>100</v>
      </c>
      <c r="V37" s="666" t="s">
        <v>14</v>
      </c>
      <c r="W37" s="667">
        <f t="shared" si="12"/>
        <v>100</v>
      </c>
      <c r="X37" s="1264"/>
      <c r="Y37" s="3449"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449"/>
      <c r="Q38" s="1262">
        <f t="shared" si="14"/>
        <v>111</v>
      </c>
      <c r="R38" s="666" t="s">
        <v>14</v>
      </c>
      <c r="S38" s="667">
        <f t="shared" si="10"/>
        <v>100</v>
      </c>
      <c r="T38" s="666" t="s">
        <v>14</v>
      </c>
      <c r="U38" s="667">
        <f t="shared" si="11"/>
        <v>100</v>
      </c>
      <c r="V38" s="666" t="s">
        <v>14</v>
      </c>
      <c r="W38" s="667">
        <f t="shared" si="12"/>
        <v>100</v>
      </c>
      <c r="X38" s="1264"/>
      <c r="Y38" s="3449"/>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449"/>
      <c r="Q39" s="1262">
        <f t="shared" si="14"/>
        <v>111</v>
      </c>
      <c r="R39" s="666" t="s">
        <v>14</v>
      </c>
      <c r="S39" s="667">
        <f t="shared" si="10"/>
        <v>100</v>
      </c>
      <c r="T39" s="666" t="s">
        <v>14</v>
      </c>
      <c r="U39" s="667">
        <f t="shared" si="11"/>
        <v>100</v>
      </c>
      <c r="V39" s="666" t="s">
        <v>14</v>
      </c>
      <c r="W39" s="667">
        <f t="shared" si="12"/>
        <v>100</v>
      </c>
      <c r="X39" s="1264"/>
      <c r="Y39" s="3449"/>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449"/>
      <c r="Q40" s="1262">
        <f t="shared" si="14"/>
        <v>111</v>
      </c>
      <c r="R40" s="668" t="s">
        <v>14</v>
      </c>
      <c r="S40" s="669">
        <f t="shared" si="10"/>
        <v>100</v>
      </c>
      <c r="T40" s="668" t="s">
        <v>14</v>
      </c>
      <c r="U40" s="669">
        <f t="shared" si="11"/>
        <v>100</v>
      </c>
      <c r="V40" s="668" t="s">
        <v>14</v>
      </c>
      <c r="W40" s="669">
        <f t="shared" si="12"/>
        <v>100</v>
      </c>
      <c r="X40" s="670"/>
      <c r="Y40" s="3449"/>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4"/>
      <c r="M41" s="2487"/>
      <c r="N41" s="2487"/>
      <c r="O41" s="2487"/>
      <c r="P41" s="3443" t="str">
        <f>A41</f>
        <v>成交单价</v>
      </c>
      <c r="Q41" s="3443"/>
      <c r="R41" s="3438">
        <f>E41</f>
        <v>0</v>
      </c>
      <c r="S41" s="3438"/>
      <c r="T41" s="3438">
        <f>G41</f>
        <v>0</v>
      </c>
      <c r="U41" s="3438"/>
      <c r="V41" s="3438">
        <f>I41</f>
        <v>0</v>
      </c>
      <c r="W41" s="3438"/>
      <c r="X41" s="384"/>
      <c r="Y41" s="672"/>
      <c r="Z41" s="384"/>
      <c r="AA41" s="384"/>
      <c r="AB41" s="384"/>
      <c r="AC41" s="384"/>
    </row>
    <row r="42" spans="1:31" ht="15.75" thickBot="1">
      <c r="A42" s="422" t="s">
        <v>1793</v>
      </c>
      <c r="B42" s="602"/>
      <c r="C42" s="425" t="e">
        <f>R43</f>
        <v>#DIV/0!</v>
      </c>
      <c r="D42" s="2140" t="s">
        <v>2138</v>
      </c>
      <c r="E42" s="425" t="e">
        <f>R42</f>
        <v>#DIV/0!</v>
      </c>
      <c r="F42" s="2141"/>
      <c r="G42" s="424" t="e">
        <f>T42</f>
        <v>#DIV/0!</v>
      </c>
      <c r="H42" s="2141"/>
      <c r="I42" s="425" t="e">
        <f>V42</f>
        <v>#DIV/0!</v>
      </c>
      <c r="J42" s="2141"/>
      <c r="K42" s="2143">
        <f>F42+H42+J42</f>
        <v>0</v>
      </c>
      <c r="L42" s="2494"/>
      <c r="M42" s="2487"/>
      <c r="N42" s="2487"/>
      <c r="O42" s="2487"/>
      <c r="P42" s="3443" t="str">
        <f>A42</f>
        <v>比较价值（元/平方米）</v>
      </c>
      <c r="Q42" s="3443"/>
      <c r="R42" s="3470" t="e">
        <f>ROUND(PRODUCT(R41,AA7:AA40),0)</f>
        <v>#DIV/0!</v>
      </c>
      <c r="S42" s="3470"/>
      <c r="T42" s="3470" t="e">
        <f>ROUND(PRODUCT(T41,AB7:AB40),0)</f>
        <v>#DIV/0!</v>
      </c>
      <c r="U42" s="3470"/>
      <c r="V42" s="3470" t="e">
        <f>ROUND(PRODUCT(V41,AC7:AC40),0)</f>
        <v>#DIV/0!</v>
      </c>
      <c r="W42" s="3470"/>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4"/>
      <c r="M43" s="2487"/>
      <c r="N43" s="2487"/>
      <c r="O43" s="2487"/>
      <c r="P43" s="3440" t="str">
        <f>A43</f>
        <v>估价对象XX用房的比较价值（楼面单价，元/平方米）</v>
      </c>
      <c r="Q43" s="3441"/>
      <c r="R43" s="3471" t="e">
        <f>ROUND(IF(D42="简单平均",AVERAGE(R42:W42),R42*F42+T42*H42+V42*J42),0)</f>
        <v>#DIV/0!</v>
      </c>
      <c r="S43" s="3471"/>
      <c r="T43" s="3471"/>
      <c r="U43" s="3471"/>
      <c r="V43" s="3471"/>
      <c r="W43" s="3471"/>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426" t="s">
        <v>1887</v>
      </c>
      <c r="H50" s="3472"/>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50987.63</v>
      </c>
      <c r="F51" s="610" t="e">
        <f t="shared" ref="F51:F60" si="15">ROUND(B51*E51/10000,0)</f>
        <v>#DIV/0!</v>
      </c>
      <c r="G51" s="3425"/>
      <c r="H51" s="3443"/>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09" t="e">
        <f>ROUND($C$43*C52*D52,0)</f>
        <v>#DIV/0!</v>
      </c>
      <c r="C52" s="162">
        <f t="shared" ref="C52:C60" si="16">IF($C$50="北京市系数",I52,J52)</f>
        <v>0.7</v>
      </c>
      <c r="D52" s="890">
        <v>0.25</v>
      </c>
      <c r="E52" s="613"/>
      <c r="F52" s="610" t="e">
        <f t="shared" si="15"/>
        <v>#DIV/0!</v>
      </c>
      <c r="G52" s="2750" t="s">
        <v>1892</v>
      </c>
      <c r="H52" s="833" t="str">
        <f>项目基本情况!B37</f>
        <v>一级</v>
      </c>
      <c r="I52" s="726">
        <f>SUMIF(修正!A59:A70,H52,修正!B59:B70)</f>
        <v>0.7</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09" t="e">
        <f t="shared" ref="B53:B60" si="17">ROUND($C$43*C53*D53,0)</f>
        <v>#DIV/0!</v>
      </c>
      <c r="C53" s="162">
        <f t="shared" si="16"/>
        <v>0.4</v>
      </c>
      <c r="D53" s="890">
        <v>0.25</v>
      </c>
      <c r="E53" s="613"/>
      <c r="F53" s="610" t="e">
        <f t="shared" si="15"/>
        <v>#DIV/0!</v>
      </c>
      <c r="G53" s="2751"/>
      <c r="H53" s="833" t="str">
        <f>项目基本情况!B37</f>
        <v>一级</v>
      </c>
      <c r="I53" s="726">
        <f>SUMIF(修正!A59:A70,H53,修正!C59:C70)</f>
        <v>0.4</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09" t="e">
        <f t="shared" si="17"/>
        <v>#DIV/0!</v>
      </c>
      <c r="C54" s="162">
        <f t="shared" si="16"/>
        <v>0.3</v>
      </c>
      <c r="D54" s="890">
        <v>0.25</v>
      </c>
      <c r="E54" s="613"/>
      <c r="F54" s="610" t="e">
        <f t="shared" si="15"/>
        <v>#DIV/0!</v>
      </c>
      <c r="G54" s="2751"/>
      <c r="H54" s="833" t="str">
        <f>项目基本情况!B37</f>
        <v>一级</v>
      </c>
      <c r="I54" s="726">
        <f>SUMIF(修正!A59:A70,H54,修正!D59:D70)</f>
        <v>0.3</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SUMIF(修正!A59:A70,H56,修正!E59:E70)</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SUMIF(修正!A59:A70,H57,修正!F59:F70)</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09" t="e">
        <f t="shared" si="17"/>
        <v>#DIV/0!</v>
      </c>
      <c r="C59" s="162">
        <f t="shared" si="16"/>
        <v>0.2</v>
      </c>
      <c r="D59" s="890">
        <v>0.25</v>
      </c>
      <c r="E59" s="208">
        <f>'数据-汇总表'!E14</f>
        <v>0</v>
      </c>
      <c r="F59" s="610" t="e">
        <f t="shared" si="15"/>
        <v>#DIV/0!</v>
      </c>
      <c r="G59" s="1834" t="s">
        <v>1892</v>
      </c>
      <c r="H59" s="833" t="str">
        <f>项目基本情况!B37</f>
        <v>一级</v>
      </c>
      <c r="I59" s="726">
        <f>SUMIF(修正!A59:A70,H59,修正!G59:G70)</f>
        <v>0.2</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SUMIF(修正!A59:A70,H60,修正!G59:G70)</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2025-7-1</v>
      </c>
      <c r="D63" s="655">
        <f>EDATE(C63,-3)</f>
        <v>45748</v>
      </c>
      <c r="E63" s="655">
        <f>EDATE(D63,-3)</f>
        <v>45658</v>
      </c>
      <c r="F63" s="655">
        <f t="shared" ref="F63:O63" si="18">EDATE(E63,-3)</f>
        <v>45566</v>
      </c>
      <c r="G63" s="655">
        <f t="shared" si="18"/>
        <v>45474</v>
      </c>
      <c r="H63" s="655">
        <f t="shared" si="18"/>
        <v>45383</v>
      </c>
      <c r="I63" s="655">
        <f t="shared" si="18"/>
        <v>45292</v>
      </c>
      <c r="J63" s="655">
        <f t="shared" si="18"/>
        <v>45200</v>
      </c>
      <c r="K63" s="655">
        <f t="shared" si="18"/>
        <v>45108</v>
      </c>
      <c r="L63" s="655">
        <f t="shared" si="18"/>
        <v>45017</v>
      </c>
      <c r="M63" s="655">
        <f t="shared" si="18"/>
        <v>44927</v>
      </c>
      <c r="N63" s="655">
        <f t="shared" si="18"/>
        <v>44835</v>
      </c>
      <c r="O63" s="655">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5">
      <c r="A65" s="1629" t="s">
        <v>1904</v>
      </c>
      <c r="B65" s="1045"/>
      <c r="C65" s="1100" t="str">
        <f>YEAR(C63)&amp;"-"&amp;ROUNDUP(MONTH(C63)/3,0)</f>
        <v>2025-3</v>
      </c>
      <c r="D65" s="1100" t="str">
        <f t="shared" ref="D65:O65" si="19">YEAR(D63)&amp;"-"&amp;ROUNDUP(MONTH(D63)/3,0)</f>
        <v>2025-2</v>
      </c>
      <c r="E65" s="1100" t="str">
        <f t="shared" si="19"/>
        <v>2025-1</v>
      </c>
      <c r="F65" s="1100" t="str">
        <f t="shared" si="19"/>
        <v>2024-4</v>
      </c>
      <c r="G65" s="1100" t="str">
        <f t="shared" si="19"/>
        <v>2024-3</v>
      </c>
      <c r="H65" s="1100" t="str">
        <f t="shared" si="19"/>
        <v>2024-2</v>
      </c>
      <c r="I65" s="1100" t="str">
        <f t="shared" si="19"/>
        <v>2024-1</v>
      </c>
      <c r="J65" s="1100" t="str">
        <f t="shared" si="19"/>
        <v>2023-4</v>
      </c>
      <c r="K65" s="1100" t="str">
        <f t="shared" si="19"/>
        <v>2023-3</v>
      </c>
      <c r="L65" s="1100" t="str">
        <f t="shared" si="19"/>
        <v>2023-2</v>
      </c>
      <c r="M65" s="1100" t="str">
        <f t="shared" si="19"/>
        <v>2023-1</v>
      </c>
      <c r="N65" s="1100" t="str">
        <f t="shared" si="19"/>
        <v>2022-4</v>
      </c>
      <c r="O65" s="1100" t="str">
        <f t="shared" si="19"/>
        <v>2022-3</v>
      </c>
      <c r="P65" s="2510"/>
      <c r="Q65" s="2510"/>
      <c r="R65" s="2510"/>
      <c r="S65" s="2510"/>
      <c r="T65" s="2510"/>
      <c r="U65" s="2510"/>
      <c r="V65" s="2510"/>
      <c r="W65" s="2510"/>
      <c r="X65" s="2510"/>
      <c r="Y65" s="2510"/>
      <c r="Z65" s="2510"/>
      <c r="AA65" s="2510"/>
      <c r="AB65" s="2510"/>
      <c r="AC65" s="2510"/>
      <c r="AD65" s="2510"/>
      <c r="AE65" s="2510"/>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1" customFormat="1" ht="15.75" thickBot="1">
      <c r="A67" s="448" t="s">
        <v>1716</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1" customFormat="1" ht="15">
      <c r="A68" s="454" t="s">
        <v>1681</v>
      </c>
      <c r="B68" s="443"/>
      <c r="C68" s="455" t="s">
        <v>1776</v>
      </c>
      <c r="D68" s="31"/>
      <c r="E68" s="31"/>
      <c r="F68" s="31"/>
      <c r="G68" s="31"/>
      <c r="H68" s="31"/>
      <c r="I68" s="31"/>
      <c r="J68" s="31"/>
      <c r="K68" s="31"/>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1" customFormat="1" ht="15.75"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6"/>
      <c r="B72" s="468" t="s">
        <v>1688</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5.75"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5.75"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5.75"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5.75"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5.75" thickTop="1">
      <c r="A81" s="483"/>
      <c r="B81" s="476">
        <f>B14</f>
        <v>111</v>
      </c>
      <c r="C81" s="31"/>
      <c r="D81" s="31"/>
      <c r="E81" s="31"/>
      <c r="F81" s="31"/>
      <c r="G81" s="31"/>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5.75"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c r="A83" s="378" t="s">
        <v>1690</v>
      </c>
      <c r="B83" s="459" t="s">
        <v>1829</v>
      </c>
      <c r="C83" s="503" t="s">
        <v>1721</v>
      </c>
      <c r="D83" s="503" t="s">
        <v>1722</v>
      </c>
      <c r="E83" s="503" t="s">
        <v>1723</v>
      </c>
      <c r="F83" s="503" t="s">
        <v>1724</v>
      </c>
      <c r="G83" s="503" t="s">
        <v>1725</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6"/>
      <c r="B85" s="468" t="s">
        <v>1726</v>
      </c>
      <c r="C85" s="508" t="s">
        <v>1721</v>
      </c>
      <c r="D85" s="508" t="s">
        <v>1722</v>
      </c>
      <c r="E85" s="508" t="s">
        <v>1723</v>
      </c>
      <c r="F85" s="508" t="s">
        <v>1724</v>
      </c>
      <c r="G85" s="508" t="s">
        <v>1725</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6"/>
      <c r="B97" s="468" t="s">
        <v>1815</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6"/>
      <c r="B99" s="468" t="s">
        <v>1873</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5" thickTop="1">
      <c r="A105" s="405"/>
      <c r="B105" s="522">
        <f>B33</f>
        <v>111</v>
      </c>
      <c r="C105" s="31"/>
      <c r="D105" s="31"/>
      <c r="E105" s="31"/>
      <c r="F105" s="31"/>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5.75"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1914</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1916</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1917</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5" thickTop="1">
      <c r="A120" s="405"/>
      <c r="B120" s="468">
        <f>B40</f>
        <v>111</v>
      </c>
      <c r="C120" s="31"/>
      <c r="D120" s="31"/>
      <c r="E120" s="31"/>
      <c r="F120" s="31"/>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5.75"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V438" sqref="V438"/>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80" t="s">
        <v>2084</v>
      </c>
      <c r="D1" s="3481"/>
      <c r="E1" s="3481"/>
      <c r="F1" s="3481"/>
      <c r="G1" s="3481"/>
      <c r="H1" s="3481"/>
      <c r="I1" s="3481"/>
      <c r="J1" s="3481"/>
      <c r="K1" s="3481"/>
      <c r="L1" s="3481"/>
      <c r="M1" s="3481"/>
      <c r="N1" s="3481"/>
      <c r="O1" s="3481"/>
      <c r="P1" s="3481"/>
      <c r="Q1" s="3481"/>
      <c r="R1" s="3481"/>
      <c r="S1" s="3482"/>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77" t="s">
        <v>27</v>
      </c>
      <c r="D22" s="3478"/>
      <c r="E22" s="3478"/>
      <c r="F22" s="3478"/>
      <c r="G22" s="3478"/>
      <c r="H22" s="3478"/>
      <c r="I22" s="3478"/>
      <c r="J22" s="3478"/>
      <c r="K22" s="3478"/>
      <c r="L22" s="3478"/>
      <c r="M22" s="3478"/>
      <c r="N22" s="3478"/>
      <c r="O22" s="3478"/>
      <c r="P22" s="3478"/>
      <c r="Q22" s="347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114009</v>
      </c>
      <c r="C2" s="1983" t="s">
        <v>2074</v>
      </c>
      <c r="D2" s="1983" t="s">
        <v>2075</v>
      </c>
      <c r="E2" s="2397">
        <f ca="1">SUMIF(E6:E13,"&lt;&gt;#ref!",E6:E13)</f>
        <v>52990.34</v>
      </c>
      <c r="F2" s="2544"/>
      <c r="G2" s="2544"/>
      <c r="H2" s="2544"/>
      <c r="I2" s="2544"/>
      <c r="J2" s="2544"/>
      <c r="K2" s="2544"/>
      <c r="L2" s="2544"/>
      <c r="M2" s="2544"/>
      <c r="N2" s="2544"/>
      <c r="O2" s="2544"/>
      <c r="P2" s="2544"/>
    </row>
    <row r="3" spans="1:16" ht="15.75">
      <c r="A3" s="1983" t="s">
        <v>2076</v>
      </c>
      <c r="B3" s="2387">
        <f ca="1">ROUND(B2*10000/E2,0)</f>
        <v>21515</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114009</v>
      </c>
      <c r="C6" s="1983" t="s">
        <v>2074</v>
      </c>
      <c r="D6" s="2544"/>
      <c r="E6" s="2397">
        <f ca="1">SUMIF(INDIRECT("'"&amp;A6&amp;"'"&amp;"!C:C"),"建筑面积",INDIRECT("'"&amp;A6&amp;"'"&amp;"!D:D"))</f>
        <v>52990.34</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H13" sqref="H1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52990.34</v>
      </c>
      <c r="E1" s="1841"/>
      <c r="F1" s="1841"/>
      <c r="G1" s="1841"/>
      <c r="H1" s="1841"/>
      <c r="I1" s="1841"/>
      <c r="J1" s="1841"/>
      <c r="K1" s="1055"/>
      <c r="L1" s="1842" t="s">
        <v>1928</v>
      </c>
      <c r="M1" s="809">
        <f>SUMPRODUCT((区片价!B5:B9=I2)*(区片价!C3:G3=E2)*(区片价!C5:G9))</f>
        <v>34550</v>
      </c>
      <c r="N1" s="812">
        <f>SUMPRODUCT((因素修正幅度!B5:B9=I2)*(因素修正幅度!C3:G3=E2)*(因素修正幅度!C5:G9))</f>
        <v>9.8000000000000004E-2</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f>C30</f>
        <v>114009</v>
      </c>
      <c r="C2" s="1845" t="s">
        <v>1935</v>
      </c>
      <c r="D2" s="161" t="s">
        <v>1936</v>
      </c>
      <c r="E2" s="3120" t="s">
        <v>673</v>
      </c>
      <c r="F2" s="161" t="s">
        <v>1937</v>
      </c>
      <c r="G2" s="162" t="str">
        <f>IF(E2="商业",项目基本情况!B37,IF(E2="办公",项目基本情况!C37,IF(E2="住宅",项目基本情况!D37,IF(E2="工业",项目基本情况!E37,项目基本情况!F37))))</f>
        <v>一级</v>
      </c>
      <c r="H2" s="161" t="s">
        <v>1938</v>
      </c>
      <c r="I2" s="162" t="str">
        <f>IF(E2="商业",项目基本情况!B38,IF(E2="办公",项目基本情况!C38,IF(E2="住宅",项目基本情况!D38,IF(E2="工业",项目基本情况!E38,项目基本情况!F38))))</f>
        <v>Ⅰ—01</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1.5206</v>
      </c>
      <c r="T2" s="3063">
        <f t="shared" ref="T2:T16" si="0">ROUND($C$5*$C$22*$C$23*$C$24*S2*$C$28,0)</f>
        <v>36730</v>
      </c>
      <c r="U2" s="1129"/>
      <c r="V2" s="3063">
        <f>ROUND(T2*U2/10000,0)</f>
        <v>0</v>
      </c>
      <c r="W2" s="1132"/>
      <c r="X2" s="1132"/>
      <c r="Y2" s="1132"/>
      <c r="Z2" s="1132"/>
      <c r="AA2" s="1132"/>
      <c r="AB2" s="1132"/>
      <c r="AC2" s="1133"/>
      <c r="AD2" s="1134"/>
      <c r="AE2" s="1134"/>
      <c r="AF2" s="1134"/>
      <c r="AG2" s="1134"/>
      <c r="AH2" s="1134"/>
      <c r="AI2" s="1134"/>
      <c r="AJ2" s="1135"/>
    </row>
    <row r="3" spans="1:36" ht="15.75">
      <c r="A3" s="194" t="s">
        <v>1940</v>
      </c>
      <c r="B3" s="195">
        <f>ROUND(B2*10000/D1,0)</f>
        <v>21515</v>
      </c>
      <c r="C3" s="1845" t="s">
        <v>1941</v>
      </c>
      <c r="D3" s="161" t="s">
        <v>1942</v>
      </c>
      <c r="E3" s="3118" t="s">
        <v>2424</v>
      </c>
      <c r="F3" s="1847" t="s">
        <v>4571</v>
      </c>
      <c r="G3" s="707">
        <f>IF(F3="宗地容积率",'数据-汇总表'!I4,IF(F3="估价对象容积率",'数据-汇总表'!I6,'数据-汇总表'!I7))</f>
        <v>9</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1.2072000000000001</v>
      </c>
      <c r="T3" s="3063">
        <f t="shared" si="0"/>
        <v>29159</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490"/>
      <c r="B4" s="3491"/>
      <c r="C4" s="3491"/>
      <c r="D4" s="3492"/>
      <c r="E4" s="3492"/>
      <c r="F4" s="3492"/>
      <c r="G4" s="3492"/>
      <c r="H4" s="3492"/>
      <c r="I4" s="3492"/>
      <c r="J4" s="3493"/>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1.0430999999999999</v>
      </c>
      <c r="T4" s="3063">
        <f t="shared" si="0"/>
        <v>25196</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34550</v>
      </c>
      <c r="D5" s="1251">
        <f>ROUND(C6*C17+C20,0)</f>
        <v>34550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0.94389999999999996</v>
      </c>
      <c r="T5" s="3063">
        <f t="shared" si="0"/>
        <v>22800</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34550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0.89959999999999996</v>
      </c>
      <c r="T6" s="3063">
        <f t="shared" si="0"/>
        <v>21730</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3216</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f t="shared" si="0"/>
        <v>0</v>
      </c>
      <c r="U7" s="1129"/>
      <c r="V7" s="3063">
        <f t="shared" si="1"/>
        <v>0</v>
      </c>
      <c r="W7" s="1266" t="s">
        <v>1955</v>
      </c>
      <c r="X7" s="1130" t="str">
        <f>G2</f>
        <v>一级</v>
      </c>
      <c r="Y7" s="1130" t="s">
        <v>1956</v>
      </c>
      <c r="Z7" s="1131">
        <f>G3</f>
        <v>9</v>
      </c>
      <c r="AA7" s="1132"/>
      <c r="AB7" s="1132"/>
      <c r="AC7" s="1133"/>
      <c r="AD7" s="1134"/>
      <c r="AE7" s="1134"/>
      <c r="AF7" s="1134"/>
      <c r="AG7" s="1134"/>
      <c r="AH7" s="1134"/>
      <c r="AI7" s="1134"/>
      <c r="AJ7" s="1135"/>
    </row>
    <row r="8" spans="1:36" ht="25.5">
      <c r="A8" s="3009"/>
      <c r="B8" s="161" t="s">
        <v>1957</v>
      </c>
      <c r="C8" s="1869" t="s">
        <v>4572</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f t="shared" si="0"/>
        <v>0</v>
      </c>
      <c r="U8" s="1129"/>
      <c r="V8" s="3063">
        <f t="shared" si="1"/>
        <v>0</v>
      </c>
      <c r="W8" s="3487" t="s">
        <v>1960</v>
      </c>
      <c r="X8" s="348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1" t="s">
        <v>1973</v>
      </c>
      <c r="C9" s="713">
        <f>SUMIF(修正!C73:C140,C8,修正!E73:E140)</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f t="shared" si="0"/>
        <v>0</v>
      </c>
      <c r="U9" s="1129"/>
      <c r="V9" s="3063">
        <f t="shared" si="1"/>
        <v>0</v>
      </c>
      <c r="W9" s="3489"/>
      <c r="X9" s="3064" t="s">
        <v>3247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1976</v>
      </c>
      <c r="C10" s="162">
        <f>SUMIF(修正!C73:C140,C8,修正!F73:F140)</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f t="shared" si="0"/>
        <v>0</v>
      </c>
      <c r="U10" s="1129"/>
      <c r="V10" s="3063">
        <f t="shared" si="1"/>
        <v>0</v>
      </c>
      <c r="W10" s="348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3217</v>
      </c>
      <c r="B12" s="3013" t="s">
        <v>3218</v>
      </c>
      <c r="C12" s="3014">
        <v>1</v>
      </c>
      <c r="D12" s="3015" t="s">
        <v>3219</v>
      </c>
      <c r="E12" s="3016" t="s">
        <v>3220</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3221</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3222</v>
      </c>
      <c r="G14" s="3020" t="s">
        <v>3222</v>
      </c>
      <c r="H14" s="3020" t="s">
        <v>3222</v>
      </c>
      <c r="I14" s="3020" t="s">
        <v>3222</v>
      </c>
      <c r="J14" s="3020" t="s">
        <v>3222</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3223</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3224</v>
      </c>
      <c r="B17" s="3027" t="s">
        <v>3225</v>
      </c>
      <c r="C17" s="3036">
        <f>ROUND(IF(OR(E2="工业",E2="公共服务"),1,IF(AND(E18=0,E19=0),1,IF(AND(E18=J24,E19=G19),0.8,IF(E19=0,1+E17*(-0.2),1+E17*G17*(-0.2))))),4)</f>
        <v>1</v>
      </c>
      <c r="D17" s="3028" t="s">
        <v>3226</v>
      </c>
      <c r="E17" s="3036">
        <f>ROUND(G18/I18,2)</f>
        <v>0</v>
      </c>
      <c r="F17" s="3028" t="s">
        <v>3229</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3227</v>
      </c>
      <c r="E18" s="2356"/>
      <c r="F18" s="3030" t="s">
        <v>3230</v>
      </c>
      <c r="G18" s="3034">
        <f>ROUND(1-(1/(POWER(1+G24,E18))),4)</f>
        <v>0</v>
      </c>
      <c r="H18" s="3030" t="s">
        <v>3232</v>
      </c>
      <c r="I18" s="3034">
        <f>ROUND(1-(1/(POWER(1+G24,J24))),4)</f>
        <v>0.88249999999999995</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3228</v>
      </c>
      <c r="E19" s="3043"/>
      <c r="F19" s="3044" t="s">
        <v>3231</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94" t="s">
        <v>3233</v>
      </c>
      <c r="B20" s="158" t="s">
        <v>1994</v>
      </c>
      <c r="C20" s="3031">
        <f>ROUND(IF(F21="与级别开发程度一致",0,(G21-E21)/C21),0)</f>
        <v>0</v>
      </c>
      <c r="D20" s="3046" t="s">
        <v>1998</v>
      </c>
      <c r="E20" s="3047"/>
      <c r="F20" s="3500" t="s">
        <v>1995</v>
      </c>
      <c r="G20" s="3501"/>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495"/>
      <c r="B21" s="2001" t="s">
        <v>1997</v>
      </c>
      <c r="C21" s="2002">
        <f>IF(E3="M4科研用地",SUMPRODUCT((修正!A2:A7=E3)*(修正!B1:M1=G2)*(修正!B2:M7)),SUMPRODUCT((修正!A2:A7=E2)*(修正!B1:M1=G2)*(修正!B2:M7)))</f>
        <v>3.5</v>
      </c>
      <c r="D21" s="178" t="str">
        <f>IF(OR(G2="八级",G2="九级",G2="十级",G2="十一级",G2="十二级"),"五通一平","七通一平")</f>
        <v>七通一平</v>
      </c>
      <c r="E21" s="1992">
        <f>SUMPRODUCT((修正!B1:M1=G2)*(修正!B17:M17))</f>
        <v>375</v>
      </c>
      <c r="F21" s="1993" t="s">
        <v>4573</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SUMIF(修正!C20:C53,E3,修正!E20:E53)</f>
        <v>0.9</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5" t="s">
        <v>2002</v>
      </c>
      <c r="E23" s="716">
        <v>44197</v>
      </c>
      <c r="F23" s="1895" t="s">
        <v>2003</v>
      </c>
      <c r="G23" s="717">
        <f>'数据-取费表'!B2</f>
        <v>45862</v>
      </c>
      <c r="H23" s="3048" t="s">
        <v>3235</v>
      </c>
      <c r="I23" s="3049" t="str">
        <f>IF(H23="季度增幅（自定义）",SUMIF(N25:N28,E2,O25:O28),"")</f>
        <v/>
      </c>
      <c r="J23" s="3141" t="s">
        <v>3234</v>
      </c>
      <c r="K23" s="1060"/>
      <c r="L23" s="1896" t="s">
        <v>2004</v>
      </c>
      <c r="M23" s="1240">
        <f>ROUND(SUMIF(地价!B2:G2,E2,地价!B16:G16),0)</f>
        <v>350</v>
      </c>
      <c r="N23" s="1897" t="s">
        <v>2005</v>
      </c>
      <c r="O23" s="718">
        <f>ROUNDDOWN(DATEDIF(E23,G23,"M")/3,0)</f>
        <v>18</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0.71830000000000005</v>
      </c>
      <c r="D24" s="1901" t="s">
        <v>2007</v>
      </c>
      <c r="E24" s="1247">
        <f>存贷款利率!E28/100</f>
        <v>4.3499999999999997E-2</v>
      </c>
      <c r="F24" s="1901" t="s">
        <v>1999</v>
      </c>
      <c r="G24" s="723">
        <f>SUMIF(M30:Q30,E2,M33:Q33)</f>
        <v>5.5E-2</v>
      </c>
      <c r="H24" s="1901" t="s">
        <v>2008</v>
      </c>
      <c r="I24" s="724">
        <f>SUMIF('数据-取费表'!C6:C15,E2,'数据-取费表'!F6:F15)/COUNTIF('数据-取费表'!C6:C15,E2)</f>
        <v>18.77</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3314</v>
      </c>
      <c r="C25" s="460">
        <f>IF(B25="容积率修正",IF(G3&lt;10,D26,J26),C27)</f>
        <v>0.8982</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3236</v>
      </c>
      <c r="D26" s="1262">
        <f>IF(E26=G26,F26,IF(G3&lt;10,ROUND(F26+(H26-F26)*(G3-E26)/(G26-E26),4),"——"))</f>
        <v>0.8982</v>
      </c>
      <c r="E26" s="707">
        <f>ROUNDDOWN(G3,1)</f>
        <v>9</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0.8982</v>
      </c>
      <c r="G26" s="707">
        <f>ROUNDUP(G3,1)</f>
        <v>9</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0.8982</v>
      </c>
      <c r="I26" s="1911" t="s">
        <v>3237</v>
      </c>
      <c r="J26" s="373"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1.0525</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114009</v>
      </c>
      <c r="D30" s="1924"/>
      <c r="E30" s="1841"/>
      <c r="F30" s="1925"/>
      <c r="G30" s="1841"/>
      <c r="H30" s="1841"/>
      <c r="I30" s="1841"/>
      <c r="J30" s="1926"/>
      <c r="K30" s="1055"/>
      <c r="L30" s="3055" t="s">
        <v>1936</v>
      </c>
      <c r="M30" s="3056" t="s">
        <v>1990</v>
      </c>
      <c r="N30" s="3056" t="s">
        <v>1991</v>
      </c>
      <c r="O30" s="3056" t="s">
        <v>1992</v>
      </c>
      <c r="P30" s="3056" t="s">
        <v>1993</v>
      </c>
      <c r="Q30" s="3059" t="s">
        <v>3241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847</v>
      </c>
      <c r="D31" s="1928"/>
      <c r="E31" s="1929"/>
      <c r="F31" s="1930"/>
      <c r="G31" s="1929"/>
      <c r="H31" s="1929"/>
      <c r="I31" s="1929"/>
      <c r="J31" s="1931"/>
      <c r="K31" s="1055"/>
      <c r="L31" s="3057" t="s">
        <v>1996</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f>ROUND(C5*C22*C23*C24*C25*C28,0)</f>
        <v>21696</v>
      </c>
      <c r="D33" s="1939">
        <f>'数据-汇总表'!F27</f>
        <v>50987.63</v>
      </c>
      <c r="E33" s="726">
        <f>ROUND(C33*D33/10000,0)</f>
        <v>110623</v>
      </c>
      <c r="F33" s="3050" t="s">
        <v>3239</v>
      </c>
      <c r="G33" s="1940"/>
      <c r="H33" s="1940"/>
      <c r="I33" s="1940"/>
      <c r="J33" s="1941"/>
      <c r="K33" s="1055"/>
      <c r="L33" s="3053" t="s">
        <v>3242</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f>ROUND(IF(E2="工业",C33*M42,IF(B25="楼层修正",SUM(V2:V16)*M41*10000/D34,C33*M41)),0)</f>
        <v>5424</v>
      </c>
      <c r="D34" s="1944"/>
      <c r="E34" s="726">
        <f>ROUND(IF(B25="楼层修正",SUM(V2:V16)*M40,C34*D34/10000),0)</f>
        <v>0</v>
      </c>
      <c r="F34" s="1945" t="s">
        <v>2032</v>
      </c>
      <c r="G34" s="1946"/>
      <c r="H34" s="1946"/>
      <c r="I34" s="1946"/>
      <c r="J34" s="1947"/>
      <c r="K34" s="1055"/>
      <c r="L34" s="3053" t="s">
        <v>3243</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3240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3244</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98"/>
      <c r="B37" s="1954" t="s">
        <v>2036</v>
      </c>
      <c r="C37" s="166">
        <f>ROUND(D5*C22*C23*C24*C28*F37,0)</f>
        <v>16908</v>
      </c>
      <c r="D37" s="1939">
        <f>'数据-汇总表'!G27</f>
        <v>2002.71</v>
      </c>
      <c r="E37" s="162">
        <f>ROUND(C37*D37/10000,0)</f>
        <v>3386</v>
      </c>
      <c r="F37" s="162">
        <f>SUMIF(修正!A59:A70,G2,修正!B59:B70)</f>
        <v>0.7</v>
      </c>
      <c r="G37" s="162">
        <f>ROUND(IF(E2="工业",C37*$M$42,C37*$M$41),0)</f>
        <v>4227</v>
      </c>
      <c r="H37" s="162">
        <f>D37</f>
        <v>2002.71</v>
      </c>
      <c r="I37" s="162">
        <f>ROUND(G37*H37/10000,0)</f>
        <v>847</v>
      </c>
      <c r="J37" s="2754"/>
      <c r="K37" s="3061" t="s">
        <v>3245</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99"/>
      <c r="B38" s="1883" t="s">
        <v>2037</v>
      </c>
      <c r="C38" s="166">
        <f>ROUND(D5*C22*C23*C24*C28*F38,0)</f>
        <v>9662</v>
      </c>
      <c r="D38" s="1939"/>
      <c r="E38" s="162">
        <f t="shared" ref="E38:E42" si="4">ROUND(C38*D38/10000,0)</f>
        <v>0</v>
      </c>
      <c r="F38" s="162">
        <f>SUMIF(修正!A59:A70,G2,修正!C59:C70)</f>
        <v>0.4</v>
      </c>
      <c r="G38" s="162">
        <f>ROUND(IF(E2="工业",C38*$M$42,C38*$M$41),0)</f>
        <v>2416</v>
      </c>
      <c r="H38" s="162">
        <f t="shared" ref="H38:H42" si="5">D38</f>
        <v>0</v>
      </c>
      <c r="I38" s="162">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99"/>
      <c r="B39" s="1883" t="s">
        <v>3238</v>
      </c>
      <c r="C39" s="166">
        <f>ROUND(D5*C22*C23*C24*C28*F39,0)</f>
        <v>7246</v>
      </c>
      <c r="D39" s="1939"/>
      <c r="E39" s="162">
        <f t="shared" si="4"/>
        <v>0</v>
      </c>
      <c r="F39" s="162">
        <f>SUMIF(修正!A59:A70,G2,修正!D59:D70)</f>
        <v>0.3</v>
      </c>
      <c r="G39" s="162">
        <f>ROUND(IF(E2="工业",C39*$M$42,C39*$M$41),0)</f>
        <v>1812</v>
      </c>
      <c r="H39" s="162">
        <f t="shared" si="5"/>
        <v>0</v>
      </c>
      <c r="I39" s="162">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7246</v>
      </c>
      <c r="D40" s="1939"/>
      <c r="E40" s="162">
        <f t="shared" si="4"/>
        <v>0</v>
      </c>
      <c r="F40" s="166">
        <f>SUMIF(修正!A59:A70,G2,修正!E59:E70)</f>
        <v>0.3</v>
      </c>
      <c r="G40" s="162">
        <f>ROUND(IF(E2="工业",C40*$M$42,C40*$M$41),0)</f>
        <v>1812</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6868</v>
      </c>
      <c r="D41" s="1939"/>
      <c r="E41" s="162">
        <f t="shared" si="4"/>
        <v>0</v>
      </c>
      <c r="F41" s="166">
        <f>SUMIF(修正!A59:A70,G2,修正!F59:F70)</f>
        <v>0.3</v>
      </c>
      <c r="G41" s="162">
        <f>ROUND(IF(E2="工业",C41*$M$42,C41*$M$41),0)</f>
        <v>1717</v>
      </c>
      <c r="H41" s="162">
        <f t="shared" si="5"/>
        <v>0</v>
      </c>
      <c r="I41" s="162">
        <f t="shared" si="6"/>
        <v>0</v>
      </c>
      <c r="J41" s="938"/>
      <c r="L41" s="3062" t="s">
        <v>3246</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f>ROUND(D5*C22*C23*C44*C28*F42,0)</f>
        <v>4579</v>
      </c>
      <c r="D42" s="1944"/>
      <c r="E42" s="178">
        <f t="shared" si="4"/>
        <v>0</v>
      </c>
      <c r="F42" s="722">
        <f>SUMIF(修正!A59:A70,G2,修正!G59:G70)</f>
        <v>0.2</v>
      </c>
      <c r="G42" s="178">
        <f>ROUND(IF(E2="工业",C42*$M$42,C42*$M$41),0)</f>
        <v>1145</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f>ROUND(POWER(1+E44,H44-G44)*(POWER(1+E44,G44)-1)/(POWER(1+E44,H44)-1),4)</f>
        <v>0.68079999999999996</v>
      </c>
      <c r="D44" s="162" t="s">
        <v>1999</v>
      </c>
      <c r="E44" s="1990">
        <f>G24</f>
        <v>5.5E-2</v>
      </c>
      <c r="F44" s="162" t="s">
        <v>2008</v>
      </c>
      <c r="G44" s="174">
        <f>项目基本情况!D15</f>
        <v>18.77</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1.0525</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t="s">
        <v>4574</v>
      </c>
      <c r="D50" s="1001">
        <f t="shared" ref="D50:D58" si="7">SUMIF($J$49:$N$49,C50,J50:N50)</f>
        <v>1.47E-2</v>
      </c>
      <c r="E50" s="701">
        <f>ROUND(SUM(D50:D58),4)</f>
        <v>5.2499999999999998E-2</v>
      </c>
      <c r="F50" s="1674">
        <f>IF(E2="商业",SUMIF(L1:L12,G2,N1:N12),"——")</f>
        <v>9.8000000000000004E-2</v>
      </c>
      <c r="G50" s="999">
        <f>H50</f>
        <v>1.47E-2</v>
      </c>
      <c r="H50" s="1002">
        <f t="shared" ref="H50:H58" si="8">IFERROR(ROUNDDOWN($F$50*I50/2,4),"——")</f>
        <v>1.47E-2</v>
      </c>
      <c r="I50" s="3068">
        <v>0.3</v>
      </c>
      <c r="J50" s="1000">
        <f t="shared" ref="J50:J58" si="9">K50+$G50</f>
        <v>2.9399999999999999E-2</v>
      </c>
      <c r="K50" s="1000">
        <f t="shared" ref="K50:K58" si="10">$L50+$G50</f>
        <v>1.47E-2</v>
      </c>
      <c r="L50" s="1000">
        <v>0</v>
      </c>
      <c r="M50" s="1000">
        <f t="shared" ref="M50:N58" si="11">L50-$G50</f>
        <v>-1.47E-2</v>
      </c>
      <c r="N50" s="1000">
        <f t="shared" si="11"/>
        <v>-2.9399999999999999E-2</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t="s">
        <v>4574</v>
      </c>
      <c r="D51" s="1001">
        <f t="shared" si="7"/>
        <v>1.0699999999999999E-2</v>
      </c>
      <c r="E51" s="702"/>
      <c r="F51" s="1674"/>
      <c r="G51" s="999">
        <f t="shared" ref="G51:G58" si="12">H51</f>
        <v>1.0699999999999999E-2</v>
      </c>
      <c r="H51" s="1002">
        <f t="shared" si="8"/>
        <v>1.0699999999999999E-2</v>
      </c>
      <c r="I51" s="3068">
        <v>0.22</v>
      </c>
      <c r="J51" s="1000">
        <f t="shared" si="9"/>
        <v>2.1399999999999999E-2</v>
      </c>
      <c r="K51" s="1000">
        <f t="shared" si="10"/>
        <v>1.0699999999999999E-2</v>
      </c>
      <c r="L51" s="1000">
        <v>0</v>
      </c>
      <c r="M51" s="1000">
        <f t="shared" si="11"/>
        <v>-1.0699999999999999E-2</v>
      </c>
      <c r="N51" s="1000">
        <f t="shared" si="11"/>
        <v>-2.1399999999999999E-2</v>
      </c>
      <c r="AA51" s="1056"/>
      <c r="AB51" s="1056"/>
      <c r="AC51" s="1056"/>
      <c r="AD51" s="1056"/>
      <c r="AE51" s="1056"/>
      <c r="AF51" s="1056"/>
      <c r="AG51" s="1056"/>
      <c r="AH51" s="1056"/>
      <c r="AI51" s="1056"/>
      <c r="AJ51" s="1056"/>
      <c r="AK51" s="1056"/>
    </row>
    <row r="52" spans="1:37" s="1055" customFormat="1" ht="36">
      <c r="A52" s="3070" t="s">
        <v>3248</v>
      </c>
      <c r="B52" s="1261">
        <f>估价对象房地状况!C19</f>
        <v>0</v>
      </c>
      <c r="C52" s="1886" t="s">
        <v>4574</v>
      </c>
      <c r="D52" s="1001">
        <f t="shared" si="7"/>
        <v>5.7999999999999996E-3</v>
      </c>
      <c r="E52" s="702"/>
      <c r="F52" s="1674"/>
      <c r="G52" s="999">
        <f t="shared" si="12"/>
        <v>5.7999999999999996E-3</v>
      </c>
      <c r="H52" s="1002">
        <f t="shared" si="8"/>
        <v>5.7999999999999996E-3</v>
      </c>
      <c r="I52" s="3068">
        <v>0.12</v>
      </c>
      <c r="J52" s="1000">
        <f t="shared" si="9"/>
        <v>1.1599999999999999E-2</v>
      </c>
      <c r="K52" s="1000">
        <f t="shared" si="10"/>
        <v>5.7999999999999996E-3</v>
      </c>
      <c r="L52" s="1000">
        <v>0</v>
      </c>
      <c r="M52" s="1000">
        <f t="shared" si="11"/>
        <v>-5.7999999999999996E-3</v>
      </c>
      <c r="N52" s="1000">
        <f t="shared" si="11"/>
        <v>-1.1599999999999999E-2</v>
      </c>
      <c r="AA52" s="1056"/>
      <c r="AB52" s="1056"/>
      <c r="AC52" s="1056"/>
      <c r="AD52" s="1056"/>
      <c r="AE52" s="1056"/>
      <c r="AF52" s="1056"/>
      <c r="AG52" s="1056"/>
      <c r="AH52" s="1056"/>
      <c r="AI52" s="1056"/>
      <c r="AJ52" s="1056"/>
      <c r="AK52" s="1056"/>
    </row>
    <row r="53" spans="1:37" s="1055" customFormat="1" ht="36.75">
      <c r="A53" s="1969" t="s">
        <v>2054</v>
      </c>
      <c r="B53" s="1973" t="s">
        <v>2055</v>
      </c>
      <c r="C53" s="1886" t="s">
        <v>4574</v>
      </c>
      <c r="D53" s="1001">
        <f t="shared" si="7"/>
        <v>2.3999999999999998E-3</v>
      </c>
      <c r="E53" s="702"/>
      <c r="F53" s="1674"/>
      <c r="G53" s="999">
        <f t="shared" si="12"/>
        <v>2.3999999999999998E-3</v>
      </c>
      <c r="H53" s="1002">
        <f t="shared" si="8"/>
        <v>2.3999999999999998E-3</v>
      </c>
      <c r="I53" s="3068">
        <v>0.05</v>
      </c>
      <c r="J53" s="1000">
        <f t="shared" si="9"/>
        <v>4.7999999999999996E-3</v>
      </c>
      <c r="K53" s="1000">
        <f t="shared" si="10"/>
        <v>2.3999999999999998E-3</v>
      </c>
      <c r="L53" s="1000">
        <v>0</v>
      </c>
      <c r="M53" s="1000">
        <f t="shared" si="11"/>
        <v>-2.3999999999999998E-3</v>
      </c>
      <c r="N53" s="1000">
        <f t="shared" si="11"/>
        <v>-4.7999999999999996E-3</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4574</v>
      </c>
      <c r="D54" s="1001">
        <f t="shared" si="7"/>
        <v>3.8999999999999998E-3</v>
      </c>
      <c r="E54" s="702"/>
      <c r="F54" s="1674"/>
      <c r="G54" s="999">
        <f t="shared" si="12"/>
        <v>3.8999999999999998E-3</v>
      </c>
      <c r="H54" s="1002">
        <f t="shared" si="8"/>
        <v>3.8999999999999998E-3</v>
      </c>
      <c r="I54" s="3068">
        <v>0.08</v>
      </c>
      <c r="J54" s="1000">
        <f t="shared" si="9"/>
        <v>7.7999999999999996E-3</v>
      </c>
      <c r="K54" s="1000">
        <f t="shared" si="10"/>
        <v>3.8999999999999998E-3</v>
      </c>
      <c r="L54" s="1000">
        <v>0</v>
      </c>
      <c r="M54" s="1000">
        <f t="shared" si="11"/>
        <v>-3.8999999999999998E-3</v>
      </c>
      <c r="N54" s="1000">
        <f t="shared" si="11"/>
        <v>-7.7999999999999996E-3</v>
      </c>
      <c r="AA54" s="1056"/>
      <c r="AB54" s="1056"/>
      <c r="AC54" s="1056"/>
      <c r="AD54" s="1056"/>
      <c r="AE54" s="1056"/>
      <c r="AF54" s="1056"/>
      <c r="AG54" s="1056"/>
      <c r="AH54" s="1056"/>
      <c r="AI54" s="1056"/>
      <c r="AJ54" s="1056"/>
      <c r="AK54" s="1056"/>
    </row>
    <row r="55" spans="1:37" s="1055" customFormat="1" ht="24">
      <c r="A55" s="1969" t="s">
        <v>2057</v>
      </c>
      <c r="B55" s="1974" t="s">
        <v>2058</v>
      </c>
      <c r="C55" s="1886" t="s">
        <v>4574</v>
      </c>
      <c r="D55" s="1001">
        <f t="shared" si="7"/>
        <v>2.3999999999999998E-3</v>
      </c>
      <c r="E55" s="702"/>
      <c r="F55" s="1674"/>
      <c r="G55" s="999">
        <f t="shared" si="12"/>
        <v>2.3999999999999998E-3</v>
      </c>
      <c r="H55" s="1002">
        <f t="shared" si="8"/>
        <v>2.3999999999999998E-3</v>
      </c>
      <c r="I55" s="3068">
        <v>0.05</v>
      </c>
      <c r="J55" s="1000">
        <f t="shared" si="9"/>
        <v>4.7999999999999996E-3</v>
      </c>
      <c r="K55" s="1000">
        <f t="shared" si="10"/>
        <v>2.3999999999999998E-3</v>
      </c>
      <c r="L55" s="1000">
        <v>0</v>
      </c>
      <c r="M55" s="1000">
        <f t="shared" si="11"/>
        <v>-2.3999999999999998E-3</v>
      </c>
      <c r="N55" s="1000">
        <f t="shared" si="11"/>
        <v>-4.7999999999999996E-3</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t="s">
        <v>4574</v>
      </c>
      <c r="D56" s="1001">
        <f t="shared" si="7"/>
        <v>2.3999999999999998E-3</v>
      </c>
      <c r="E56" s="702"/>
      <c r="F56" s="1674"/>
      <c r="G56" s="999">
        <f t="shared" si="12"/>
        <v>2.3999999999999998E-3</v>
      </c>
      <c r="H56" s="1002">
        <f t="shared" si="8"/>
        <v>2.3999999999999998E-3</v>
      </c>
      <c r="I56" s="3068">
        <v>0.05</v>
      </c>
      <c r="J56" s="1000">
        <f t="shared" si="9"/>
        <v>4.7999999999999996E-3</v>
      </c>
      <c r="K56" s="1000">
        <f t="shared" si="10"/>
        <v>2.3999999999999998E-3</v>
      </c>
      <c r="L56" s="1000">
        <v>0</v>
      </c>
      <c r="M56" s="1000">
        <f t="shared" si="11"/>
        <v>-2.3999999999999998E-3</v>
      </c>
      <c r="N56" s="1000">
        <f t="shared" si="11"/>
        <v>-4.7999999999999996E-3</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t="s">
        <v>4575</v>
      </c>
      <c r="D57" s="1001">
        <f t="shared" si="7"/>
        <v>7.7999999999999996E-3</v>
      </c>
      <c r="E57" s="702"/>
      <c r="F57" s="1674"/>
      <c r="G57" s="999">
        <f t="shared" si="12"/>
        <v>3.8999999999999998E-3</v>
      </c>
      <c r="H57" s="1002">
        <f t="shared" si="8"/>
        <v>3.8999999999999998E-3</v>
      </c>
      <c r="I57" s="3068">
        <v>0.08</v>
      </c>
      <c r="J57" s="1000">
        <f t="shared" si="9"/>
        <v>7.7999999999999996E-3</v>
      </c>
      <c r="K57" s="1000">
        <f t="shared" si="10"/>
        <v>3.8999999999999998E-3</v>
      </c>
      <c r="L57" s="1000">
        <v>0</v>
      </c>
      <c r="M57" s="1000">
        <f t="shared" si="11"/>
        <v>-3.8999999999999998E-3</v>
      </c>
      <c r="N57" s="1000">
        <f t="shared" si="11"/>
        <v>-7.7999999999999996E-3</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t="s">
        <v>4574</v>
      </c>
      <c r="D58" s="1001">
        <f t="shared" si="7"/>
        <v>2.3999999999999998E-3</v>
      </c>
      <c r="E58" s="703"/>
      <c r="F58" s="1674"/>
      <c r="G58" s="999">
        <f t="shared" si="12"/>
        <v>2.3999999999999998E-3</v>
      </c>
      <c r="H58" s="1002">
        <f t="shared" si="8"/>
        <v>2.3999999999999998E-3</v>
      </c>
      <c r="I58" s="3069">
        <v>0.05</v>
      </c>
      <c r="J58" s="1000">
        <f t="shared" si="9"/>
        <v>4.7999999999999996E-3</v>
      </c>
      <c r="K58" s="1000">
        <f t="shared" si="10"/>
        <v>2.3999999999999998E-3</v>
      </c>
      <c r="L58" s="1000">
        <v>0</v>
      </c>
      <c r="M58" s="1000">
        <f t="shared" si="11"/>
        <v>-2.3999999999999998E-3</v>
      </c>
      <c r="N58" s="1000">
        <f t="shared" si="11"/>
        <v>-4.7999999999999996E-3</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3">SUMIF($J$60:$N$60,C61,J61:N61)</f>
        <v>0</v>
      </c>
      <c r="E61" s="701">
        <f>ROUND(SUM(D61:D69),4)</f>
        <v>0</v>
      </c>
      <c r="F61" s="1674" t="str">
        <f>IF(E2="办公",SUMIF(L1:L12,G2,N1:N12),"——")</f>
        <v>——</v>
      </c>
      <c r="G61" s="999"/>
      <c r="H61" s="1002" t="str">
        <f t="shared" ref="H61:H69" si="14">IFERROR(ROUNDDOWN($F$61*I61/2,4),"——")</f>
        <v>——</v>
      </c>
      <c r="I61" s="3068">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c r="D62" s="1001">
        <f t="shared" si="13"/>
        <v>0</v>
      </c>
      <c r="E62" s="702"/>
      <c r="F62" s="1674"/>
      <c r="G62" s="999"/>
      <c r="H62" s="1002" t="str">
        <f t="shared" si="14"/>
        <v>——</v>
      </c>
      <c r="I62" s="3068">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70" t="s">
        <v>3248</v>
      </c>
      <c r="B63" s="1261">
        <f>估价对象房地状况!C19</f>
        <v>0</v>
      </c>
      <c r="C63" s="1886"/>
      <c r="D63" s="1001">
        <f t="shared" si="13"/>
        <v>0</v>
      </c>
      <c r="E63" s="702"/>
      <c r="F63" s="1674"/>
      <c r="G63" s="999"/>
      <c r="H63" s="1002" t="str">
        <f t="shared" si="14"/>
        <v>——</v>
      </c>
      <c r="I63" s="3068">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3"/>
        <v>0</v>
      </c>
      <c r="E64" s="702"/>
      <c r="F64" s="1674"/>
      <c r="G64" s="999"/>
      <c r="H64" s="1002" t="str">
        <f t="shared" si="14"/>
        <v>——</v>
      </c>
      <c r="I64" s="3068">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3"/>
        <v>0</v>
      </c>
      <c r="E65" s="702"/>
      <c r="F65" s="1674"/>
      <c r="G65" s="999"/>
      <c r="H65" s="1002" t="str">
        <f t="shared" si="14"/>
        <v>——</v>
      </c>
      <c r="I65" s="3068">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3"/>
        <v>0</v>
      </c>
      <c r="E66" s="702"/>
      <c r="F66" s="1674"/>
      <c r="G66" s="999"/>
      <c r="H66" s="1002" t="str">
        <f t="shared" si="14"/>
        <v>——</v>
      </c>
      <c r="I66" s="3068">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3"/>
        <v>0</v>
      </c>
      <c r="E67" s="702"/>
      <c r="F67" s="1674"/>
      <c r="G67" s="999"/>
      <c r="H67" s="1002" t="str">
        <f t="shared" si="14"/>
        <v>——</v>
      </c>
      <c r="I67" s="3068">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3"/>
        <v>0</v>
      </c>
      <c r="E68" s="702"/>
      <c r="F68" s="1674"/>
      <c r="G68" s="999"/>
      <c r="H68" s="1002" t="str">
        <f t="shared" si="14"/>
        <v>——</v>
      </c>
      <c r="I68" s="3068">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c r="D69" s="1001">
        <f t="shared" si="13"/>
        <v>0</v>
      </c>
      <c r="E69" s="703"/>
      <c r="F69" s="1674"/>
      <c r="G69" s="999"/>
      <c r="H69" s="1002" t="str">
        <f t="shared" si="14"/>
        <v>——</v>
      </c>
      <c r="I69" s="3069">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8">SUMIF($J$71:$N$71,C72,J72:N72)</f>
        <v>0</v>
      </c>
      <c r="E72" s="701">
        <f>ROUND(SUM(D72:D80),4)</f>
        <v>0</v>
      </c>
      <c r="F72" s="1674" t="str">
        <f>IF(E2="住宅",SUMIF(L1:L12,G2,N1:N12),"——")</f>
        <v>——</v>
      </c>
      <c r="G72" s="999"/>
      <c r="H72" s="1002" t="str">
        <f t="shared" ref="H72:H80" si="19">IFERROR(ROUNDDOWN($F$72*I72/2,4),"——")</f>
        <v>——</v>
      </c>
      <c r="I72" s="3068">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8"/>
        <v>0</v>
      </c>
      <c r="E73" s="704"/>
      <c r="F73" s="1674"/>
      <c r="G73" s="999"/>
      <c r="H73" s="1002" t="str">
        <f t="shared" si="19"/>
        <v>——</v>
      </c>
      <c r="I73" s="3068">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70" t="s">
        <v>3248</v>
      </c>
      <c r="B74" s="1261">
        <f>估价对象房地状况!C19</f>
        <v>0</v>
      </c>
      <c r="C74" s="1886"/>
      <c r="D74" s="1001">
        <f t="shared" si="18"/>
        <v>0</v>
      </c>
      <c r="E74" s="704"/>
      <c r="F74" s="1674"/>
      <c r="G74" s="999"/>
      <c r="H74" s="1002" t="str">
        <f t="shared" si="19"/>
        <v>——</v>
      </c>
      <c r="I74" s="3068">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8"/>
        <v>0</v>
      </c>
      <c r="E75" s="704"/>
      <c r="F75" s="1674"/>
      <c r="G75" s="999"/>
      <c r="H75" s="1002" t="str">
        <f t="shared" si="19"/>
        <v>——</v>
      </c>
      <c r="I75" s="3068">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4">
      <c r="A76" s="1969" t="s">
        <v>2059</v>
      </c>
      <c r="B76" s="1239">
        <f>估价对象房地状况!C21</f>
        <v>0</v>
      </c>
      <c r="C76" s="1886"/>
      <c r="D76" s="1001">
        <f t="shared" si="18"/>
        <v>0</v>
      </c>
      <c r="E76" s="704"/>
      <c r="F76" s="1674"/>
      <c r="G76" s="999"/>
      <c r="H76" s="1002" t="str">
        <f t="shared" si="19"/>
        <v>——</v>
      </c>
      <c r="I76" s="3068">
        <v>0.08</v>
      </c>
      <c r="J76" s="1000">
        <f t="shared" si="20"/>
        <v>0</v>
      </c>
      <c r="K76" s="1000">
        <f t="shared" si="21"/>
        <v>0</v>
      </c>
      <c r="L76" s="1000">
        <v>0</v>
      </c>
      <c r="M76" s="1000">
        <f t="shared" si="22"/>
        <v>0</v>
      </c>
      <c r="N76" s="1000">
        <f t="shared" si="22"/>
        <v>0</v>
      </c>
      <c r="O76" s="1055"/>
      <c r="P76" s="1055"/>
      <c r="Z76" s="1844"/>
      <c r="AA76" s="1894"/>
      <c r="AG76" s="1057"/>
      <c r="AK76" s="1894"/>
    </row>
    <row r="77" spans="1:37" ht="24">
      <c r="A77" s="1969" t="s">
        <v>2060</v>
      </c>
      <c r="B77" s="1239">
        <f>估价对象房地状况!C22</f>
        <v>0</v>
      </c>
      <c r="C77" s="1886"/>
      <c r="D77" s="1001">
        <f t="shared" si="18"/>
        <v>0</v>
      </c>
      <c r="E77" s="704"/>
      <c r="F77" s="1674"/>
      <c r="G77" s="999"/>
      <c r="H77" s="1002" t="str">
        <f t="shared" si="19"/>
        <v>——</v>
      </c>
      <c r="I77" s="3068">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2057</v>
      </c>
      <c r="B78" s="1974" t="s">
        <v>2058</v>
      </c>
      <c r="C78" s="1886"/>
      <c r="D78" s="1001">
        <f t="shared" si="18"/>
        <v>0</v>
      </c>
      <c r="E78" s="704"/>
      <c r="F78" s="1674"/>
      <c r="G78" s="999"/>
      <c r="H78" s="1002" t="str">
        <f t="shared" si="19"/>
        <v>——</v>
      </c>
      <c r="I78" s="3068">
        <v>0.05</v>
      </c>
      <c r="J78" s="1000">
        <f t="shared" si="20"/>
        <v>0</v>
      </c>
      <c r="K78" s="1000">
        <f t="shared" si="21"/>
        <v>0</v>
      </c>
      <c r="L78" s="1000">
        <v>0</v>
      </c>
      <c r="M78" s="1000">
        <f t="shared" si="22"/>
        <v>0</v>
      </c>
      <c r="N78" s="1000">
        <f t="shared" si="22"/>
        <v>0</v>
      </c>
      <c r="O78" s="1843"/>
      <c r="P78" s="1843"/>
      <c r="Z78" s="1844"/>
      <c r="AA78" s="1894"/>
      <c r="AG78" s="1057"/>
      <c r="AK78" s="1894"/>
    </row>
    <row r="79" spans="1:37" ht="24">
      <c r="A79" s="1969" t="s">
        <v>2061</v>
      </c>
      <c r="B79" s="1972">
        <f>估价对象房地状况!C20</f>
        <v>0</v>
      </c>
      <c r="C79" s="1886"/>
      <c r="D79" s="1001">
        <f t="shared" si="18"/>
        <v>0</v>
      </c>
      <c r="E79" s="704"/>
      <c r="F79" s="1674"/>
      <c r="G79" s="999"/>
      <c r="H79" s="1002" t="str">
        <f t="shared" si="19"/>
        <v>——</v>
      </c>
      <c r="I79" s="3068">
        <v>0.12</v>
      </c>
      <c r="J79" s="1000">
        <f t="shared" si="20"/>
        <v>0</v>
      </c>
      <c r="K79" s="1000">
        <f t="shared" si="21"/>
        <v>0</v>
      </c>
      <c r="L79" s="1000">
        <v>0</v>
      </c>
      <c r="M79" s="1000">
        <f t="shared" si="22"/>
        <v>0</v>
      </c>
      <c r="N79" s="1000">
        <f t="shared" si="22"/>
        <v>0</v>
      </c>
      <c r="Z79" s="1844"/>
      <c r="AA79" s="1894"/>
      <c r="AG79" s="1057"/>
      <c r="AK79" s="1894"/>
    </row>
    <row r="80" spans="1:37" ht="24.75" thickBot="1">
      <c r="A80" s="1976" t="s">
        <v>2068</v>
      </c>
      <c r="B80" s="1980"/>
      <c r="C80" s="1886"/>
      <c r="D80" s="1001">
        <f t="shared" si="18"/>
        <v>0</v>
      </c>
      <c r="E80" s="705"/>
      <c r="F80" s="1674"/>
      <c r="G80" s="999"/>
      <c r="H80" s="1002" t="str">
        <f t="shared" si="19"/>
        <v>——</v>
      </c>
      <c r="I80" s="3069">
        <v>0.05</v>
      </c>
      <c r="J80" s="1000">
        <f t="shared" si="20"/>
        <v>0</v>
      </c>
      <c r="K80" s="1000">
        <f t="shared" si="21"/>
        <v>0</v>
      </c>
      <c r="L80" s="1000">
        <v>0</v>
      </c>
      <c r="M80" s="1000">
        <f t="shared" si="22"/>
        <v>0</v>
      </c>
      <c r="N80" s="1000">
        <f t="shared" si="22"/>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24">
      <c r="A83" s="1969" t="s">
        <v>2070</v>
      </c>
      <c r="B83" s="1261">
        <f>估价对象房地状况!G15</f>
        <v>0</v>
      </c>
      <c r="C83" s="1886"/>
      <c r="D83" s="1001">
        <f t="shared" ref="D83:D90" si="23">SUMIF($J$82:$N$82,C83,J83:N83)</f>
        <v>0</v>
      </c>
      <c r="E83" s="701">
        <f>ROUND(SUM(D83:D90),4)</f>
        <v>0</v>
      </c>
      <c r="F83" s="1674" t="str">
        <f>IF(E2="工业",SUMIF(L1:L12,G2,N1:N12),"——")</f>
        <v>——</v>
      </c>
      <c r="G83" s="999"/>
      <c r="H83" s="1002" t="str">
        <f t="shared" ref="H83:H90" si="24">IFERROR(ROUNDDOWN($F$83*I83/2,4),"——")</f>
        <v>——</v>
      </c>
      <c r="I83" s="3068">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14.25">
      <c r="A84" s="1969" t="s">
        <v>2053</v>
      </c>
      <c r="B84" s="1261">
        <f>估价对象房地状况!G16</f>
        <v>0</v>
      </c>
      <c r="C84" s="1886"/>
      <c r="D84" s="1001">
        <f t="shared" si="23"/>
        <v>0</v>
      </c>
      <c r="E84" s="704"/>
      <c r="F84" s="1674"/>
      <c r="G84" s="999"/>
      <c r="H84" s="1002" t="str">
        <f t="shared" si="24"/>
        <v>——</v>
      </c>
      <c r="I84" s="3068">
        <v>0.3</v>
      </c>
      <c r="J84" s="1000">
        <f t="shared" si="25"/>
        <v>0</v>
      </c>
      <c r="K84" s="1000">
        <f t="shared" si="26"/>
        <v>0</v>
      </c>
      <c r="L84" s="1000">
        <v>0</v>
      </c>
      <c r="M84" s="1000">
        <f t="shared" si="27"/>
        <v>0</v>
      </c>
      <c r="N84" s="1000">
        <f t="shared" si="27"/>
        <v>0</v>
      </c>
      <c r="Z84" s="1844"/>
      <c r="AA84" s="1894"/>
      <c r="AG84" s="1057"/>
      <c r="AK84" s="1894"/>
    </row>
    <row r="85" spans="1:37" ht="36">
      <c r="A85" s="3070" t="s">
        <v>3249</v>
      </c>
      <c r="B85" s="1261">
        <f>估价对象房地状况!G17</f>
        <v>0</v>
      </c>
      <c r="C85" s="1886"/>
      <c r="D85" s="1001">
        <f t="shared" si="23"/>
        <v>0</v>
      </c>
      <c r="E85" s="704"/>
      <c r="F85" s="1674"/>
      <c r="G85" s="999"/>
      <c r="H85" s="1002" t="str">
        <f t="shared" si="24"/>
        <v>——</v>
      </c>
      <c r="I85" s="3068">
        <v>0.1</v>
      </c>
      <c r="J85" s="1000">
        <f t="shared" si="25"/>
        <v>0</v>
      </c>
      <c r="K85" s="1000">
        <f t="shared" si="26"/>
        <v>0</v>
      </c>
      <c r="L85" s="1000">
        <v>0</v>
      </c>
      <c r="M85" s="1000">
        <f t="shared" si="27"/>
        <v>0</v>
      </c>
      <c r="N85" s="1000">
        <f t="shared" si="27"/>
        <v>0</v>
      </c>
      <c r="Z85" s="1844"/>
      <c r="AA85" s="1894"/>
      <c r="AG85" s="1057"/>
      <c r="AK85" s="1894"/>
    </row>
    <row r="86" spans="1:37" ht="14.25">
      <c r="A86" s="1969" t="s">
        <v>2067</v>
      </c>
      <c r="B86" s="1261">
        <f>估价对象房地状况!G22</f>
        <v>0</v>
      </c>
      <c r="C86" s="1886"/>
      <c r="D86" s="1001">
        <f t="shared" si="23"/>
        <v>0</v>
      </c>
      <c r="E86" s="704"/>
      <c r="F86" s="1674"/>
      <c r="G86" s="999"/>
      <c r="H86" s="1002" t="str">
        <f t="shared" si="24"/>
        <v>——</v>
      </c>
      <c r="I86" s="3068">
        <v>0.05</v>
      </c>
      <c r="J86" s="1000">
        <f t="shared" si="25"/>
        <v>0</v>
      </c>
      <c r="K86" s="1000">
        <f t="shared" si="26"/>
        <v>0</v>
      </c>
      <c r="L86" s="1000">
        <v>0</v>
      </c>
      <c r="M86" s="1000">
        <f t="shared" si="27"/>
        <v>0</v>
      </c>
      <c r="N86" s="1000">
        <f t="shared" si="27"/>
        <v>0</v>
      </c>
      <c r="Z86" s="1844"/>
      <c r="AA86" s="1894"/>
      <c r="AG86" s="1057"/>
      <c r="AK86" s="1894"/>
    </row>
    <row r="87" spans="1:37" ht="24">
      <c r="A87" s="1969" t="s">
        <v>2059</v>
      </c>
      <c r="B87" s="1239">
        <f>估价对象房地状况!G19</f>
        <v>0</v>
      </c>
      <c r="C87" s="1886"/>
      <c r="D87" s="1001">
        <f t="shared" si="23"/>
        <v>0</v>
      </c>
      <c r="E87" s="704"/>
      <c r="F87" s="1674"/>
      <c r="G87" s="999"/>
      <c r="H87" s="1002" t="str">
        <f t="shared" si="24"/>
        <v>——</v>
      </c>
      <c r="I87" s="3068">
        <v>0.06</v>
      </c>
      <c r="J87" s="1000">
        <f t="shared" si="25"/>
        <v>0</v>
      </c>
      <c r="K87" s="1000">
        <f t="shared" si="26"/>
        <v>0</v>
      </c>
      <c r="L87" s="1000">
        <v>0</v>
      </c>
      <c r="M87" s="1000">
        <f t="shared" si="27"/>
        <v>0</v>
      </c>
      <c r="N87" s="1000">
        <f t="shared" si="27"/>
        <v>0</v>
      </c>
    </row>
    <row r="88" spans="1:37" ht="24">
      <c r="A88" s="1969" t="s">
        <v>2060</v>
      </c>
      <c r="B88" s="1239">
        <f>估价对象房地状况!G20</f>
        <v>0</v>
      </c>
      <c r="C88" s="1886"/>
      <c r="D88" s="1001">
        <f t="shared" si="23"/>
        <v>0</v>
      </c>
      <c r="E88" s="704"/>
      <c r="F88" s="1674"/>
      <c r="G88" s="999"/>
      <c r="H88" s="1002" t="str">
        <f t="shared" si="24"/>
        <v>——</v>
      </c>
      <c r="I88" s="3068">
        <v>0.12</v>
      </c>
      <c r="J88" s="1000">
        <f t="shared" si="25"/>
        <v>0</v>
      </c>
      <c r="K88" s="1000">
        <f t="shared" si="26"/>
        <v>0</v>
      </c>
      <c r="L88" s="1000">
        <v>0</v>
      </c>
      <c r="M88" s="1000">
        <f t="shared" si="27"/>
        <v>0</v>
      </c>
      <c r="N88" s="1000">
        <f t="shared" si="27"/>
        <v>0</v>
      </c>
    </row>
    <row r="89" spans="1:37" ht="24">
      <c r="A89" s="1969" t="s">
        <v>2057</v>
      </c>
      <c r="B89" s="1974" t="s">
        <v>2071</v>
      </c>
      <c r="C89" s="1886"/>
      <c r="D89" s="1001">
        <f t="shared" si="23"/>
        <v>0</v>
      </c>
      <c r="E89" s="704"/>
      <c r="F89" s="1674"/>
      <c r="G89" s="999"/>
      <c r="H89" s="1002" t="str">
        <f t="shared" si="24"/>
        <v>——</v>
      </c>
      <c r="I89" s="3068">
        <v>0.06</v>
      </c>
      <c r="J89" s="1000">
        <f t="shared" si="25"/>
        <v>0</v>
      </c>
      <c r="K89" s="1000">
        <f t="shared" si="26"/>
        <v>0</v>
      </c>
      <c r="L89" s="1000">
        <v>0</v>
      </c>
      <c r="M89" s="1000">
        <f t="shared" si="27"/>
        <v>0</v>
      </c>
      <c r="N89" s="1000">
        <f t="shared" si="27"/>
        <v>0</v>
      </c>
    </row>
    <row r="90" spans="1:37" ht="15" thickBot="1">
      <c r="A90" s="1976" t="s">
        <v>2072</v>
      </c>
      <c r="B90" s="1981">
        <f>估价对象房地状况!G18</f>
        <v>0</v>
      </c>
      <c r="C90" s="1886"/>
      <c r="D90" s="1001">
        <f t="shared" si="23"/>
        <v>0</v>
      </c>
      <c r="E90" s="705"/>
      <c r="F90" s="1674"/>
      <c r="G90" s="999"/>
      <c r="H90" s="1002" t="str">
        <f t="shared" si="24"/>
        <v>——</v>
      </c>
      <c r="I90" s="3069">
        <v>0.05</v>
      </c>
      <c r="J90" s="1000">
        <f t="shared" si="25"/>
        <v>0</v>
      </c>
      <c r="K90" s="1000">
        <f t="shared" si="26"/>
        <v>0</v>
      </c>
      <c r="L90" s="1000">
        <v>0</v>
      </c>
      <c r="M90" s="1000">
        <f t="shared" si="27"/>
        <v>0</v>
      </c>
      <c r="N90" s="1000">
        <f t="shared" si="27"/>
        <v>0</v>
      </c>
    </row>
    <row r="91" spans="1:37" ht="15">
      <c r="A91" s="3078" t="s">
        <v>2591</v>
      </c>
      <c r="B91" s="3079">
        <f>1+E93</f>
        <v>1</v>
      </c>
      <c r="C91" s="3072"/>
      <c r="D91" s="3073"/>
      <c r="E91" s="1674"/>
      <c r="F91" s="1674"/>
      <c r="G91" s="3074"/>
      <c r="H91" s="3075"/>
      <c r="I91" s="3076"/>
      <c r="J91" s="3077"/>
      <c r="K91" s="3077"/>
      <c r="L91" s="3077"/>
      <c r="M91" s="3077"/>
      <c r="N91" s="3077"/>
    </row>
    <row r="92" spans="1:37" ht="24.75">
      <c r="A92" s="3080" t="s">
        <v>3250</v>
      </c>
      <c r="B92" s="2309"/>
      <c r="C92" s="2309" t="s">
        <v>3259</v>
      </c>
      <c r="D92" s="2309" t="s">
        <v>3260</v>
      </c>
      <c r="E92" s="3052" t="s">
        <v>3261</v>
      </c>
      <c r="F92" s="3082" t="s">
        <v>3262</v>
      </c>
      <c r="G92" s="2309" t="s">
        <v>3263</v>
      </c>
      <c r="H92" s="3089" t="s">
        <v>3266</v>
      </c>
      <c r="I92" s="2309" t="s">
        <v>3267</v>
      </c>
      <c r="J92" s="2149" t="s">
        <v>3268</v>
      </c>
      <c r="K92" s="2149" t="s">
        <v>3269</v>
      </c>
      <c r="L92" s="2149" t="s">
        <v>3270</v>
      </c>
      <c r="M92" s="2149" t="s">
        <v>3271</v>
      </c>
      <c r="N92" s="2149" t="s">
        <v>3272</v>
      </c>
    </row>
    <row r="93" spans="1:37" ht="24">
      <c r="A93" s="3070" t="s">
        <v>3251</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3252</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3248</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3253</v>
      </c>
      <c r="B96" s="3086" t="s">
        <v>3264</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3254</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3255</v>
      </c>
      <c r="B98" s="3087" t="s">
        <v>3265</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3256</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3257</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3258</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496" t="s">
        <v>3273</v>
      </c>
      <c r="B103" s="3496"/>
      <c r="C103" s="3496"/>
      <c r="D103" s="3496"/>
      <c r="E103" s="3496"/>
      <c r="F103" s="3496"/>
      <c r="G103" s="3496"/>
      <c r="H103" s="3496"/>
      <c r="I103" s="3496"/>
      <c r="J103" s="3496"/>
      <c r="K103" s="1666"/>
      <c r="L103" s="1666"/>
      <c r="M103" s="1666"/>
      <c r="N103" s="1666"/>
    </row>
    <row r="104" spans="1:14">
      <c r="A104" s="3497" t="s">
        <v>3274</v>
      </c>
      <c r="B104" s="3497" t="s">
        <v>3275</v>
      </c>
      <c r="C104" s="3090" t="s">
        <v>3276</v>
      </c>
      <c r="D104" s="3091"/>
      <c r="E104" s="3091"/>
      <c r="F104" s="3091"/>
      <c r="G104" s="3091"/>
      <c r="H104" s="3091"/>
      <c r="I104" s="3091"/>
      <c r="J104" s="3092"/>
      <c r="K104" s="3093"/>
      <c r="L104" s="3093"/>
      <c r="M104" s="3093"/>
      <c r="N104" s="3093"/>
    </row>
    <row r="105" spans="1:14">
      <c r="A105" s="3497"/>
      <c r="B105" s="3497"/>
      <c r="C105" s="3094" t="s">
        <v>3277</v>
      </c>
      <c r="D105" s="3094" t="s">
        <v>3278</v>
      </c>
      <c r="E105" s="3094" t="s">
        <v>3279</v>
      </c>
      <c r="F105" s="3094" t="s">
        <v>3280</v>
      </c>
      <c r="G105" s="3094" t="s">
        <v>3281</v>
      </c>
      <c r="H105" s="3094" t="s">
        <v>3282</v>
      </c>
      <c r="I105" s="3094" t="s">
        <v>3283</v>
      </c>
      <c r="J105" s="3094" t="s">
        <v>3284</v>
      </c>
      <c r="K105" s="3094" t="s">
        <v>3285</v>
      </c>
      <c r="L105" s="3094" t="s">
        <v>3286</v>
      </c>
      <c r="M105" s="3094" t="s">
        <v>3287</v>
      </c>
      <c r="N105" s="3094" t="s">
        <v>3288</v>
      </c>
    </row>
    <row r="106" spans="1:14">
      <c r="A106" s="3483" t="s">
        <v>3289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8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8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8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8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84"/>
      <c r="B111" s="3094" t="s">
        <v>3247</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85"/>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86" t="s">
        <v>3290</v>
      </c>
      <c r="B113" s="3486"/>
      <c r="C113" s="3486"/>
      <c r="D113" s="3486"/>
      <c r="E113" s="3486"/>
      <c r="F113" s="3486"/>
      <c r="G113" s="3486"/>
      <c r="H113" s="3486"/>
      <c r="I113" s="3486"/>
      <c r="J113" s="3486"/>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3291</v>
      </c>
      <c r="B116" s="3114">
        <f>G3</f>
        <v>9</v>
      </c>
      <c r="C116" s="3099" t="s">
        <v>3292</v>
      </c>
      <c r="D116" s="3100">
        <f>SUMPRODUCT((A118:A122=F116)*(B117:M117=H116)*B118:M122)</f>
        <v>0.89780000000000004</v>
      </c>
      <c r="E116" s="161" t="s">
        <v>3293</v>
      </c>
      <c r="F116" s="3101" t="str">
        <f>E2</f>
        <v>商业</v>
      </c>
      <c r="G116" s="161" t="s">
        <v>3294</v>
      </c>
      <c r="H116" s="3101" t="str">
        <f>G2</f>
        <v>一级</v>
      </c>
      <c r="I116" s="161"/>
      <c r="J116" s="3102"/>
      <c r="K116" s="3102"/>
      <c r="L116" s="3102"/>
      <c r="M116" s="3102"/>
      <c r="N116" s="3097"/>
    </row>
    <row r="117" spans="1:14">
      <c r="A117" s="3103"/>
      <c r="B117" s="3104" t="s">
        <v>3295</v>
      </c>
      <c r="C117" s="3104" t="s">
        <v>3296</v>
      </c>
      <c r="D117" s="3104" t="s">
        <v>3297</v>
      </c>
      <c r="E117" s="3105" t="s">
        <v>3298</v>
      </c>
      <c r="F117" s="3105" t="s">
        <v>3299</v>
      </c>
      <c r="G117" s="3105" t="s">
        <v>3300</v>
      </c>
      <c r="H117" s="3106" t="s">
        <v>3301</v>
      </c>
      <c r="I117" s="3106" t="s">
        <v>3302</v>
      </c>
      <c r="J117" s="3107" t="s">
        <v>3303</v>
      </c>
      <c r="K117" s="3107" t="s">
        <v>3304</v>
      </c>
      <c r="L117" s="3107" t="s">
        <v>3305</v>
      </c>
      <c r="M117" s="3108" t="s">
        <v>3306</v>
      </c>
      <c r="N117" s="3097"/>
    </row>
    <row r="118" spans="1:14">
      <c r="A118" s="3057" t="s">
        <v>3307</v>
      </c>
      <c r="B118" s="3089">
        <f>ROUND(0.9968-0.011*B116,4)</f>
        <v>0.89780000000000004</v>
      </c>
      <c r="C118" s="3089">
        <f>B118</f>
        <v>0.89780000000000004</v>
      </c>
      <c r="D118" s="3089">
        <f>ROUND(0.949-0.014*B116,4)</f>
        <v>0.82299999999999995</v>
      </c>
      <c r="E118" s="3089">
        <f>D118</f>
        <v>0.82299999999999995</v>
      </c>
      <c r="F118" s="3089">
        <f>E118</f>
        <v>0.82299999999999995</v>
      </c>
      <c r="G118" s="3089">
        <f>F118</f>
        <v>0.82299999999999995</v>
      </c>
      <c r="H118" s="3089">
        <f>G118</f>
        <v>0.82299999999999995</v>
      </c>
      <c r="I118" s="3089">
        <f>ROUND(0.8486-0.018*B116,4)</f>
        <v>0.68659999999999999</v>
      </c>
      <c r="J118" s="3089">
        <f t="shared" ref="J118:M122" si="36">I118</f>
        <v>0.68659999999999999</v>
      </c>
      <c r="K118" s="3089">
        <f t="shared" si="36"/>
        <v>0.68659999999999999</v>
      </c>
      <c r="L118" s="3089">
        <f t="shared" si="36"/>
        <v>0.68659999999999999</v>
      </c>
      <c r="M118" s="3109">
        <f t="shared" si="36"/>
        <v>0.68659999999999999</v>
      </c>
      <c r="N118" s="3097"/>
    </row>
    <row r="119" spans="1:14">
      <c r="A119" s="3057" t="s">
        <v>3308</v>
      </c>
      <c r="B119" s="3089">
        <f>ROUND(0.993-0.0112*B116,4)</f>
        <v>0.89219999999999999</v>
      </c>
      <c r="C119" s="3089">
        <f>B119</f>
        <v>0.89219999999999999</v>
      </c>
      <c r="D119" s="3089">
        <f>ROUND(0.9415-0.0142*B116,4)</f>
        <v>0.81369999999999998</v>
      </c>
      <c r="E119" s="3089">
        <f t="shared" ref="E119:H120" si="37">D119</f>
        <v>0.81369999999999998</v>
      </c>
      <c r="F119" s="3089">
        <f t="shared" si="37"/>
        <v>0.81369999999999998</v>
      </c>
      <c r="G119" s="3089">
        <f t="shared" si="37"/>
        <v>0.81369999999999998</v>
      </c>
      <c r="H119" s="3089">
        <f t="shared" si="37"/>
        <v>0.81369999999999998</v>
      </c>
      <c r="I119" s="3089">
        <f>ROUND(0.838-0.0182*B116,4)</f>
        <v>0.67420000000000002</v>
      </c>
      <c r="J119" s="3089">
        <f t="shared" si="36"/>
        <v>0.67420000000000002</v>
      </c>
      <c r="K119" s="3089">
        <f t="shared" si="36"/>
        <v>0.67420000000000002</v>
      </c>
      <c r="L119" s="3089">
        <f t="shared" si="36"/>
        <v>0.67420000000000002</v>
      </c>
      <c r="M119" s="3109">
        <f t="shared" si="36"/>
        <v>0.67420000000000002</v>
      </c>
      <c r="N119" s="3097"/>
    </row>
    <row r="120" spans="1:14">
      <c r="A120" s="3057" t="s">
        <v>3309</v>
      </c>
      <c r="B120" s="3089">
        <f>ROUND(0.9448-0.0115*B116,4)</f>
        <v>0.84130000000000005</v>
      </c>
      <c r="C120" s="3089">
        <f>B120</f>
        <v>0.84130000000000005</v>
      </c>
      <c r="D120" s="3089">
        <f>ROUND(0.937-0.0145*B116,4)</f>
        <v>0.80649999999999999</v>
      </c>
      <c r="E120" s="3089">
        <f t="shared" si="37"/>
        <v>0.80649999999999999</v>
      </c>
      <c r="F120" s="3089">
        <f t="shared" si="37"/>
        <v>0.80649999999999999</v>
      </c>
      <c r="G120" s="3089">
        <f t="shared" si="37"/>
        <v>0.80649999999999999</v>
      </c>
      <c r="H120" s="3089">
        <f t="shared" si="37"/>
        <v>0.80649999999999999</v>
      </c>
      <c r="I120" s="3089">
        <f>ROUND(0.7965-0.0185*B116,4)</f>
        <v>0.63</v>
      </c>
      <c r="J120" s="3089">
        <f t="shared" si="36"/>
        <v>0.63</v>
      </c>
      <c r="K120" s="3089">
        <f t="shared" si="36"/>
        <v>0.63</v>
      </c>
      <c r="L120" s="3089">
        <f t="shared" si="36"/>
        <v>0.63</v>
      </c>
      <c r="M120" s="3109">
        <f t="shared" si="36"/>
        <v>0.63</v>
      </c>
      <c r="N120" s="3097"/>
    </row>
    <row r="121" spans="1:14" ht="13.5" thickBot="1">
      <c r="A121" s="3110" t="s">
        <v>3310</v>
      </c>
      <c r="B121" s="3111">
        <f>ROUND(0.7836-0.012*B116,4)</f>
        <v>0.67559999999999998</v>
      </c>
      <c r="C121" s="3111">
        <f>B121</f>
        <v>0.67559999999999998</v>
      </c>
      <c r="D121" s="3111">
        <f>ROUND(0.753-0.015*B116,4)</f>
        <v>0.61799999999999999</v>
      </c>
      <c r="E121" s="3111">
        <f>D121</f>
        <v>0.61799999999999999</v>
      </c>
      <c r="F121" s="3111">
        <f>E121</f>
        <v>0.61799999999999999</v>
      </c>
      <c r="G121" s="3111">
        <f>ROUND(0.6612-0.018*B116,4)</f>
        <v>0.49919999999999998</v>
      </c>
      <c r="H121" s="3111">
        <f>G121</f>
        <v>0.49919999999999998</v>
      </c>
      <c r="I121" s="3111">
        <f>ROUND(0.5905-0.019*B116,4)</f>
        <v>0.41949999999999998</v>
      </c>
      <c r="J121" s="3111">
        <f t="shared" si="36"/>
        <v>0.41949999999999998</v>
      </c>
      <c r="K121" s="3111">
        <f t="shared" si="36"/>
        <v>0.41949999999999998</v>
      </c>
      <c r="L121" s="3111">
        <f t="shared" si="36"/>
        <v>0.41949999999999998</v>
      </c>
      <c r="M121" s="3112">
        <f t="shared" si="36"/>
        <v>0.41949999999999998</v>
      </c>
      <c r="N121" s="3097"/>
    </row>
    <row r="122" spans="1:14">
      <c r="A122" s="3113" t="s">
        <v>2591</v>
      </c>
      <c r="B122" s="3089">
        <f>ROUND(0.9404-0.0106*B116,4)</f>
        <v>0.84499999999999997</v>
      </c>
      <c r="C122" s="3089">
        <f>B122</f>
        <v>0.84499999999999997</v>
      </c>
      <c r="D122" s="3089">
        <f>ROUND(0.8955-0.0135*B116,4)</f>
        <v>0.77400000000000002</v>
      </c>
      <c r="E122" s="3089">
        <f t="shared" ref="E122:H122" si="38">D122</f>
        <v>0.77400000000000002</v>
      </c>
      <c r="F122" s="3089">
        <f t="shared" si="38"/>
        <v>0.77400000000000002</v>
      </c>
      <c r="G122" s="3089">
        <f t="shared" si="38"/>
        <v>0.77400000000000002</v>
      </c>
      <c r="H122" s="3089">
        <f t="shared" si="38"/>
        <v>0.77400000000000002</v>
      </c>
      <c r="I122" s="3089">
        <f>ROUND(0.7632-0.0166*B116,4)</f>
        <v>0.61380000000000001</v>
      </c>
      <c r="J122" s="3089">
        <f t="shared" si="36"/>
        <v>0.61380000000000001</v>
      </c>
      <c r="K122" s="3089">
        <f t="shared" si="36"/>
        <v>0.61380000000000001</v>
      </c>
      <c r="L122" s="3089">
        <f t="shared" si="36"/>
        <v>0.61380000000000001</v>
      </c>
      <c r="M122" s="3109">
        <f t="shared" si="36"/>
        <v>0.61380000000000001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Normal="100" workbookViewId="0">
      <selection activeCell="I12" sqref="I1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2414</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2" t="s">
        <v>2306</v>
      </c>
      <c r="B2" s="2594">
        <f ca="1">IF(D2="——",C40,C40+E2)</f>
        <v>81401</v>
      </c>
      <c r="C2" s="2595" t="s">
        <v>2307</v>
      </c>
      <c r="D2" s="3138" t="s">
        <v>3338</v>
      </c>
      <c r="E2" s="3139">
        <f ca="1">收益法!L46</f>
        <v>7088</v>
      </c>
      <c r="F2" s="2597"/>
      <c r="G2" s="2598"/>
      <c r="H2" s="2599"/>
      <c r="I2" s="2600"/>
      <c r="J2" s="3502" t="s">
        <v>2308</v>
      </c>
      <c r="K2" s="3503"/>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f ca="1">ROUND(B2*10000/B4,0)</f>
        <v>15361</v>
      </c>
      <c r="C3" s="2595" t="s">
        <v>2317</v>
      </c>
      <c r="D3" s="2595"/>
      <c r="E3" s="2596"/>
      <c r="F3" s="2597"/>
      <c r="G3" s="2598"/>
      <c r="H3" s="2599"/>
      <c r="I3" s="2600"/>
      <c r="J3" s="3504" t="s">
        <v>2318</v>
      </c>
      <c r="K3" s="3505"/>
      <c r="L3" s="2607"/>
      <c r="M3" s="2607"/>
      <c r="N3" s="2607"/>
      <c r="O3" s="2607"/>
      <c r="P3" s="2607"/>
      <c r="Q3" s="2608"/>
      <c r="R3" s="2609">
        <f>'数据-汇总表'!E3</f>
        <v>52990.34</v>
      </c>
      <c r="S3" s="2592"/>
      <c r="T3" s="2592"/>
      <c r="U3" s="2592"/>
      <c r="V3" s="2600"/>
    </row>
    <row r="4" spans="1:22" s="2604" customFormat="1" ht="13.15" customHeight="1">
      <c r="A4" s="2610" t="s">
        <v>2319</v>
      </c>
      <c r="B4" s="2611">
        <f>'数据-汇总表'!E3</f>
        <v>52990.34</v>
      </c>
      <c r="C4" s="2595"/>
      <c r="D4" s="2595"/>
      <c r="E4" s="2596"/>
      <c r="F4" s="2597"/>
      <c r="G4" s="2598"/>
      <c r="H4" s="2599"/>
      <c r="I4" s="2600"/>
      <c r="J4" s="3504" t="s">
        <v>2320</v>
      </c>
      <c r="K4" s="3505"/>
      <c r="L4" s="2612"/>
      <c r="M4" s="2612"/>
      <c r="N4" s="2612"/>
      <c r="O4" s="2612"/>
      <c r="P4" s="2612"/>
      <c r="Q4" s="2613"/>
      <c r="R4" s="2614">
        <f>'数据-汇总表'!D3</f>
        <v>0</v>
      </c>
      <c r="S4" s="2592"/>
      <c r="T4" s="2592"/>
      <c r="U4" s="2592"/>
      <c r="V4" s="2600"/>
    </row>
    <row r="5" spans="1:22" s="2604" customFormat="1" ht="13.15" customHeight="1" thickBot="1">
      <c r="A5" s="2615" t="s">
        <v>2321</v>
      </c>
      <c r="B5" s="2616">
        <f>'数据-汇总表'!D3</f>
        <v>0</v>
      </c>
      <c r="C5" s="2595"/>
      <c r="D5" s="2617"/>
      <c r="E5" s="2597"/>
      <c r="F5" s="2597"/>
      <c r="G5" s="2598"/>
      <c r="H5" s="2599"/>
      <c r="I5" s="2600"/>
      <c r="J5" s="2618" t="s">
        <v>2322</v>
      </c>
      <c r="K5" s="2619"/>
      <c r="L5" s="2619"/>
      <c r="M5" s="2620"/>
      <c r="N5" s="2620"/>
      <c r="O5" s="2620"/>
      <c r="P5" s="2620"/>
      <c r="Q5" s="2620"/>
      <c r="R5" s="2603">
        <f>SUM(R14,R19,R24,R25,R27,R28)</f>
        <v>12359</v>
      </c>
      <c r="S5" s="2592"/>
      <c r="T5" s="2592" t="s">
        <v>2323</v>
      </c>
      <c r="U5" s="2592">
        <f>ROUND(R5*10000/365/R3,1)</f>
        <v>6.4</v>
      </c>
      <c r="V5" s="2600"/>
    </row>
    <row r="6" spans="1:22" s="2604" customFormat="1" ht="13.15" customHeight="1" thickBot="1">
      <c r="A6" s="3506" t="s">
        <v>2324</v>
      </c>
      <c r="B6" s="3507"/>
      <c r="C6" s="3508"/>
      <c r="D6" s="2621">
        <f>R5</f>
        <v>12359</v>
      </c>
      <c r="E6" s="2622"/>
      <c r="F6" s="2623"/>
      <c r="G6" s="2624"/>
      <c r="H6" s="2599"/>
      <c r="I6" s="2600"/>
      <c r="J6" s="3509">
        <v>1</v>
      </c>
      <c r="K6" s="3510"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 ca="1">SUM(D9,D10,D11,D17,0)</f>
        <v>6197</v>
      </c>
      <c r="E7" s="2631">
        <f ca="1">E9+E10+E11+E17</f>
        <v>0.50138360708795215</v>
      </c>
      <c r="F7" s="2632"/>
      <c r="G7" s="2633"/>
      <c r="H7" s="2599"/>
      <c r="I7" s="2600"/>
      <c r="J7" s="3509"/>
      <c r="K7" s="3511"/>
      <c r="L7" s="3193" t="s">
        <v>4604</v>
      </c>
      <c r="M7" s="2635">
        <v>316</v>
      </c>
      <c r="N7" s="2611">
        <v>578</v>
      </c>
      <c r="O7" s="2636">
        <v>1</v>
      </c>
      <c r="P7" s="2636">
        <f>1-5.4%</f>
        <v>0.94599999999999995</v>
      </c>
      <c r="Q7" s="2637">
        <v>365</v>
      </c>
      <c r="R7" s="2638">
        <f>ROUND(M7*N7*O7*P7*Q7/10000,0)</f>
        <v>6307</v>
      </c>
      <c r="S7" s="2592"/>
      <c r="T7" s="2592" t="s">
        <v>2335</v>
      </c>
      <c r="U7" s="2592"/>
      <c r="V7" s="2600"/>
    </row>
    <row r="8" spans="1:22" s="2604" customFormat="1" ht="13.15" customHeight="1">
      <c r="A8" s="2639" t="s">
        <v>2336</v>
      </c>
      <c r="B8" s="3513" t="s">
        <v>2337</v>
      </c>
      <c r="C8" s="3514"/>
      <c r="D8" s="2640" t="s">
        <v>2338</v>
      </c>
      <c r="E8" s="2641" t="s">
        <v>2339</v>
      </c>
      <c r="F8" s="2642" t="s">
        <v>2340</v>
      </c>
      <c r="G8" s="2643"/>
      <c r="H8" s="2599"/>
      <c r="I8" s="2600"/>
      <c r="J8" s="3509"/>
      <c r="K8" s="3511"/>
      <c r="L8" s="3193" t="s">
        <v>4605</v>
      </c>
      <c r="M8" s="2635">
        <v>11</v>
      </c>
      <c r="N8" s="2611">
        <v>558</v>
      </c>
      <c r="O8" s="2636">
        <v>1</v>
      </c>
      <c r="P8" s="2636">
        <f>1-18.2%</f>
        <v>0.81800000000000006</v>
      </c>
      <c r="Q8" s="2637">
        <v>365</v>
      </c>
      <c r="R8" s="2638">
        <f t="shared" ref="R8:R13" si="0">ROUND(M8*N8*O8*P8*Q8/10000,0)</f>
        <v>183</v>
      </c>
      <c r="S8" s="2592"/>
      <c r="T8" s="2592" t="s">
        <v>2341</v>
      </c>
      <c r="U8" s="2592"/>
      <c r="V8" s="2600"/>
    </row>
    <row r="9" spans="1:22" s="2604" customFormat="1" ht="13.15" customHeight="1">
      <c r="A9" s="2639">
        <v>1</v>
      </c>
      <c r="B9" s="3513" t="s">
        <v>2342</v>
      </c>
      <c r="C9" s="3514"/>
      <c r="D9" s="2640">
        <f>ROUND(D6*E9,0)</f>
        <v>2472</v>
      </c>
      <c r="E9" s="2644">
        <v>0.2</v>
      </c>
      <c r="F9" s="2645" t="s">
        <v>2343</v>
      </c>
      <c r="G9" s="2624"/>
      <c r="H9" s="2599"/>
      <c r="I9" s="2600"/>
      <c r="J9" s="3509"/>
      <c r="K9" s="3511"/>
      <c r="L9" s="3193" t="s">
        <v>4606</v>
      </c>
      <c r="M9" s="2635">
        <v>104</v>
      </c>
      <c r="N9" s="2611">
        <v>618</v>
      </c>
      <c r="O9" s="2636">
        <v>1</v>
      </c>
      <c r="P9" s="2636">
        <f>1-16.3%</f>
        <v>0.83699999999999997</v>
      </c>
      <c r="Q9" s="2637">
        <v>365</v>
      </c>
      <c r="R9" s="2638">
        <f t="shared" si="0"/>
        <v>1964</v>
      </c>
      <c r="S9" s="2592"/>
      <c r="T9" s="2592"/>
      <c r="U9" s="2592"/>
      <c r="V9" s="2600"/>
    </row>
    <row r="10" spans="1:22" s="2604" customFormat="1" ht="13.15" customHeight="1">
      <c r="A10" s="2639">
        <v>2</v>
      </c>
      <c r="B10" s="3513" t="s">
        <v>2344</v>
      </c>
      <c r="C10" s="3514"/>
      <c r="D10" s="2640">
        <f>ROUND(D6*E10,0)</f>
        <v>1854</v>
      </c>
      <c r="E10" s="2644">
        <v>0.15</v>
      </c>
      <c r="F10" s="2645" t="s">
        <v>2345</v>
      </c>
      <c r="G10" s="2624"/>
      <c r="H10" s="2599"/>
      <c r="I10" s="2600"/>
      <c r="J10" s="3509"/>
      <c r="K10" s="3511"/>
      <c r="L10" s="3193" t="s">
        <v>4607</v>
      </c>
      <c r="M10" s="2635">
        <v>12</v>
      </c>
      <c r="N10" s="2611">
        <v>628</v>
      </c>
      <c r="O10" s="2636">
        <v>1</v>
      </c>
      <c r="P10" s="2636">
        <f>1-16.7%</f>
        <v>0.83299999999999996</v>
      </c>
      <c r="Q10" s="2637">
        <v>365</v>
      </c>
      <c r="R10" s="2638">
        <f t="shared" si="0"/>
        <v>229</v>
      </c>
      <c r="S10" s="2592"/>
      <c r="T10" s="2592"/>
      <c r="U10" s="2592"/>
      <c r="V10" s="2600"/>
    </row>
    <row r="11" spans="1:22" s="2604" customFormat="1" ht="13.15" customHeight="1">
      <c r="A11" s="2639">
        <v>3</v>
      </c>
      <c r="B11" s="3513" t="s">
        <v>2346</v>
      </c>
      <c r="C11" s="3514"/>
      <c r="D11" s="2640">
        <f ca="1">D12+D14+D15+D16</f>
        <v>1253</v>
      </c>
      <c r="E11" s="2646">
        <f ca="1">D11/D6</f>
        <v>0.1013836070879521</v>
      </c>
      <c r="F11" s="2642"/>
      <c r="G11" s="2643"/>
      <c r="H11" s="2599"/>
      <c r="I11" s="2600"/>
      <c r="J11" s="3509"/>
      <c r="K11" s="3511"/>
      <c r="L11" s="3193" t="s">
        <v>4608</v>
      </c>
      <c r="M11" s="2635">
        <v>22</v>
      </c>
      <c r="N11" s="2611">
        <v>788</v>
      </c>
      <c r="O11" s="2636">
        <v>1</v>
      </c>
      <c r="P11" s="2636">
        <f>1-50%</f>
        <v>0.5</v>
      </c>
      <c r="Q11" s="2637">
        <v>365</v>
      </c>
      <c r="R11" s="2638">
        <f t="shared" si="0"/>
        <v>316</v>
      </c>
      <c r="S11" s="2592"/>
      <c r="T11" s="2592"/>
      <c r="U11" s="2592"/>
      <c r="V11" s="2600"/>
    </row>
    <row r="12" spans="1:22" s="2604" customFormat="1" ht="13.15" customHeight="1">
      <c r="A12" s="2647" t="s">
        <v>2347</v>
      </c>
      <c r="B12" s="3515" t="s">
        <v>2348</v>
      </c>
      <c r="C12" s="3516"/>
      <c r="D12" s="2648">
        <f ca="1">ROUND(D13*1.2%*(1-30%),0)</f>
        <v>573</v>
      </c>
      <c r="E12" s="2649">
        <v>1.2E-2</v>
      </c>
      <c r="F12" s="2642" t="s">
        <v>2349</v>
      </c>
      <c r="G12" s="2643"/>
      <c r="H12" s="2599"/>
      <c r="I12" s="2600"/>
      <c r="J12" s="3509"/>
      <c r="K12" s="3511"/>
      <c r="L12" s="2634"/>
      <c r="M12" s="2635"/>
      <c r="N12" s="2611"/>
      <c r="O12" s="2636"/>
      <c r="P12" s="2636"/>
      <c r="Q12" s="2637">
        <v>365</v>
      </c>
      <c r="R12" s="2638">
        <f t="shared" si="0"/>
        <v>0</v>
      </c>
      <c r="S12" s="2592"/>
      <c r="T12" s="2592"/>
      <c r="U12" s="2592"/>
      <c r="V12" s="2600"/>
    </row>
    <row r="13" spans="1:22" s="2604" customFormat="1" ht="13.15" customHeight="1">
      <c r="A13" s="2647"/>
      <c r="B13" s="2650"/>
      <c r="C13" s="2651" t="s">
        <v>2350</v>
      </c>
      <c r="D13" s="2652">
        <f ca="1">成本法!C49</f>
        <v>68181</v>
      </c>
      <c r="E13" s="2653"/>
      <c r="F13" s="2642"/>
      <c r="G13" s="2643"/>
      <c r="H13" s="2599"/>
      <c r="I13" s="2600"/>
      <c r="J13" s="3509"/>
      <c r="K13" s="3511"/>
      <c r="L13" s="2634"/>
      <c r="M13" s="2635"/>
      <c r="N13" s="2611"/>
      <c r="O13" s="2636"/>
      <c r="P13" s="2636"/>
      <c r="Q13" s="2637">
        <v>365</v>
      </c>
      <c r="R13" s="2638">
        <f t="shared" si="0"/>
        <v>0</v>
      </c>
      <c r="S13" s="2592"/>
      <c r="T13" s="2592"/>
      <c r="U13" s="2592"/>
      <c r="V13" s="2600"/>
    </row>
    <row r="14" spans="1:22" s="2604" customFormat="1" ht="13.15" customHeight="1">
      <c r="A14" s="2647" t="s">
        <v>2351</v>
      </c>
      <c r="B14" s="3515" t="s">
        <v>2352</v>
      </c>
      <c r="C14" s="3516"/>
      <c r="D14" s="2648">
        <f>ROUND(E14*B5/10000,0)</f>
        <v>0</v>
      </c>
      <c r="E14" s="2637">
        <f>'数据-取费表'!B54</f>
        <v>30</v>
      </c>
      <c r="F14" s="2642" t="s">
        <v>2353</v>
      </c>
      <c r="G14" s="2643"/>
      <c r="H14" s="2599"/>
      <c r="I14" s="2600"/>
      <c r="J14" s="3509"/>
      <c r="K14" s="3512"/>
      <c r="L14" s="2654" t="s">
        <v>2354</v>
      </c>
      <c r="M14" s="2655">
        <f>SUM(M7:M13)</f>
        <v>465</v>
      </c>
      <c r="N14" s="2655">
        <f>ROUND((N7*M7+N8*M8+N9*M9+N10*M10+N11*M11+N12*M12+N13*M13)/M14,0)</f>
        <v>598</v>
      </c>
      <c r="O14" s="2656"/>
      <c r="P14" s="2656"/>
      <c r="Q14" s="2657"/>
      <c r="R14" s="2603">
        <f>SUM(R7:R13)</f>
        <v>8999</v>
      </c>
      <c r="S14" s="2592"/>
      <c r="T14" s="2592"/>
      <c r="U14" s="2592"/>
      <c r="V14" s="2600"/>
    </row>
    <row r="15" spans="1:22" s="2604" customFormat="1" ht="13.15" customHeight="1">
      <c r="A15" s="2647" t="s">
        <v>2355</v>
      </c>
      <c r="B15" s="3515" t="s">
        <v>2356</v>
      </c>
      <c r="C15" s="3516"/>
      <c r="D15" s="2648">
        <f>ROUND(D6*E15,0)</f>
        <v>680</v>
      </c>
      <c r="E15" s="2649">
        <v>5.5E-2</v>
      </c>
      <c r="F15" s="2642" t="s">
        <v>2357</v>
      </c>
      <c r="G15" s="2624"/>
      <c r="H15" s="2599"/>
      <c r="I15" s="2600"/>
      <c r="J15" s="3509">
        <v>2</v>
      </c>
      <c r="K15" s="3510" t="s">
        <v>2358</v>
      </c>
      <c r="L15" s="2634" t="s">
        <v>2359</v>
      </c>
      <c r="M15" s="2635" t="s">
        <v>2360</v>
      </c>
      <c r="N15" s="2635" t="s">
        <v>2361</v>
      </c>
      <c r="O15" s="2636" t="s">
        <v>2362</v>
      </c>
      <c r="P15" s="2636" t="s">
        <v>2331</v>
      </c>
      <c r="Q15" s="2611" t="s">
        <v>2363</v>
      </c>
      <c r="R15" s="2658" t="s">
        <v>2332</v>
      </c>
      <c r="S15" s="2592"/>
      <c r="T15" s="2592"/>
      <c r="U15" s="2592"/>
      <c r="V15" s="2600"/>
    </row>
    <row r="16" spans="1:22" s="2604" customFormat="1" ht="13.15" customHeight="1">
      <c r="A16" s="2647" t="s">
        <v>2364</v>
      </c>
      <c r="B16" s="3515" t="s">
        <v>2365</v>
      </c>
      <c r="C16" s="3516"/>
      <c r="D16" s="2659">
        <f>D6*E16</f>
        <v>0</v>
      </c>
      <c r="E16" s="2660"/>
      <c r="F16" s="2645" t="s">
        <v>2366</v>
      </c>
      <c r="G16" s="2624"/>
      <c r="H16" s="2599"/>
      <c r="I16" s="2600"/>
      <c r="J16" s="3509"/>
      <c r="K16" s="3511"/>
      <c r="L16" s="3193" t="s">
        <v>4609</v>
      </c>
      <c r="M16" s="2635">
        <f>135*3</f>
        <v>405</v>
      </c>
      <c r="N16" s="2635">
        <v>140</v>
      </c>
      <c r="O16" s="2636">
        <v>0.46</v>
      </c>
      <c r="P16" s="2637">
        <v>365</v>
      </c>
      <c r="Q16" s="2611"/>
      <c r="R16" s="2658">
        <f>ROUND(M16*N16*O16*P16/10000,0)</f>
        <v>952</v>
      </c>
      <c r="S16" s="2592"/>
      <c r="T16" s="2592"/>
      <c r="U16" s="2592"/>
      <c r="V16" s="2600"/>
    </row>
    <row r="17" spans="1:22" s="2604" customFormat="1" ht="13.15" customHeight="1" thickBot="1">
      <c r="A17" s="2661">
        <v>4</v>
      </c>
      <c r="B17" s="3517" t="s">
        <v>2367</v>
      </c>
      <c r="C17" s="3518"/>
      <c r="D17" s="2662">
        <f>ROUND(D6*E17,0)</f>
        <v>618</v>
      </c>
      <c r="E17" s="2663">
        <v>0.05</v>
      </c>
      <c r="F17" s="2664" t="s">
        <v>2368</v>
      </c>
      <c r="G17" s="2624"/>
      <c r="H17" s="2599"/>
      <c r="I17" s="2600"/>
      <c r="J17" s="3509"/>
      <c r="K17" s="3511"/>
      <c r="L17" s="2634"/>
      <c r="M17" s="2635"/>
      <c r="N17" s="2635"/>
      <c r="O17" s="2636"/>
      <c r="P17" s="2637">
        <v>365</v>
      </c>
      <c r="Q17" s="2611"/>
      <c r="R17" s="2658">
        <f>ROUND(M17*N17*O17*P17/10000,0)</f>
        <v>0</v>
      </c>
      <c r="S17" s="2592"/>
      <c r="T17" s="2592"/>
      <c r="U17" s="2592"/>
      <c r="V17" s="2600"/>
    </row>
    <row r="18" spans="1:22" s="2604" customFormat="1" ht="13.15" customHeight="1" thickBot="1">
      <c r="A18" s="2627" t="s">
        <v>2369</v>
      </c>
      <c r="B18" s="2628"/>
      <c r="C18" s="2628"/>
      <c r="D18" s="2665">
        <f>ROUND(D6*E18,0)</f>
        <v>618</v>
      </c>
      <c r="E18" s="2666">
        <v>0.05</v>
      </c>
      <c r="F18" s="2667" t="s">
        <v>2370</v>
      </c>
      <c r="G18" s="2624"/>
      <c r="H18" s="2599"/>
      <c r="I18" s="2600"/>
      <c r="J18" s="3509"/>
      <c r="K18" s="3511"/>
      <c r="L18" s="2634" t="s">
        <v>2371</v>
      </c>
      <c r="M18" s="2635"/>
      <c r="N18" s="2635"/>
      <c r="O18" s="2636"/>
      <c r="P18" s="2637">
        <v>365</v>
      </c>
      <c r="Q18" s="2611"/>
      <c r="R18" s="2658">
        <f>ROUND(M18*N18*O18*P18/10000,0)</f>
        <v>0</v>
      </c>
      <c r="S18" s="2592"/>
      <c r="T18" s="2592"/>
      <c r="U18" s="2592"/>
      <c r="V18" s="2600"/>
    </row>
    <row r="19" spans="1:22" s="2604" customFormat="1" ht="13.15" customHeight="1" thickBot="1">
      <c r="A19" s="2668" t="s">
        <v>2372</v>
      </c>
      <c r="B19" s="2622"/>
      <c r="C19" s="2622"/>
      <c r="D19" s="2622"/>
      <c r="E19" s="2622"/>
      <c r="F19" s="2623"/>
      <c r="G19" s="2643"/>
      <c r="H19" s="2599"/>
      <c r="I19" s="2600"/>
      <c r="J19" s="3509"/>
      <c r="K19" s="3512"/>
      <c r="L19" s="2654" t="s">
        <v>2354</v>
      </c>
      <c r="M19" s="2655"/>
      <c r="N19" s="2655">
        <f>SUM(N16:N18)</f>
        <v>140</v>
      </c>
      <c r="O19" s="2656"/>
      <c r="P19" s="2669" t="s">
        <v>2413</v>
      </c>
      <c r="Q19" s="2636">
        <v>0</v>
      </c>
      <c r="R19" s="2670">
        <f>ROUND(IF(P19="按比例",R14*Q19,SUM(R16:R18)),0)</f>
        <v>952</v>
      </c>
      <c r="S19" s="2592"/>
      <c r="T19" s="2592"/>
      <c r="U19" s="2592"/>
      <c r="V19" s="2600"/>
    </row>
    <row r="20" spans="1:22" s="2604" customFormat="1" ht="13.15" customHeight="1">
      <c r="A20" s="2627"/>
      <c r="B20" s="2628"/>
      <c r="C20" s="2628"/>
      <c r="D20" s="2628"/>
      <c r="E20" s="2628"/>
      <c r="F20" s="2671"/>
      <c r="G20" s="2643"/>
      <c r="H20" s="2599"/>
      <c r="I20" s="2600"/>
      <c r="J20" s="3509">
        <v>3</v>
      </c>
      <c r="K20" s="3510" t="s">
        <v>2373</v>
      </c>
      <c r="L20" s="2634" t="s">
        <v>2374</v>
      </c>
      <c r="M20" s="2635" t="s">
        <v>2375</v>
      </c>
      <c r="N20" s="2672" t="s">
        <v>2376</v>
      </c>
      <c r="O20" s="2636" t="s">
        <v>2377</v>
      </c>
      <c r="P20" s="2637" t="s">
        <v>2378</v>
      </c>
      <c r="Q20" s="2611" t="s">
        <v>2379</v>
      </c>
      <c r="R20" s="2658" t="s">
        <v>2380</v>
      </c>
      <c r="S20" s="2592"/>
      <c r="T20" s="2592"/>
      <c r="U20" s="2592"/>
      <c r="V20" s="2600"/>
    </row>
    <row r="21" spans="1:22" s="2604" customFormat="1" ht="13.15" customHeight="1">
      <c r="A21" s="2627"/>
      <c r="B21" s="2628"/>
      <c r="C21" s="2673" t="s">
        <v>2381</v>
      </c>
      <c r="D21" s="2674" t="s">
        <v>2382</v>
      </c>
      <c r="E21" s="2675" t="s">
        <v>2383</v>
      </c>
      <c r="F21" s="2671"/>
      <c r="G21" s="2643"/>
      <c r="H21" s="2599"/>
      <c r="I21" s="2600"/>
      <c r="J21" s="3509"/>
      <c r="K21" s="3511"/>
      <c r="L21" s="3193" t="s">
        <v>4610</v>
      </c>
      <c r="M21" s="2635">
        <v>1</v>
      </c>
      <c r="N21" s="2635">
        <v>29000</v>
      </c>
      <c r="O21" s="2636">
        <v>0.33</v>
      </c>
      <c r="P21" s="2637">
        <v>365</v>
      </c>
      <c r="Q21" s="2611"/>
      <c r="R21" s="2676">
        <f>ROUND(M21*N21*O21*P21/10000,0)</f>
        <v>349</v>
      </c>
      <c r="S21" s="2592"/>
      <c r="T21" s="2592"/>
      <c r="U21" s="2592"/>
      <c r="V21" s="2600"/>
    </row>
    <row r="22" spans="1:22" s="2604" customFormat="1" ht="13.15" customHeight="1">
      <c r="A22" s="2627"/>
      <c r="B22" s="2628"/>
      <c r="C22" s="2677" t="s">
        <v>2384</v>
      </c>
      <c r="D22" s="2678" t="s">
        <v>2385</v>
      </c>
      <c r="E22" s="2679" t="s">
        <v>2386</v>
      </c>
      <c r="F22" s="2671"/>
      <c r="G22" s="2592"/>
      <c r="H22" s="2599"/>
      <c r="I22" s="2600"/>
      <c r="J22" s="3509"/>
      <c r="K22" s="3511"/>
      <c r="L22" s="3193" t="s">
        <v>4611</v>
      </c>
      <c r="M22" s="2635">
        <v>4</v>
      </c>
      <c r="N22" s="2635">
        <v>8500</v>
      </c>
      <c r="O22" s="2636">
        <v>0.4</v>
      </c>
      <c r="P22" s="2637">
        <v>365</v>
      </c>
      <c r="Q22" s="2611"/>
      <c r="R22" s="2676">
        <f>ROUND(M22*N22*O22*P22/10000,0)</f>
        <v>496</v>
      </c>
      <c r="S22" s="2592"/>
      <c r="T22" s="2592"/>
      <c r="U22" s="2592"/>
      <c r="V22" s="2600"/>
    </row>
    <row r="23" spans="1:22" s="2604" customFormat="1" ht="13.15" customHeight="1">
      <c r="A23" s="2680">
        <v>1</v>
      </c>
      <c r="B23" s="2681" t="s">
        <v>2387</v>
      </c>
      <c r="C23" s="2682">
        <f>D6</f>
        <v>12359</v>
      </c>
      <c r="D23" s="2683">
        <f>C23*(1+D24)</f>
        <v>12359</v>
      </c>
      <c r="E23" s="2684">
        <f>D23*(1+E24)</f>
        <v>12359</v>
      </c>
      <c r="F23" s="2685"/>
      <c r="G23" s="2686"/>
      <c r="H23" s="2599"/>
      <c r="I23" s="2600"/>
      <c r="J23" s="3509"/>
      <c r="K23" s="3511"/>
      <c r="L23" s="2634"/>
      <c r="M23" s="2635"/>
      <c r="N23" s="2635"/>
      <c r="O23" s="2636"/>
      <c r="P23" s="2637">
        <v>365</v>
      </c>
      <c r="Q23" s="2611"/>
      <c r="R23" s="2676">
        <f>ROUND(M23*N23*O23*P23/10000,0)</f>
        <v>0</v>
      </c>
      <c r="S23" s="2592"/>
      <c r="T23" s="2592"/>
      <c r="U23" s="2592"/>
      <c r="V23" s="2600"/>
    </row>
    <row r="24" spans="1:22" s="2604" customFormat="1" ht="13.15" customHeight="1">
      <c r="A24" s="2687"/>
      <c r="B24" s="2688" t="s">
        <v>2388</v>
      </c>
      <c r="C24" s="2689"/>
      <c r="D24" s="2690"/>
      <c r="E24" s="2691"/>
      <c r="F24" s="2692"/>
      <c r="G24" s="2686"/>
      <c r="H24" s="2599"/>
      <c r="I24" s="2600"/>
      <c r="J24" s="3509"/>
      <c r="K24" s="3512"/>
      <c r="L24" s="2654" t="s">
        <v>2354</v>
      </c>
      <c r="M24" s="2655">
        <f>SUM(M21:M23)</f>
        <v>5</v>
      </c>
      <c r="N24" s="2655"/>
      <c r="O24" s="2656"/>
      <c r="P24" s="2669" t="s">
        <v>2413</v>
      </c>
      <c r="Q24" s="2636">
        <v>0</v>
      </c>
      <c r="R24" s="2670">
        <f>ROUND(IF(P24="按比例",R14*Q24,SUM(R21:R23)),0)</f>
        <v>845</v>
      </c>
      <c r="S24" s="2592"/>
      <c r="T24" s="2592"/>
      <c r="U24" s="2592"/>
      <c r="V24" s="2600"/>
    </row>
    <row r="25" spans="1:22" s="2699" customFormat="1" ht="13.15" customHeight="1">
      <c r="A25" s="2687"/>
      <c r="B25" s="2688"/>
      <c r="C25" s="2689"/>
      <c r="D25" s="2690"/>
      <c r="E25" s="2691"/>
      <c r="F25" s="2692"/>
      <c r="G25" s="2592"/>
      <c r="H25" s="2599"/>
      <c r="I25" s="2600"/>
      <c r="J25" s="2693">
        <v>4</v>
      </c>
      <c r="K25" s="2694" t="s">
        <v>2389</v>
      </c>
      <c r="L25" s="2695"/>
      <c r="M25" s="2695"/>
      <c r="N25" s="2695"/>
      <c r="O25" s="2695"/>
      <c r="P25" s="2696"/>
      <c r="Q25" s="2697">
        <v>0</v>
      </c>
      <c r="R25" s="2670">
        <v>22</v>
      </c>
      <c r="S25" s="2592"/>
      <c r="T25" s="2592"/>
      <c r="U25" s="2592"/>
      <c r="V25" s="2698"/>
    </row>
    <row r="26" spans="1:22" s="2699" customFormat="1" ht="13.15" customHeight="1">
      <c r="A26" s="2680">
        <v>2</v>
      </c>
      <c r="B26" s="2681" t="s">
        <v>2390</v>
      </c>
      <c r="C26" s="2682">
        <f ca="1">D7</f>
        <v>6197</v>
      </c>
      <c r="D26" s="2683">
        <f>D23*D27</f>
        <v>0</v>
      </c>
      <c r="E26" s="2684">
        <f>E23*E27</f>
        <v>0</v>
      </c>
      <c r="F26" s="2685"/>
      <c r="G26" s="2686"/>
      <c r="H26" s="2599"/>
      <c r="I26" s="2600"/>
      <c r="J26" s="3519">
        <v>5</v>
      </c>
      <c r="K26" s="2700" t="s">
        <v>2391</v>
      </c>
      <c r="L26" s="2701"/>
      <c r="M26" s="2702"/>
      <c r="N26" s="2703" t="s">
        <v>2392</v>
      </c>
      <c r="O26" s="2703" t="s">
        <v>2393</v>
      </c>
      <c r="P26" s="2704" t="s">
        <v>2394</v>
      </c>
      <c r="Q26" s="2704" t="s">
        <v>2395</v>
      </c>
      <c r="R26" s="2609" t="s">
        <v>2332</v>
      </c>
      <c r="S26" s="2643"/>
      <c r="T26" s="2643"/>
      <c r="U26" s="2643"/>
      <c r="V26" s="2698"/>
    </row>
    <row r="27" spans="1:22" s="2604" customFormat="1" ht="13.15" customHeight="1">
      <c r="A27" s="2687"/>
      <c r="B27" s="2688" t="s">
        <v>2396</v>
      </c>
      <c r="C27" s="2705">
        <f ca="1">E7</f>
        <v>0.50138360708795215</v>
      </c>
      <c r="D27" s="2690"/>
      <c r="E27" s="2691"/>
      <c r="F27" s="2692"/>
      <c r="G27" s="2686"/>
      <c r="H27" s="2706"/>
      <c r="I27" s="2698"/>
      <c r="J27" s="3520"/>
      <c r="K27" s="2707"/>
      <c r="L27" s="2708"/>
      <c r="M27" s="2709"/>
      <c r="N27" s="2710"/>
      <c r="O27" s="2710"/>
      <c r="P27" s="2710"/>
      <c r="Q27" s="2711"/>
      <c r="R27" s="2670">
        <v>1541</v>
      </c>
      <c r="S27" s="2592"/>
      <c r="T27" s="2592"/>
      <c r="U27" s="2592"/>
      <c r="V27" s="2600"/>
    </row>
    <row r="28" spans="1:22" s="2699" customFormat="1" ht="13.15" customHeight="1" thickBot="1">
      <c r="A28" s="2687"/>
      <c r="B28" s="2688"/>
      <c r="C28" s="2705"/>
      <c r="D28" s="2690"/>
      <c r="E28" s="2691" t="s">
        <v>2397</v>
      </c>
      <c r="F28" s="2692"/>
      <c r="G28" s="2592"/>
      <c r="H28" s="2706"/>
      <c r="I28" s="2698"/>
      <c r="J28" s="2712">
        <v>6</v>
      </c>
      <c r="K28" s="2713" t="s">
        <v>2398</v>
      </c>
      <c r="L28" s="2714" t="s">
        <v>2399</v>
      </c>
      <c r="M28" s="2715"/>
      <c r="N28" s="2714" t="s">
        <v>2400</v>
      </c>
      <c r="O28" s="2716"/>
      <c r="P28" s="2714" t="s">
        <v>2401</v>
      </c>
      <c r="Q28" s="2717">
        <v>1.4999999999999999E-2</v>
      </c>
      <c r="R28" s="2718"/>
      <c r="S28" s="2592"/>
      <c r="T28" s="2592"/>
      <c r="U28" s="2592"/>
      <c r="V28" s="2698"/>
    </row>
    <row r="29" spans="1:22" s="2699" customFormat="1" ht="13.15" customHeight="1">
      <c r="A29" s="2680">
        <v>3</v>
      </c>
      <c r="B29" s="2681" t="s">
        <v>2402</v>
      </c>
      <c r="C29" s="2682">
        <f>C23*C30</f>
        <v>617.95000000000005</v>
      </c>
      <c r="D29" s="2683">
        <f>D23*C30</f>
        <v>617.95000000000005</v>
      </c>
      <c r="E29" s="2684">
        <f>E23*C30</f>
        <v>617.95000000000005</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2396</v>
      </c>
      <c r="C30" s="2705">
        <f>E18</f>
        <v>0.05</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2403</v>
      </c>
      <c r="K31" s="2590"/>
      <c r="L31" s="2590"/>
      <c r="M31" s="2590"/>
      <c r="N31" s="2590"/>
      <c r="O31" s="2590"/>
      <c r="P31" s="2590"/>
      <c r="Q31" s="2590"/>
      <c r="R31" s="2591"/>
      <c r="S31" s="2592"/>
      <c r="T31" s="2592"/>
      <c r="U31" s="2592"/>
      <c r="V31" s="2698"/>
    </row>
    <row r="32" spans="1:22" s="2699" customFormat="1" ht="13.15" customHeight="1">
      <c r="A32" s="2680">
        <v>4</v>
      </c>
      <c r="B32" s="2681" t="s">
        <v>2404</v>
      </c>
      <c r="C32" s="2682">
        <f ca="1">C23-C26-C29</f>
        <v>5544.05</v>
      </c>
      <c r="D32" s="2683">
        <f>D23-D26-D29</f>
        <v>11741.05</v>
      </c>
      <c r="E32" s="2684">
        <f>E23-E26-E29</f>
        <v>11741.05</v>
      </c>
      <c r="F32" s="2685"/>
      <c r="G32" s="2592"/>
      <c r="H32" s="2599"/>
      <c r="I32" s="2600"/>
      <c r="J32" s="3502" t="s">
        <v>2308</v>
      </c>
      <c r="K32" s="3503"/>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504" t="s">
        <v>2318</v>
      </c>
      <c r="K33" s="3505"/>
      <c r="L33" s="2607"/>
      <c r="M33" s="2607"/>
      <c r="N33" s="2607"/>
      <c r="O33" s="2607"/>
      <c r="P33" s="2607"/>
      <c r="Q33" s="2608"/>
      <c r="R33" s="2724">
        <f>SUM(L33:Q33)</f>
        <v>0</v>
      </c>
      <c r="S33" s="2592"/>
      <c r="T33" s="2592"/>
      <c r="U33" s="2592"/>
      <c r="V33" s="2600"/>
    </row>
    <row r="34" spans="1:23" s="2604" customFormat="1" ht="13.15" customHeight="1">
      <c r="A34" s="2680">
        <v>5</v>
      </c>
      <c r="B34" s="2681" t="s">
        <v>2405</v>
      </c>
      <c r="C34" s="2725">
        <v>5.5E-2</v>
      </c>
      <c r="D34" s="2726">
        <v>5.5E-2</v>
      </c>
      <c r="E34" s="2727">
        <v>5.5E-2</v>
      </c>
      <c r="F34" s="2685"/>
      <c r="G34" s="2592"/>
      <c r="H34" s="2706"/>
      <c r="I34" s="2698"/>
      <c r="J34" s="3504" t="s">
        <v>2320</v>
      </c>
      <c r="K34" s="3505"/>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2406</v>
      </c>
      <c r="C35" s="2729">
        <v>0.02</v>
      </c>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2407</v>
      </c>
      <c r="C36" s="2735">
        <f>项目基本情况!D15</f>
        <v>18.77</v>
      </c>
      <c r="D36" s="2736"/>
      <c r="E36" s="2737"/>
      <c r="F36" s="2738">
        <f>C36+D36+E36</f>
        <v>18.77</v>
      </c>
      <c r="G36" s="2592"/>
      <c r="H36" s="2599"/>
      <c r="I36" s="2600"/>
      <c r="J36" s="3509">
        <v>1</v>
      </c>
      <c r="K36" s="3510" t="s">
        <v>2408</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509"/>
      <c r="K37" s="3511"/>
      <c r="L37" s="2634"/>
      <c r="M37" s="2635"/>
      <c r="N37" s="2611"/>
      <c r="O37" s="2636"/>
      <c r="P37" s="2636"/>
      <c r="Q37" s="2637"/>
      <c r="R37" s="2638"/>
      <c r="S37" s="2592"/>
      <c r="T37" s="2592" t="s">
        <v>2335</v>
      </c>
      <c r="U37" s="2592"/>
      <c r="V37" s="2600"/>
    </row>
    <row r="38" spans="1:23" s="2604" customFormat="1" ht="13.15" customHeight="1">
      <c r="A38" s="2680">
        <v>8</v>
      </c>
      <c r="B38" s="2681"/>
      <c r="C38" s="2640">
        <f ca="1">ROUND(C32*(1-((1+C35)/(1+C34))^C36)/(C34-C35),0)</f>
        <v>74313</v>
      </c>
      <c r="D38" s="2640">
        <f>IF(D23=0,0,ROUND(D32*(1-((1+D35)/(1+D34))^D36)/(D34-D35),0))</f>
        <v>0</v>
      </c>
      <c r="E38" s="2640">
        <f>IF(E23=0,0,ROUND(E32*(1-((1+E35)/(1+E34))^E36)/(E34-E35),0))</f>
        <v>0</v>
      </c>
      <c r="F38" s="2685"/>
      <c r="G38" s="2592"/>
      <c r="H38" s="2599"/>
      <c r="I38" s="2600"/>
      <c r="J38" s="3509"/>
      <c r="K38" s="3511"/>
      <c r="L38" s="2634"/>
      <c r="M38" s="2635"/>
      <c r="N38" s="2611"/>
      <c r="O38" s="2636"/>
      <c r="P38" s="2636"/>
      <c r="Q38" s="2637"/>
      <c r="R38" s="2638"/>
      <c r="S38" s="2592"/>
      <c r="T38" s="2592" t="s">
        <v>2341</v>
      </c>
      <c r="U38" s="2592"/>
      <c r="V38" s="2600"/>
    </row>
    <row r="39" spans="1:23" s="2604" customFormat="1" ht="13.15" customHeight="1">
      <c r="A39" s="2680">
        <v>9</v>
      </c>
      <c r="B39" s="2681" t="s">
        <v>2409</v>
      </c>
      <c r="C39" s="2648">
        <f ca="1">C38</f>
        <v>74313</v>
      </c>
      <c r="D39" s="2681">
        <f>D38/(1+D34)^C36</f>
        <v>0</v>
      </c>
      <c r="E39" s="2681">
        <f>E38/(1+E34)^(C36+D36)</f>
        <v>0</v>
      </c>
      <c r="F39" s="2685"/>
      <c r="G39" s="2600"/>
      <c r="H39" s="2599"/>
      <c r="I39" s="2600"/>
      <c r="J39" s="3509"/>
      <c r="K39" s="3511"/>
      <c r="L39" s="2634"/>
      <c r="M39" s="2635"/>
      <c r="N39" s="2611"/>
      <c r="O39" s="2636"/>
      <c r="P39" s="2636"/>
      <c r="Q39" s="2637"/>
      <c r="R39" s="2638"/>
      <c r="S39" s="2592"/>
      <c r="T39" s="2592"/>
      <c r="U39" s="2592"/>
      <c r="V39" s="2600"/>
    </row>
    <row r="40" spans="1:23" s="2604" customFormat="1" ht="13.15" customHeight="1">
      <c r="A40" s="2739">
        <v>10</v>
      </c>
      <c r="B40" s="2681" t="s">
        <v>2410</v>
      </c>
      <c r="C40" s="2740">
        <f ca="1">C39+D39+E39</f>
        <v>74313</v>
      </c>
      <c r="D40" s="2741"/>
      <c r="E40" s="2741"/>
      <c r="F40" s="2742"/>
      <c r="G40" s="2592"/>
      <c r="H40" s="2599"/>
      <c r="I40" s="2600"/>
      <c r="J40" s="3509"/>
      <c r="K40" s="3512"/>
      <c r="L40" s="2654" t="s">
        <v>2354</v>
      </c>
      <c r="M40" s="2655"/>
      <c r="N40" s="2655"/>
      <c r="O40" s="2656"/>
      <c r="P40" s="2656"/>
      <c r="Q40" s="2657"/>
      <c r="R40" s="2603">
        <f>SUM(R37:R39)</f>
        <v>0</v>
      </c>
      <c r="S40" s="2592"/>
      <c r="T40" s="2592"/>
      <c r="U40" s="2592"/>
      <c r="V40" s="2600"/>
    </row>
    <row r="41" spans="1:23" s="2604" customFormat="1" ht="13.15" customHeight="1" thickBot="1">
      <c r="A41" s="2743">
        <v>11</v>
      </c>
      <c r="B41" s="2744" t="s">
        <v>2411</v>
      </c>
      <c r="C41" s="2744">
        <f ca="1">ROUND(C40*10000/B4,0)</f>
        <v>14024</v>
      </c>
      <c r="D41" s="2745"/>
      <c r="E41" s="2745"/>
      <c r="F41" s="2746"/>
      <c r="G41" s="2599"/>
      <c r="H41" s="2599"/>
      <c r="I41" s="2600"/>
      <c r="J41" s="2693">
        <v>2</v>
      </c>
      <c r="K41" s="2694" t="s">
        <v>2389</v>
      </c>
      <c r="L41" s="2695"/>
      <c r="M41" s="2695"/>
      <c r="N41" s="2695"/>
      <c r="O41" s="2695"/>
      <c r="P41" s="2696"/>
      <c r="Q41" s="2697"/>
      <c r="R41" s="2670">
        <f>ROUND(R40*Q41,0)</f>
        <v>0</v>
      </c>
      <c r="S41" s="2592"/>
      <c r="T41" s="2592"/>
      <c r="U41" s="2643"/>
      <c r="V41" s="2600"/>
    </row>
    <row r="42" spans="1:23" s="2604" customFormat="1" ht="13.15" customHeight="1">
      <c r="G42" s="2599"/>
      <c r="H42" s="2599"/>
      <c r="I42" s="2600"/>
      <c r="J42" s="3519">
        <v>3</v>
      </c>
      <c r="K42" s="2700" t="s">
        <v>2391</v>
      </c>
      <c r="L42" s="2701"/>
      <c r="M42" s="2702"/>
      <c r="N42" s="2703" t="s">
        <v>2392</v>
      </c>
      <c r="O42" s="2703" t="s">
        <v>2393</v>
      </c>
      <c r="P42" s="2704" t="s">
        <v>2394</v>
      </c>
      <c r="Q42" s="2704" t="s">
        <v>2395</v>
      </c>
      <c r="R42" s="2609" t="s">
        <v>2332</v>
      </c>
      <c r="S42" s="2643"/>
      <c r="T42" s="2643"/>
      <c r="U42" s="2592"/>
      <c r="V42" s="2600"/>
    </row>
    <row r="43" spans="1:23" ht="13.15" customHeight="1">
      <c r="A43" s="2604"/>
      <c r="B43" s="2604"/>
      <c r="C43" s="2604"/>
      <c r="D43" s="2604"/>
      <c r="E43" s="2604"/>
      <c r="F43" s="2604"/>
      <c r="I43" s="2587"/>
      <c r="J43" s="3520"/>
      <c r="K43" s="2707"/>
      <c r="L43" s="2708"/>
      <c r="M43" s="2709"/>
      <c r="N43" s="2635"/>
      <c r="O43" s="2635"/>
      <c r="P43" s="2635"/>
      <c r="Q43" s="2697"/>
      <c r="R43" s="2670">
        <f>ROUND(O43*N43*P43*(1-Q43)/10000,0)</f>
        <v>0</v>
      </c>
      <c r="S43" s="2592"/>
      <c r="T43" s="2592"/>
      <c r="V43" s="2747"/>
      <c r="W43" s="2748"/>
    </row>
    <row r="44" spans="1:23" ht="13.15" customHeight="1" thickBot="1">
      <c r="J44" s="2712">
        <v>6</v>
      </c>
      <c r="K44" s="2713" t="s">
        <v>2398</v>
      </c>
      <c r="L44" s="2749" t="s">
        <v>2399</v>
      </c>
      <c r="M44" s="2715"/>
      <c r="N44" s="2749" t="s">
        <v>2400</v>
      </c>
      <c r="O44" s="2715"/>
      <c r="P44" s="2749" t="s">
        <v>2401</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D9" sqref="D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4620</v>
      </c>
      <c r="D1" s="1270" t="s">
        <v>43</v>
      </c>
      <c r="E1" s="1271" t="s">
        <v>678</v>
      </c>
      <c r="F1" s="998">
        <f ca="1">J53</f>
        <v>18.77</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188957</v>
      </c>
      <c r="C2" s="1288" t="s">
        <v>805</v>
      </c>
      <c r="D2" s="1288"/>
      <c r="E2" s="1294"/>
      <c r="F2" s="1295"/>
      <c r="G2" s="2478"/>
      <c r="H2" s="2468"/>
      <c r="I2" s="2468"/>
      <c r="J2" s="2468"/>
      <c r="K2" s="2469"/>
      <c r="L2" s="2468"/>
      <c r="M2" s="2468"/>
    </row>
    <row r="3" spans="1:37" ht="18" customHeight="1" thickBot="1">
      <c r="A3" s="1296" t="s">
        <v>806</v>
      </c>
      <c r="B3" s="1297">
        <f ca="1">IF(ISERROR(B2*10000/F43),0,ROUND(B2*10000/F43,0))</f>
        <v>35659</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17429</v>
      </c>
      <c r="D5" s="1272" t="s">
        <v>693</v>
      </c>
      <c r="E5" s="1007"/>
      <c r="F5" s="1008"/>
      <c r="G5" s="1291"/>
      <c r="H5" s="290">
        <v>1</v>
      </c>
      <c r="I5" s="291" t="s">
        <v>692</v>
      </c>
      <c r="J5" s="1006">
        <f ca="1">J6+J10+J12</f>
        <v>0</v>
      </c>
      <c r="K5" s="1272" t="s">
        <v>693</v>
      </c>
      <c r="L5" s="1007"/>
      <c r="M5" s="1008"/>
    </row>
    <row r="6" spans="1:37" ht="18" customHeight="1">
      <c r="A6" s="1005" t="s">
        <v>398</v>
      </c>
      <c r="B6" s="3401" t="s">
        <v>694</v>
      </c>
      <c r="C6" s="1010">
        <f ca="1">ROUND(F6*F8*F7*(1-F9)/10000,0)</f>
        <v>17407</v>
      </c>
      <c r="D6" s="146" t="s">
        <v>2109</v>
      </c>
      <c r="E6" s="293" t="s">
        <v>696</v>
      </c>
      <c r="F6" s="294">
        <f ca="1">INDIRECT("'数据-取费表'!u"&amp;$G$1)</f>
        <v>10</v>
      </c>
      <c r="G6" s="1291"/>
      <c r="H6" s="1005" t="s">
        <v>398</v>
      </c>
      <c r="I6" s="3401" t="s">
        <v>694</v>
      </c>
      <c r="J6" s="292">
        <f ca="1">ROUND(M6*M8*M7*(1-M9)/10000,0)</f>
        <v>0</v>
      </c>
      <c r="K6" s="146" t="s">
        <v>2108</v>
      </c>
      <c r="L6" s="293" t="s">
        <v>696</v>
      </c>
      <c r="M6" s="294">
        <f ca="1">INDIRECT("'数据-取费表'!z"&amp;$G$1)</f>
        <v>0</v>
      </c>
    </row>
    <row r="7" spans="1:37" ht="18" customHeight="1">
      <c r="A7" s="1009"/>
      <c r="B7" s="3402"/>
      <c r="C7" s="1011"/>
      <c r="D7" s="298"/>
      <c r="E7" s="1012" t="s">
        <v>697</v>
      </c>
      <c r="F7" s="294">
        <f ca="1">IF(INDIRECT("'数据-取费表'!ah"&amp;$G$1)="",INDIRECT("'数据-取费表'!k"&amp;$G$1),INDIRECT("'数据-取费表'!ah"&amp;$G$1))</f>
        <v>52990.34</v>
      </c>
      <c r="G7" s="1291"/>
      <c r="H7" s="295"/>
      <c r="I7" s="3402"/>
      <c r="J7" s="297"/>
      <c r="K7" s="298"/>
      <c r="L7" s="293" t="s">
        <v>697</v>
      </c>
      <c r="M7" s="294">
        <f ca="1">F7</f>
        <v>52990.34</v>
      </c>
    </row>
    <row r="8" spans="1:37" ht="18" customHeight="1">
      <c r="A8" s="295"/>
      <c r="B8" s="3402"/>
      <c r="C8" s="297"/>
      <c r="D8" s="298"/>
      <c r="E8" s="293" t="s">
        <v>698</v>
      </c>
      <c r="F8" s="294">
        <f ca="1">INDIRECT("'数据-取费表'!ai"&amp;$G$1)</f>
        <v>365</v>
      </c>
      <c r="G8" s="1291"/>
      <c r="H8" s="295"/>
      <c r="I8" s="3402"/>
      <c r="J8" s="297"/>
      <c r="K8" s="298"/>
      <c r="L8" s="293" t="s">
        <v>698</v>
      </c>
      <c r="M8" s="294">
        <f ca="1">INDIRECT("'数据-取费表'!ai"&amp;$G$1)</f>
        <v>365</v>
      </c>
    </row>
    <row r="9" spans="1:37" ht="18" customHeight="1">
      <c r="A9" s="295"/>
      <c r="B9" s="3403"/>
      <c r="C9" s="297"/>
      <c r="D9" s="298"/>
      <c r="E9" s="293" t="s">
        <v>699</v>
      </c>
      <c r="F9" s="303">
        <f ca="1">INDIRECT("'数据-取费表'!w"&amp;$G$1)</f>
        <v>0.1</v>
      </c>
      <c r="G9" s="1291"/>
      <c r="H9" s="295"/>
      <c r="I9" s="3403"/>
      <c r="J9" s="297"/>
      <c r="K9" s="298"/>
      <c r="L9" s="304" t="s">
        <v>699</v>
      </c>
      <c r="M9" s="305">
        <f ca="1">INDIRECT("'数据-取费表'!ab"&amp;$G$1)</f>
        <v>0</v>
      </c>
    </row>
    <row r="10" spans="1:37" ht="18" customHeight="1">
      <c r="A10" s="1005" t="s">
        <v>402</v>
      </c>
      <c r="B10" s="1273" t="s">
        <v>700</v>
      </c>
      <c r="C10" s="307">
        <f ca="1">ROUND(IF(F10="押一",C6/12*F11,IF(F10="押二",C6/12*2*F11,IF(F10="押三",C6/12*3*F11,C11*F11))),0)</f>
        <v>22</v>
      </c>
      <c r="D10" s="149" t="s">
        <v>2117</v>
      </c>
      <c r="E10" s="304" t="s">
        <v>701</v>
      </c>
      <c r="F10" s="1052" t="s">
        <v>4617</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53863</v>
      </c>
      <c r="D13" s="1017" t="s">
        <v>705</v>
      </c>
      <c r="E13" s="1017" t="s">
        <v>706</v>
      </c>
      <c r="F13" s="1018">
        <f ca="1">INDIRECT("'数据-取费表'!y"&amp;$G$1)</f>
        <v>0.79</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42392</v>
      </c>
      <c r="D14" s="1256" t="s">
        <v>708</v>
      </c>
      <c r="E14" s="1254"/>
      <c r="F14" s="310"/>
      <c r="G14" s="1291"/>
      <c r="H14" s="927" t="s">
        <v>398</v>
      </c>
      <c r="I14" s="293" t="s">
        <v>709</v>
      </c>
      <c r="J14" s="21">
        <f ca="1">C29</f>
        <v>68181</v>
      </c>
      <c r="K14" s="12"/>
      <c r="L14" s="758"/>
      <c r="M14" s="759"/>
    </row>
    <row r="15" spans="1:37" s="1303" customFormat="1" ht="18" customHeight="1" thickBot="1">
      <c r="A15" s="927" t="s">
        <v>399</v>
      </c>
      <c r="B15" s="293" t="s">
        <v>710</v>
      </c>
      <c r="C15" s="21">
        <f ca="1">ROUND(C14*F15,0)</f>
        <v>4239</v>
      </c>
      <c r="D15" s="311" t="s">
        <v>711</v>
      </c>
      <c r="E15" s="311" t="s">
        <v>712</v>
      </c>
      <c r="F15" s="312">
        <f>'数据-取费表'!B33</f>
        <v>0.1</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136</v>
      </c>
      <c r="K16" s="1023" t="s">
        <v>715</v>
      </c>
      <c r="L16" s="1024"/>
      <c r="M16" s="1008"/>
    </row>
    <row r="17" spans="1:37" s="1303" customFormat="1" ht="18" customHeight="1">
      <c r="A17" s="927" t="s">
        <v>681</v>
      </c>
      <c r="B17" s="293" t="s">
        <v>716</v>
      </c>
      <c r="C17" s="21">
        <f ca="1">ROUND(F17*(F43+INDIRECT("'数据-取费表'!S"&amp;$G$1))/10000,0)</f>
        <v>1060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1272</v>
      </c>
      <c r="D18" s="293" t="s">
        <v>711</v>
      </c>
      <c r="E18" s="293" t="s">
        <v>712</v>
      </c>
      <c r="F18" s="313">
        <f>'数据-取费表'!B36</f>
        <v>0.03</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48963</v>
      </c>
      <c r="D19" s="122" t="s">
        <v>726</v>
      </c>
      <c r="E19" s="1268"/>
      <c r="F19" s="23"/>
      <c r="G19" s="1291"/>
      <c r="H19" s="927" t="s">
        <v>399</v>
      </c>
      <c r="I19" s="293" t="s">
        <v>727</v>
      </c>
      <c r="J19" s="21">
        <f ca="1">IF(K19="按租金收入计税",ROUND(J6*M19/(1+'数据-取费表'!C42),2),ROUND(C29*M19*0.7,2))</f>
        <v>0</v>
      </c>
      <c r="K19" s="1277" t="s">
        <v>3315</v>
      </c>
      <c r="L19" s="293" t="s">
        <v>712</v>
      </c>
      <c r="M19" s="313">
        <f>IF(K19="按租金收入计税",'数据-取费表'!B51,'数据-取费表'!B50)</f>
        <v>0.12</v>
      </c>
    </row>
    <row r="20" spans="1:37" s="1303" customFormat="1" ht="18" customHeight="1">
      <c r="A20" s="927" t="s">
        <v>402</v>
      </c>
      <c r="B20" s="293" t="s">
        <v>728</v>
      </c>
      <c r="C20" s="21">
        <f ca="1">ROUND(C19*F20,0)</f>
        <v>1469</v>
      </c>
      <c r="D20" s="314" t="s">
        <v>729</v>
      </c>
      <c r="E20" s="293" t="s">
        <v>712</v>
      </c>
      <c r="F20" s="313">
        <f>'数据-取费表'!B37</f>
        <v>0.03</v>
      </c>
      <c r="G20" s="1302"/>
      <c r="H20" s="927" t="s">
        <v>680</v>
      </c>
      <c r="I20" s="146" t="s">
        <v>730</v>
      </c>
      <c r="J20" s="22">
        <f ca="1">ROUND(M20*M21/10000,2)</f>
        <v>0</v>
      </c>
      <c r="K20" s="315" t="s">
        <v>731</v>
      </c>
      <c r="L20" s="293" t="s">
        <v>732</v>
      </c>
      <c r="M20" s="316">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0.03</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136.36000000000001</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1513</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0.03</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-136</v>
      </c>
      <c r="K25" s="1031" t="s">
        <v>753</v>
      </c>
      <c r="L25" s="1032"/>
      <c r="M25" s="1033"/>
    </row>
    <row r="26" spans="1:37">
      <c r="A26" s="927" t="s">
        <v>397</v>
      </c>
      <c r="B26" s="293" t="s">
        <v>754</v>
      </c>
      <c r="C26" s="21">
        <f ca="1">ROUND((C19+C20)*F26,0)</f>
        <v>10086</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0.06</v>
      </c>
    </row>
    <row r="27" spans="1:37" ht="18" customHeight="1">
      <c r="A27" s="927" t="s">
        <v>399</v>
      </c>
      <c r="B27" s="293" t="s">
        <v>760</v>
      </c>
      <c r="C27" s="21">
        <f ca="1">ROUND(F21*F26,4)</f>
        <v>6.0000000000000001E-3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68181</v>
      </c>
      <c r="D29" s="1028"/>
      <c r="E29" s="1026"/>
      <c r="F29" s="1029"/>
      <c r="G29" s="1302"/>
      <c r="H29" s="324" t="s">
        <v>396</v>
      </c>
      <c r="I29" s="325" t="s">
        <v>768</v>
      </c>
      <c r="J29" s="326">
        <f ca="1">ROUND(J26/(1+F40)^F41,0)</f>
        <v>0</v>
      </c>
      <c r="K29" s="327" t="s">
        <v>769</v>
      </c>
      <c r="L29" s="328"/>
      <c r="M29" s="329">
        <f ca="1">INDIRECT("'数据-取费表'!k"&amp;$G$1)</f>
        <v>52990.34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3282</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2917.74</v>
      </c>
      <c r="D31" s="1256" t="s">
        <v>720</v>
      </c>
      <c r="E31" s="1255" t="s">
        <v>770</v>
      </c>
      <c r="F31" s="2138" t="str">
        <f>IF(项目基本情况!B11="企业","——",IF(M47="住宅",IF(F6*F7*F8/12/(1+'数据-取费表'!F30)&gt;100000,4%,2.5%),IF(F6*F7*F8/12/(1+'数据-取费表'!F30)&gt;100000,12%,7%)))</f>
        <v>——</v>
      </c>
      <c r="G31" s="1291"/>
      <c r="H31" s="2569" t="s">
        <v>2297</v>
      </c>
      <c r="I31" s="1304"/>
      <c r="J31" s="1305"/>
      <c r="K31" s="120"/>
      <c r="L31" s="2471"/>
      <c r="M31" s="2472"/>
    </row>
    <row r="32" spans="1:37" ht="18" customHeight="1">
      <c r="A32" s="927" t="s">
        <v>397</v>
      </c>
      <c r="B32" s="293" t="s">
        <v>723</v>
      </c>
      <c r="C32" s="21">
        <f ca="1">IF(项目基本情况!B11="自然人","——",ROUND(C6*F32/(1+'数据-取费表'!C42),2))</f>
        <v>928.37</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IF(项目基本情况!B11="自然人","——",IF(D33="按租金收入计税",ROUND(C6*F33/(1+'数据-取费表'!C42),2),IF(D33="按房产原值计税",ROUND(C29*F33*0.7,2),INDIRECT("'数据-取费表'!Aj"&amp;$G$1))))</f>
        <v>1989.37</v>
      </c>
      <c r="D33" s="1277" t="s">
        <v>3315</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IF(项目基本情况!B11="自然人","——",ROUND(F34*F35/10000,2))</f>
        <v>0</v>
      </c>
      <c r="D34" s="315" t="s">
        <v>731</v>
      </c>
      <c r="E34" s="293" t="s">
        <v>732</v>
      </c>
      <c r="F34" s="316">
        <f>'数据-取费表'!B52</f>
        <v>30</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ROUND(C29*F36,2)</f>
        <v>136.36000000000001</v>
      </c>
      <c r="D36" s="1255" t="s">
        <v>771</v>
      </c>
      <c r="E36" s="293" t="s">
        <v>712</v>
      </c>
      <c r="F36" s="319">
        <f ca="1">INDIRECT("'数据-取费表'!Ak"&amp;$G$1)</f>
        <v>2E-3</v>
      </c>
      <c r="G36" s="1291"/>
      <c r="H36" s="2473"/>
      <c r="I36" s="1304"/>
      <c r="J36" s="1305"/>
      <c r="K36" s="2330"/>
      <c r="L36" s="2473"/>
      <c r="M36" s="2473"/>
    </row>
    <row r="37" spans="1:18" ht="18" customHeight="1">
      <c r="A37" s="927" t="s">
        <v>437</v>
      </c>
      <c r="B37" s="293" t="s">
        <v>742</v>
      </c>
      <c r="C37" s="21">
        <f ca="1">ROUND(C13*F37,2)</f>
        <v>53.86</v>
      </c>
      <c r="D37" s="1255" t="s">
        <v>743</v>
      </c>
      <c r="E37" s="293" t="s">
        <v>744</v>
      </c>
      <c r="F37" s="320">
        <f ca="1">INDIRECT("'数据-取费表'!Al"&amp;$G$1)</f>
        <v>1E-3</v>
      </c>
      <c r="G37" s="1291"/>
      <c r="H37" s="2473"/>
      <c r="I37" s="1304"/>
      <c r="J37" s="1305"/>
      <c r="K37" s="2330"/>
      <c r="L37" s="2473"/>
      <c r="M37" s="2473"/>
    </row>
    <row r="38" spans="1:18" ht="18" customHeight="1" thickBot="1">
      <c r="A38" s="1025" t="s">
        <v>684</v>
      </c>
      <c r="B38" s="1026" t="s">
        <v>728</v>
      </c>
      <c r="C38" s="1027">
        <f ca="1">ROUND(C5*F38,2)</f>
        <v>174.29</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1">
        <f ca="1">C5-C30</f>
        <v>14147</v>
      </c>
      <c r="D39" s="1031" t="s">
        <v>773</v>
      </c>
      <c r="E39" s="1032"/>
      <c r="F39" s="1033"/>
      <c r="G39" s="1291"/>
      <c r="H39" s="2473"/>
      <c r="I39" s="1304"/>
      <c r="J39" s="1305"/>
      <c r="K39" s="2471"/>
      <c r="L39" s="2473"/>
      <c r="M39" s="2473"/>
    </row>
    <row r="40" spans="1:18" ht="18" customHeight="1">
      <c r="A40" s="290" t="s">
        <v>395</v>
      </c>
      <c r="B40" s="291" t="s">
        <v>774</v>
      </c>
      <c r="C40" s="292">
        <f ca="1">ROUND(C39*(1-((1+F42)/(1+F40))^F41)/(F40-F42),0)</f>
        <v>181869</v>
      </c>
      <c r="D40" s="315" t="s">
        <v>758</v>
      </c>
      <c r="E40" s="293" t="s">
        <v>759</v>
      </c>
      <c r="F40" s="303">
        <f ca="1">INDIRECT("'数据-取费表'!I"&amp;$G$1)</f>
        <v>0.06</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18.77</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34321</v>
      </c>
      <c r="D43" s="327" t="s">
        <v>777</v>
      </c>
      <c r="E43" s="328" t="s">
        <v>778</v>
      </c>
      <c r="F43" s="329">
        <f ca="1">INDIRECT("'数据-取费表'!k"&amp;$G$1)</f>
        <v>52990.34</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f ca="1">C68-C40</f>
        <v>-183975</v>
      </c>
      <c r="D46" s="1312" t="str">
        <f>C2</f>
        <v>万元</v>
      </c>
      <c r="E46" s="1306"/>
      <c r="F46" s="1306"/>
      <c r="I46" s="1313" t="s">
        <v>810</v>
      </c>
      <c r="J46" s="1314"/>
      <c r="K46" s="1315"/>
      <c r="L46" s="1316">
        <f ca="1">IF(M47="住宅",0,IF(L48&gt;J51,L60,J60))</f>
        <v>7088</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4612</v>
      </c>
      <c r="K47" s="1322" t="s">
        <v>816</v>
      </c>
      <c r="L47" s="1323">
        <f ca="1">INDIRECT("'数据-取费表'!d"&amp;$G$1)</f>
        <v>40</v>
      </c>
      <c r="M47" s="1287" t="str">
        <f>IF(ISNUMBER(FIND("住宅",C1)),"住宅","非住宅")</f>
        <v>非住宅</v>
      </c>
      <c r="O47" s="1324" t="s">
        <v>403</v>
      </c>
      <c r="P47" s="1325" t="s">
        <v>817</v>
      </c>
      <c r="Q47" s="1326">
        <f ca="1">C40+J29</f>
        <v>181869</v>
      </c>
      <c r="R47" s="1326" t="s">
        <v>818</v>
      </c>
    </row>
    <row r="48" spans="1:18" s="1291" customFormat="1" ht="28.5" thickBot="1">
      <c r="A48" s="1046" t="s">
        <v>438</v>
      </c>
      <c r="B48" s="291" t="s">
        <v>692</v>
      </c>
      <c r="C48" s="1267">
        <f ca="1">C49+C53+C55</f>
        <v>0</v>
      </c>
      <c r="D48" s="1048"/>
      <c r="E48" s="1049"/>
      <c r="F48" s="907"/>
      <c r="G48" s="680"/>
      <c r="H48" s="681"/>
      <c r="I48" s="1327" t="s">
        <v>819</v>
      </c>
      <c r="J48" s="1328" t="s">
        <v>4613</v>
      </c>
      <c r="K48" s="1329" t="s">
        <v>820</v>
      </c>
      <c r="L48" s="1330">
        <f ca="1">INDIRECT("'数据-取费表'!f"&amp;$G$1)</f>
        <v>18.77</v>
      </c>
      <c r="O48" s="1324" t="s">
        <v>404</v>
      </c>
      <c r="P48" s="1325" t="s">
        <v>821</v>
      </c>
      <c r="Q48" s="1326">
        <f ca="1">J60</f>
        <v>7088</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v>2008</v>
      </c>
      <c r="K49" s="1329" t="s">
        <v>824</v>
      </c>
      <c r="L49" s="1332"/>
      <c r="O49" s="1333" t="s">
        <v>405</v>
      </c>
      <c r="P49" s="1325" t="s">
        <v>825</v>
      </c>
      <c r="Q49" s="1326">
        <f ca="1">C29</f>
        <v>68181</v>
      </c>
      <c r="R49" s="1326" t="s">
        <v>818</v>
      </c>
    </row>
    <row r="50" spans="1:18" s="1291" customFormat="1" ht="13.5" thickBot="1">
      <c r="A50" s="921"/>
      <c r="B50" s="924"/>
      <c r="C50" s="1054"/>
      <c r="D50" s="898"/>
      <c r="E50" s="992" t="s">
        <v>697</v>
      </c>
      <c r="F50" s="993">
        <f ca="1">F7</f>
        <v>52990.34</v>
      </c>
      <c r="H50" s="681"/>
      <c r="I50" s="1327" t="s">
        <v>826</v>
      </c>
      <c r="J50" s="1334">
        <f>SUMPRODUCT((I63:I65=J47)*(J62:L62=J48)*(J63:L65))</f>
        <v>60</v>
      </c>
      <c r="K50" s="1329" t="s">
        <v>827</v>
      </c>
      <c r="L50" s="1332"/>
      <c r="M50" s="1335"/>
      <c r="O50" s="1333" t="s">
        <v>406</v>
      </c>
      <c r="P50" s="1325" t="s">
        <v>828</v>
      </c>
      <c r="Q50" s="1336">
        <f ca="1">J58</f>
        <v>0.40400000000000003</v>
      </c>
      <c r="R50" s="1326"/>
    </row>
    <row r="51" spans="1:18" s="1291" customFormat="1" ht="13.5" thickBot="1">
      <c r="A51" s="922"/>
      <c r="B51" s="924"/>
      <c r="C51" s="925"/>
      <c r="D51" s="898"/>
      <c r="E51" s="926" t="s">
        <v>698</v>
      </c>
      <c r="F51" s="294">
        <f ca="1">F8</f>
        <v>365</v>
      </c>
      <c r="I51" s="1337" t="s">
        <v>829</v>
      </c>
      <c r="J51" s="1330">
        <f>IF(J49="",J50,J49+J50-YEAR('数据-取费表'!B2))</f>
        <v>43</v>
      </c>
      <c r="K51" s="1338" t="s">
        <v>830</v>
      </c>
      <c r="L51" s="1339">
        <f ca="1">ROUND(-PV(INDIRECT("'数据-取费表'!h"&amp;$G$1),J51,(C39-C13*C76),0),0)</f>
        <v>182067</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18.77</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18.77</v>
      </c>
      <c r="K53" s="3404" t="s">
        <v>837</v>
      </c>
      <c r="L53" s="3405"/>
      <c r="O53" s="1324" t="s">
        <v>409</v>
      </c>
      <c r="P53" s="1325" t="s">
        <v>838</v>
      </c>
      <c r="Q53" s="1326">
        <f ca="1">Q47+Q48</f>
        <v>188957</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0.40400000000000003</v>
      </c>
      <c r="K55" s="1349" t="s">
        <v>841</v>
      </c>
      <c r="L55" s="1350"/>
      <c r="O55" s="1317" t="s">
        <v>811</v>
      </c>
      <c r="P55" s="1318" t="s">
        <v>812</v>
      </c>
      <c r="Q55" s="1319" t="s">
        <v>813</v>
      </c>
      <c r="R55" s="1319" t="s">
        <v>814</v>
      </c>
    </row>
    <row r="56" spans="1:18" s="1291" customFormat="1" ht="25.5" thickTop="1" thickBot="1">
      <c r="A56" s="902">
        <v>2</v>
      </c>
      <c r="B56" s="903" t="s">
        <v>704</v>
      </c>
      <c r="C56" s="223">
        <f ca="1">C13</f>
        <v>53863</v>
      </c>
      <c r="D56" s="1351"/>
      <c r="E56" s="1352"/>
      <c r="F56" s="1344"/>
      <c r="I56" s="1353" t="s">
        <v>842</v>
      </c>
      <c r="J56" s="1354" t="s">
        <v>4614</v>
      </c>
      <c r="K56" s="1327" t="s">
        <v>843</v>
      </c>
      <c r="L56" s="1330" t="str">
        <f ca="1">IF(L48&lt;J51,"——",L48-J53)</f>
        <v>——</v>
      </c>
      <c r="O56" s="1324" t="s">
        <v>403</v>
      </c>
      <c r="P56" s="1325" t="s">
        <v>817</v>
      </c>
      <c r="Q56" s="1326">
        <f ca="1">C40+J29</f>
        <v>181869</v>
      </c>
      <c r="R56" s="1326" t="s">
        <v>818</v>
      </c>
    </row>
    <row r="57" spans="1:18" s="1291" customFormat="1" ht="24.75" thickBot="1">
      <c r="A57" s="1355"/>
      <c r="B57" s="895" t="s">
        <v>767</v>
      </c>
      <c r="C57" s="229">
        <f ca="1">C29</f>
        <v>68181</v>
      </c>
      <c r="D57" s="1356"/>
      <c r="E57" s="1357"/>
      <c r="F57" s="1358"/>
      <c r="I57" s="1359" t="s">
        <v>844</v>
      </c>
      <c r="J57" s="1360">
        <f ca="1">IF(OR(M47="住宅",J51&lt;L48,J56="是"),"——",J51-L48)</f>
        <v>24.23</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190</v>
      </c>
      <c r="D58" s="905" t="s">
        <v>715</v>
      </c>
      <c r="E58" s="906"/>
      <c r="F58" s="907"/>
      <c r="I58" s="1359" t="s">
        <v>848</v>
      </c>
      <c r="J58" s="1361">
        <f ca="1">IF(J55&lt;0.4,0.4,J55)</f>
        <v>0.40400000000000003</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27545</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f ca="1">IF(OR(M47="住宅",J51&lt;L48,J56="是"),"0",ROUND(J59/(1+J52)^J53,0))</f>
        <v>7088</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3315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6">
        <f t="shared" si="0"/>
        <v>30</v>
      </c>
      <c r="I62" s="1366" t="s">
        <v>858</v>
      </c>
      <c r="J62" s="609" t="s">
        <v>859</v>
      </c>
      <c r="K62" s="609" t="s">
        <v>860</v>
      </c>
      <c r="L62" s="609" t="s">
        <v>861</v>
      </c>
      <c r="M62" s="1367" t="s">
        <v>862</v>
      </c>
      <c r="O62" s="1324" t="s">
        <v>409</v>
      </c>
      <c r="P62" s="1325" t="s">
        <v>863</v>
      </c>
      <c r="Q62" s="1326">
        <f ca="1">Q56+Q57</f>
        <v>181869</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136.36000000000001</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53.86</v>
      </c>
      <c r="D65" s="909" t="s">
        <v>743</v>
      </c>
      <c r="E65" s="895" t="s">
        <v>744</v>
      </c>
      <c r="F65" s="320">
        <f t="shared" ca="1" si="0"/>
        <v>1E-3</v>
      </c>
      <c r="I65" s="1366" t="s">
        <v>867</v>
      </c>
      <c r="J65" s="609">
        <v>40</v>
      </c>
      <c r="K65" s="609">
        <v>30</v>
      </c>
      <c r="L65" s="609">
        <v>50</v>
      </c>
      <c r="M65" s="1368">
        <v>0.02</v>
      </c>
      <c r="O65" s="1324" t="s">
        <v>403</v>
      </c>
      <c r="P65" s="1325" t="s">
        <v>868</v>
      </c>
      <c r="Q65" s="1326">
        <f ca="1">C40+J29</f>
        <v>181869</v>
      </c>
      <c r="R65" s="1326" t="s">
        <v>818</v>
      </c>
    </row>
    <row r="66" spans="1:18" s="1291" customFormat="1" ht="16.5"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-190</v>
      </c>
      <c r="D67" s="908" t="s">
        <v>753</v>
      </c>
      <c r="E67" s="913"/>
      <c r="F67" s="914"/>
      <c r="O67" s="1333" t="s">
        <v>405</v>
      </c>
      <c r="P67" s="1325" t="s">
        <v>850</v>
      </c>
      <c r="Q67" s="1369">
        <f ca="1">L51</f>
        <v>182067</v>
      </c>
      <c r="R67" s="1326" t="s">
        <v>870</v>
      </c>
    </row>
    <row r="68" spans="1:18" s="1291" customFormat="1" ht="16.5" thickBot="1">
      <c r="A68" s="892" t="s">
        <v>395</v>
      </c>
      <c r="B68" s="893" t="s">
        <v>774</v>
      </c>
      <c r="C68" s="292">
        <f ca="1">ROUND(C67*(1-((1+F70)/(1+F68))^F69)/(F68-F70),0)</f>
        <v>-2106</v>
      </c>
      <c r="D68" s="910" t="s">
        <v>758</v>
      </c>
      <c r="E68" s="895" t="s">
        <v>759</v>
      </c>
      <c r="F68" s="303">
        <f ca="1">F40</f>
        <v>0.06</v>
      </c>
      <c r="O68" s="1333" t="s">
        <v>406</v>
      </c>
      <c r="P68" s="1370" t="s">
        <v>871</v>
      </c>
      <c r="Q68" s="1326">
        <f ca="1">ROUND(Q69-Q70*Q71,0)</f>
        <v>10377</v>
      </c>
      <c r="R68" s="1326" t="s">
        <v>414</v>
      </c>
    </row>
    <row r="69" spans="1:18" s="1291" customFormat="1" ht="13.5" thickBot="1">
      <c r="A69" s="896"/>
      <c r="B69" s="897"/>
      <c r="C69" s="297"/>
      <c r="D69" s="915" t="s">
        <v>762</v>
      </c>
      <c r="E69" s="895" t="s">
        <v>763</v>
      </c>
      <c r="F69" s="323">
        <f ca="1">F41</f>
        <v>18.77</v>
      </c>
      <c r="O69" s="1333" t="s">
        <v>411</v>
      </c>
      <c r="P69" s="1370" t="s">
        <v>872</v>
      </c>
      <c r="Q69" s="1326">
        <f ca="1">C39</f>
        <v>14147</v>
      </c>
      <c r="R69" s="1326" t="s">
        <v>818</v>
      </c>
    </row>
    <row r="70" spans="1:18" s="1291" customFormat="1" ht="13.5" thickBot="1">
      <c r="A70" s="899"/>
      <c r="B70" s="900"/>
      <c r="C70" s="301"/>
      <c r="D70" s="911"/>
      <c r="E70" s="895" t="s">
        <v>766</v>
      </c>
      <c r="F70" s="990"/>
      <c r="O70" s="1333" t="s">
        <v>412</v>
      </c>
      <c r="P70" s="1370" t="s">
        <v>873</v>
      </c>
      <c r="Q70" s="1326">
        <f ca="1">C13</f>
        <v>53863</v>
      </c>
      <c r="R70" s="1326" t="s">
        <v>818</v>
      </c>
    </row>
    <row r="71" spans="1:18" s="1291" customFormat="1" ht="13.5" thickBot="1">
      <c r="A71" s="916" t="s">
        <v>396</v>
      </c>
      <c r="B71" s="917" t="s">
        <v>776</v>
      </c>
      <c r="C71" s="326">
        <f ca="1">ROUND(C68*10000/F71,0)</f>
        <v>-397</v>
      </c>
      <c r="D71" s="918" t="s">
        <v>777</v>
      </c>
      <c r="E71" s="919" t="s">
        <v>778</v>
      </c>
      <c r="F71" s="329">
        <f ca="1">F43</f>
        <v>52990.34</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3770</v>
      </c>
      <c r="D75" s="1291"/>
      <c r="E75" s="1291"/>
      <c r="F75" s="1291"/>
      <c r="K75" s="1308"/>
      <c r="L75" s="1291"/>
      <c r="O75" s="1324" t="s">
        <v>409</v>
      </c>
      <c r="P75" s="1325" t="s">
        <v>838</v>
      </c>
      <c r="Q75" s="1326">
        <f ca="1">Q65+Q66</f>
        <v>181869</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0.73399999999999999</v>
      </c>
    </row>
    <row r="80" spans="1:18">
      <c r="B80" s="330" t="s">
        <v>800</v>
      </c>
      <c r="C80" s="265">
        <f ca="1">ROUND(C75/C39,3)</f>
        <v>0.26600000000000001</v>
      </c>
    </row>
    <row r="81" spans="2:3">
      <c r="B81" s="261" t="s">
        <v>801</v>
      </c>
      <c r="C81" s="229"/>
    </row>
    <row r="82" spans="2:3">
      <c r="B82" s="264" t="s">
        <v>802</v>
      </c>
      <c r="C82" s="266">
        <f ca="1">1-C83</f>
        <v>0.70399999999999996</v>
      </c>
    </row>
    <row r="83" spans="2:3">
      <c r="B83" s="264" t="s">
        <v>803</v>
      </c>
      <c r="C83" s="265">
        <f ca="1">ROUND(C13/C40,3)</f>
        <v>0.29599999999999999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1"/>
      <c r="C2" s="3221"/>
      <c r="D2" s="3221"/>
      <c r="E2" s="3221"/>
    </row>
    <row r="3" spans="1:5" ht="18">
      <c r="A3" s="3222" t="str">
        <f>IF(项目基本情况!B9="房地产市场价值","估价结果一览表（市场价值不需“结果表-1”）","估价结果一览表")</f>
        <v>估价结果一览表</v>
      </c>
      <c r="B3" s="3222"/>
      <c r="C3" s="3222"/>
      <c r="D3" s="3222"/>
      <c r="E3" s="3222"/>
    </row>
    <row r="4" spans="1:5" ht="19.5" thickBot="1">
      <c r="A4" s="1390"/>
      <c r="B4" s="3220" t="s">
        <v>917</v>
      </c>
      <c r="C4" s="3220"/>
      <c r="D4" s="3220"/>
      <c r="E4" s="1390"/>
    </row>
    <row r="5" spans="1:5" ht="16.5" thickTop="1">
      <c r="B5" s="3218" t="s">
        <v>909</v>
      </c>
      <c r="C5" s="1391" t="s">
        <v>910</v>
      </c>
      <c r="D5" s="796">
        <f ca="1">结果表!H101</f>
        <v>180495</v>
      </c>
    </row>
    <row r="6" spans="1:5" ht="15.75">
      <c r="B6" s="3218"/>
      <c r="C6" s="1391" t="s">
        <v>911</v>
      </c>
      <c r="D6" s="796" t="str">
        <f ca="1">NUMBERSTRING(INT(D5*10000),2)&amp;"元整"</f>
        <v>壹拾捌亿零肆佰玖拾伍万元整</v>
      </c>
    </row>
    <row r="7" spans="1:5" ht="15.75">
      <c r="B7" s="3223"/>
      <c r="C7" s="1392" t="s">
        <v>912</v>
      </c>
      <c r="D7" s="797">
        <f ca="1">结果表!H102</f>
        <v>34062</v>
      </c>
    </row>
    <row r="8" spans="1:5" ht="15.75">
      <c r="B8" s="3224" t="str">
        <f>结果表!E103</f>
        <v>2.估价师知悉的法定优先受偿款</v>
      </c>
      <c r="C8" s="1393" t="s">
        <v>913</v>
      </c>
      <c r="D8" s="797">
        <f>结果表!H103</f>
        <v>0</v>
      </c>
    </row>
    <row r="9" spans="1:5" ht="15.75">
      <c r="B9" s="3226"/>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217" t="str">
        <f>结果表!E107</f>
        <v>3.房地产抵押价值</v>
      </c>
      <c r="C13" s="1396" t="s">
        <v>910</v>
      </c>
      <c r="D13" s="799">
        <f ca="1">结果表!H107</f>
        <v>180495</v>
      </c>
    </row>
    <row r="14" spans="1:5" ht="15.75">
      <c r="B14" s="3218"/>
      <c r="C14" s="1391" t="s">
        <v>911</v>
      </c>
      <c r="D14" s="796" t="str">
        <f ca="1">NUMBERSTRING(INT(D13*10000),2)&amp;"元整"</f>
        <v>壹拾捌亿零肆佰玖拾伍万元整</v>
      </c>
    </row>
    <row r="15" spans="1:5" ht="15">
      <c r="B15" s="3223"/>
      <c r="C15" s="1392" t="s">
        <v>921</v>
      </c>
      <c r="D15" s="805">
        <f ca="1">结果表!H108</f>
        <v>34062</v>
      </c>
    </row>
    <row r="16" spans="1:5" ht="15">
      <c r="B16" s="3224" t="str">
        <f>结果表!E109</f>
        <v>——</v>
      </c>
      <c r="C16" s="1396" t="s">
        <v>922</v>
      </c>
      <c r="D16" s="1397" t="str">
        <f>结果表!H109</f>
        <v>——</v>
      </c>
    </row>
    <row r="17" spans="1:5" ht="15.75">
      <c r="B17" s="3225"/>
      <c r="C17" s="1391" t="s">
        <v>923</v>
      </c>
      <c r="D17" s="796" t="e">
        <f>NUMBERSTRING(INT(D16*10000),2)&amp;"元整"</f>
        <v>#VALUE!</v>
      </c>
    </row>
    <row r="18" spans="1:5" ht="15">
      <c r="B18" s="3226"/>
      <c r="C18" s="1392" t="s">
        <v>912</v>
      </c>
      <c r="D18" s="805" t="str">
        <f>结果表!H110</f>
        <v>——</v>
      </c>
    </row>
    <row r="19" spans="1:5" ht="15.75">
      <c r="B19" s="3217" t="str">
        <f>结果表!E111</f>
        <v>——</v>
      </c>
      <c r="C19" s="1396" t="s">
        <v>910</v>
      </c>
      <c r="D19" s="797" t="str">
        <f>结果表!H111</f>
        <v>——</v>
      </c>
    </row>
    <row r="20" spans="1:5" ht="15.75">
      <c r="B20" s="3218"/>
      <c r="C20" s="1391" t="s">
        <v>923</v>
      </c>
      <c r="D20" s="796" t="e">
        <f>NUMBERSTRING(INT(D19*10000),2)&amp;"元整"</f>
        <v>#VALUE!</v>
      </c>
    </row>
    <row r="21" spans="1:5" ht="15.75" thickBot="1">
      <c r="B21" s="3219"/>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5E82F-1471-4925-8C7A-9D925E9FA2D5}">
  <dimension ref="A1:Q21"/>
  <sheetViews>
    <sheetView zoomScaleNormal="100" workbookViewId="0">
      <selection activeCell="I8" sqref="I8"/>
    </sheetView>
  </sheetViews>
  <sheetFormatPr defaultRowHeight="13.5"/>
  <cols>
    <col min="1" max="1" width="8.375" style="3173" customWidth="1"/>
    <col min="2" max="2" width="20.5" style="3173" customWidth="1"/>
    <col min="3" max="3" width="9" style="3173"/>
    <col min="4" max="4" width="6.875" style="3173" customWidth="1"/>
    <col min="5" max="5" width="8.125" style="3173" customWidth="1"/>
    <col min="6" max="6" width="5.75" style="3173" customWidth="1"/>
    <col min="7" max="7" width="1.375" style="3173" customWidth="1"/>
    <col min="8" max="8" width="25.375" style="3173" customWidth="1"/>
    <col min="9" max="9" width="14" style="3173" customWidth="1"/>
    <col min="10" max="10" width="9" style="3173"/>
    <col min="11" max="11" width="15" style="3173" bestFit="1" customWidth="1"/>
    <col min="12" max="12" width="9" style="3173"/>
    <col min="13" max="13" width="16.125" style="3174" bestFit="1" customWidth="1"/>
    <col min="14" max="16384" width="9" style="3173"/>
  </cols>
  <sheetData>
    <row r="1" spans="1:17" s="3191" customFormat="1" ht="22.5">
      <c r="A1" s="3531" t="s">
        <v>4603</v>
      </c>
      <c r="B1" s="3531"/>
      <c r="C1" s="3531"/>
      <c r="D1" s="3531"/>
      <c r="E1" s="3531"/>
      <c r="F1" s="3531"/>
      <c r="G1" s="3531"/>
      <c r="H1" s="3531"/>
      <c r="I1" s="3531"/>
      <c r="M1" s="3192"/>
    </row>
    <row r="2" spans="1:17">
      <c r="A2" s="3532" t="s">
        <v>4602</v>
      </c>
      <c r="B2" s="3532"/>
      <c r="C2" s="3532"/>
      <c r="D2" s="3187"/>
      <c r="E2" s="3187"/>
      <c r="F2" s="3187"/>
      <c r="G2" s="3187"/>
      <c r="H2" s="3187"/>
      <c r="I2" s="3187"/>
    </row>
    <row r="3" spans="1:17">
      <c r="A3" s="3525" t="s">
        <v>4601</v>
      </c>
      <c r="B3" s="3526"/>
      <c r="C3" s="3525" t="s">
        <v>4600</v>
      </c>
      <c r="D3" s="3526"/>
      <c r="E3" s="3525" t="s">
        <v>4599</v>
      </c>
      <c r="F3" s="3526"/>
      <c r="G3" s="3525" t="s">
        <v>4598</v>
      </c>
      <c r="H3" s="3526"/>
      <c r="I3" s="3187"/>
    </row>
    <row r="4" spans="1:17">
      <c r="A4" s="3527"/>
      <c r="B4" s="3528"/>
      <c r="C4" s="3529"/>
      <c r="D4" s="3530"/>
      <c r="E4" s="3529"/>
      <c r="F4" s="3530"/>
      <c r="G4" s="3529"/>
      <c r="H4" s="3530"/>
      <c r="I4" s="3187"/>
    </row>
    <row r="5" spans="1:17" ht="27" customHeight="1">
      <c r="A5" s="3176">
        <v>1</v>
      </c>
      <c r="B5" s="3182" t="s">
        <v>4597</v>
      </c>
      <c r="C5" s="3523">
        <v>578</v>
      </c>
      <c r="D5" s="3524"/>
      <c r="E5" s="3523">
        <v>316</v>
      </c>
      <c r="F5" s="3524"/>
      <c r="G5" s="3521">
        <f>1-(3+34+69+113+80)/E5</f>
        <v>5.3797468354430333E-2</v>
      </c>
      <c r="H5" s="3522"/>
      <c r="I5" s="3187"/>
      <c r="K5" s="3173">
        <f t="shared" ref="K5:K10" si="0">E5-E5*G5</f>
        <v>299</v>
      </c>
      <c r="M5" s="3174">
        <f t="shared" ref="M5:M10" si="1">C5*K5*366</f>
        <v>63252852</v>
      </c>
    </row>
    <row r="6" spans="1:17" ht="27" customHeight="1">
      <c r="A6" s="3176">
        <v>2</v>
      </c>
      <c r="B6" s="3182" t="s">
        <v>4596</v>
      </c>
      <c r="C6" s="3523">
        <v>558</v>
      </c>
      <c r="D6" s="3524"/>
      <c r="E6" s="3523">
        <v>11</v>
      </c>
      <c r="F6" s="3524"/>
      <c r="G6" s="3521">
        <f>1-(9/E6)</f>
        <v>0.18181818181818177</v>
      </c>
      <c r="H6" s="3522"/>
      <c r="I6" s="3187"/>
      <c r="K6" s="3173">
        <f t="shared" si="0"/>
        <v>9</v>
      </c>
      <c r="M6" s="3174">
        <f t="shared" si="1"/>
        <v>1838052</v>
      </c>
    </row>
    <row r="7" spans="1:17" ht="27" customHeight="1">
      <c r="A7" s="3176">
        <v>3</v>
      </c>
      <c r="B7" s="3182" t="s">
        <v>4595</v>
      </c>
      <c r="C7" s="3523"/>
      <c r="D7" s="3524"/>
      <c r="E7" s="3523"/>
      <c r="F7" s="3524"/>
      <c r="G7" s="3521"/>
      <c r="H7" s="3522"/>
      <c r="I7" s="3187"/>
      <c r="K7" s="3173">
        <f t="shared" si="0"/>
        <v>0</v>
      </c>
      <c r="M7" s="3174">
        <f t="shared" si="1"/>
        <v>0</v>
      </c>
    </row>
    <row r="8" spans="1:17" ht="27" customHeight="1">
      <c r="A8" s="3176">
        <v>4</v>
      </c>
      <c r="B8" s="3182" t="s">
        <v>4594</v>
      </c>
      <c r="C8" s="3523">
        <v>618</v>
      </c>
      <c r="D8" s="3524"/>
      <c r="E8" s="3523">
        <v>104</v>
      </c>
      <c r="F8" s="3524"/>
      <c r="G8" s="3521">
        <f>1-(87)/E8</f>
        <v>0.16346153846153844</v>
      </c>
      <c r="H8" s="3522"/>
      <c r="I8" s="3187"/>
      <c r="K8" s="3173">
        <f t="shared" si="0"/>
        <v>87</v>
      </c>
      <c r="M8" s="3174">
        <f t="shared" si="1"/>
        <v>19678356</v>
      </c>
    </row>
    <row r="9" spans="1:17" ht="27" customHeight="1">
      <c r="A9" s="3176">
        <v>5</v>
      </c>
      <c r="B9" s="3182" t="s">
        <v>4593</v>
      </c>
      <c r="C9" s="3523">
        <v>628</v>
      </c>
      <c r="D9" s="3524"/>
      <c r="E9" s="3523">
        <v>12</v>
      </c>
      <c r="F9" s="3524"/>
      <c r="G9" s="3521">
        <f>1-(10)/E9</f>
        <v>0.16666666666666663</v>
      </c>
      <c r="H9" s="3522"/>
      <c r="I9" s="3187"/>
      <c r="K9" s="3173">
        <f t="shared" si="0"/>
        <v>10</v>
      </c>
      <c r="M9" s="3174">
        <f t="shared" si="1"/>
        <v>2298480</v>
      </c>
    </row>
    <row r="10" spans="1:17" ht="27" customHeight="1">
      <c r="A10" s="3176">
        <v>6</v>
      </c>
      <c r="B10" s="3182" t="s">
        <v>4592</v>
      </c>
      <c r="C10" s="3523">
        <v>788</v>
      </c>
      <c r="D10" s="3524"/>
      <c r="E10" s="3523">
        <v>22</v>
      </c>
      <c r="F10" s="3524"/>
      <c r="G10" s="3521">
        <f>1-(6+5)/E10</f>
        <v>0.5</v>
      </c>
      <c r="H10" s="3522"/>
      <c r="I10" s="3187"/>
      <c r="K10" s="3173">
        <f t="shared" si="0"/>
        <v>11</v>
      </c>
      <c r="M10" s="3174">
        <f t="shared" si="1"/>
        <v>3172488</v>
      </c>
    </row>
    <row r="11" spans="1:17" ht="27" customHeight="1">
      <c r="A11" s="3180">
        <v>7</v>
      </c>
      <c r="B11" s="3175" t="s">
        <v>4591</v>
      </c>
      <c r="C11" s="3529"/>
      <c r="D11" s="3530"/>
      <c r="E11" s="3527"/>
      <c r="F11" s="3528"/>
      <c r="G11" s="3529"/>
      <c r="H11" s="3530"/>
      <c r="I11" s="3187"/>
      <c r="K11" s="3173">
        <f>SUM(K5:K10)/SUM(E5:E10)</f>
        <v>0.89462365591397852</v>
      </c>
      <c r="M11" s="3174">
        <f>SUM(M5:M10)/10000</f>
        <v>9024.0228000000006</v>
      </c>
    </row>
    <row r="12" spans="1:17">
      <c r="A12" s="3187"/>
      <c r="B12" s="3187"/>
      <c r="C12" s="3190"/>
      <c r="D12" s="3189"/>
      <c r="E12" s="3189"/>
      <c r="F12" s="3189"/>
      <c r="G12" s="3189"/>
      <c r="H12" s="3189"/>
      <c r="I12" s="3188"/>
    </row>
    <row r="13" spans="1:17">
      <c r="A13" s="3187" t="s">
        <v>4590</v>
      </c>
      <c r="B13" s="3187"/>
      <c r="C13" s="3185"/>
      <c r="D13" s="3187"/>
      <c r="E13" s="3187"/>
      <c r="F13" s="3187"/>
      <c r="G13" s="3187"/>
      <c r="H13" s="3187"/>
      <c r="I13" s="3175"/>
    </row>
    <row r="14" spans="1:17" ht="27" customHeight="1">
      <c r="A14" s="3176">
        <v>1</v>
      </c>
      <c r="B14" s="3184" t="s">
        <v>4589</v>
      </c>
      <c r="C14" s="3533" t="s">
        <v>4588</v>
      </c>
      <c r="D14" s="3534"/>
      <c r="E14" s="3534"/>
      <c r="F14" s="3534"/>
      <c r="G14" s="3534"/>
      <c r="H14" s="3535"/>
      <c r="I14" s="3186"/>
      <c r="K14" s="3174">
        <v>9520000</v>
      </c>
      <c r="L14" s="3173">
        <f>K14/135</f>
        <v>70518.518518518526</v>
      </c>
      <c r="M14" s="3174">
        <f>140*3*365</f>
        <v>153300</v>
      </c>
      <c r="N14" s="3173">
        <f>L14/M14</f>
        <v>0.46000338237781163</v>
      </c>
      <c r="Q14" s="3173">
        <f>K14/10000</f>
        <v>952</v>
      </c>
    </row>
    <row r="15" spans="1:17" ht="27" customHeight="1">
      <c r="A15" s="3176">
        <v>2</v>
      </c>
      <c r="B15" s="3185" t="s">
        <v>4587</v>
      </c>
      <c r="C15" s="3533" t="s">
        <v>4586</v>
      </c>
      <c r="D15" s="3534"/>
      <c r="E15" s="3534"/>
      <c r="F15" s="3534"/>
      <c r="G15" s="3534"/>
      <c r="H15" s="3535"/>
      <c r="I15" s="3178"/>
      <c r="K15" s="3174">
        <v>443452.83018867922</v>
      </c>
      <c r="L15" s="3173">
        <f>22</f>
        <v>22</v>
      </c>
      <c r="M15" s="3174">
        <f>K15/L15</f>
        <v>20156.946826758147</v>
      </c>
      <c r="N15" s="3173">
        <f>22*3</f>
        <v>66</v>
      </c>
      <c r="O15" s="3173">
        <f>L15/N15</f>
        <v>0.33333333333333331</v>
      </c>
      <c r="Q15" s="3173">
        <f>K15/10000</f>
        <v>44.345283018867924</v>
      </c>
    </row>
    <row r="16" spans="1:17" ht="27" customHeight="1">
      <c r="A16" s="3176">
        <v>3</v>
      </c>
      <c r="B16" s="3184" t="s">
        <v>4585</v>
      </c>
      <c r="C16" s="3533" t="s">
        <v>4584</v>
      </c>
      <c r="D16" s="3534"/>
      <c r="E16" s="3534"/>
      <c r="F16" s="3534"/>
      <c r="G16" s="3534"/>
      <c r="H16" s="3535"/>
      <c r="I16" s="3178"/>
      <c r="K16" s="3174">
        <v>3606552.0708176112</v>
      </c>
      <c r="L16" s="3173">
        <v>584</v>
      </c>
      <c r="M16" s="3174">
        <f>K16/L16</f>
        <v>6175.60286098906</v>
      </c>
      <c r="N16" s="3173">
        <f>4*366</f>
        <v>1464</v>
      </c>
      <c r="O16" s="3173">
        <f>L16/N16</f>
        <v>0.39890710382513661</v>
      </c>
      <c r="Q16" s="3173">
        <f>K16/10000</f>
        <v>360.65520708176109</v>
      </c>
    </row>
    <row r="17" spans="1:9" ht="27" customHeight="1">
      <c r="A17" s="3537" t="s">
        <v>4583</v>
      </c>
      <c r="B17" s="3177" t="s">
        <v>4582</v>
      </c>
      <c r="C17" s="3523" t="s">
        <v>4581</v>
      </c>
      <c r="D17" s="3524"/>
      <c r="E17" s="3183" t="s">
        <v>4582</v>
      </c>
      <c r="F17" s="3536" t="s">
        <v>4581</v>
      </c>
      <c r="G17" s="3536"/>
      <c r="H17" s="3536"/>
      <c r="I17" s="3182"/>
    </row>
    <row r="18" spans="1:9" ht="27.75" customHeight="1">
      <c r="A18" s="3538"/>
      <c r="B18" s="3177" t="s">
        <v>4580</v>
      </c>
      <c r="C18" s="3523">
        <v>1541</v>
      </c>
      <c r="D18" s="3524"/>
      <c r="E18" s="3183"/>
      <c r="F18" s="3536"/>
      <c r="G18" s="3536"/>
      <c r="H18" s="3536"/>
      <c r="I18" s="3182"/>
    </row>
    <row r="19" spans="1:9" ht="27" customHeight="1">
      <c r="A19" s="3538"/>
      <c r="B19" s="3177" t="s">
        <v>4579</v>
      </c>
      <c r="C19" s="3523">
        <v>22</v>
      </c>
      <c r="D19" s="3524"/>
      <c r="E19" s="3177"/>
      <c r="F19" s="3536"/>
      <c r="G19" s="3536"/>
      <c r="H19" s="3536"/>
      <c r="I19" s="3175"/>
    </row>
    <row r="20" spans="1:9" ht="27" customHeight="1">
      <c r="A20" s="3538"/>
      <c r="B20" s="3179"/>
      <c r="C20" s="3523"/>
      <c r="D20" s="3524"/>
      <c r="E20" s="3181"/>
      <c r="F20" s="3536"/>
      <c r="G20" s="3536"/>
      <c r="H20" s="3536"/>
      <c r="I20" s="3175"/>
    </row>
    <row r="21" spans="1:9" ht="27" customHeight="1">
      <c r="A21" s="3539"/>
      <c r="B21" s="3179"/>
      <c r="C21" s="3523"/>
      <c r="D21" s="3524"/>
      <c r="E21" s="3177"/>
      <c r="F21" s="3536"/>
      <c r="G21" s="3536"/>
      <c r="H21" s="3536"/>
      <c r="I21" s="3175"/>
    </row>
  </sheetData>
  <mergeCells count="41">
    <mergeCell ref="C16:H16"/>
    <mergeCell ref="C17:D17"/>
    <mergeCell ref="F17:H17"/>
    <mergeCell ref="A17:A21"/>
    <mergeCell ref="C11:D11"/>
    <mergeCell ref="C18:D18"/>
    <mergeCell ref="F18:H18"/>
    <mergeCell ref="C19:D19"/>
    <mergeCell ref="C20:D20"/>
    <mergeCell ref="C21:D21"/>
    <mergeCell ref="F19:H19"/>
    <mergeCell ref="F20:H20"/>
    <mergeCell ref="F21:H21"/>
    <mergeCell ref="G11:H11"/>
    <mergeCell ref="A1:I1"/>
    <mergeCell ref="A2:C2"/>
    <mergeCell ref="C14:H14"/>
    <mergeCell ref="C15:H15"/>
    <mergeCell ref="E11:F11"/>
    <mergeCell ref="E7:F7"/>
    <mergeCell ref="E8:F8"/>
    <mergeCell ref="G3:H4"/>
    <mergeCell ref="E10:F10"/>
    <mergeCell ref="C5:D5"/>
    <mergeCell ref="C6:D6"/>
    <mergeCell ref="C7:D7"/>
    <mergeCell ref="C8:D8"/>
    <mergeCell ref="C9:D9"/>
    <mergeCell ref="C10:D10"/>
    <mergeCell ref="E5:F5"/>
    <mergeCell ref="G10:H10"/>
    <mergeCell ref="E6:F6"/>
    <mergeCell ref="E9:F9"/>
    <mergeCell ref="A3:B4"/>
    <mergeCell ref="C3:D4"/>
    <mergeCell ref="E3:F4"/>
    <mergeCell ref="G5:H5"/>
    <mergeCell ref="G6:H6"/>
    <mergeCell ref="G7:H7"/>
    <mergeCell ref="G8:H8"/>
    <mergeCell ref="G9:H9"/>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3B6B2-774F-42AC-B21F-4F49DAE760B3}">
  <dimension ref="A1"/>
  <sheetViews>
    <sheetView topLeftCell="E1" zoomScale="85" zoomScaleNormal="85" workbookViewId="0">
      <selection activeCell="R62" sqref="R62"/>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72ED-6E51-4C3F-BF97-C3F3966BAB40}">
  <dimension ref="A1"/>
  <sheetViews>
    <sheetView topLeftCell="A67" workbookViewId="0">
      <selection activeCell="K94" sqref="K94"/>
    </sheetView>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2573</v>
      </c>
      <c r="B1" s="2811" t="s">
        <v>2574</v>
      </c>
      <c r="C1" s="2811" t="s">
        <v>2575</v>
      </c>
      <c r="D1" s="2811" t="s">
        <v>2576</v>
      </c>
      <c r="E1" s="2811" t="s">
        <v>2577</v>
      </c>
      <c r="F1" s="2811" t="s">
        <v>2578</v>
      </c>
      <c r="G1" s="2811" t="s">
        <v>2579</v>
      </c>
      <c r="H1" s="2811" t="s">
        <v>2580</v>
      </c>
      <c r="I1" s="2811" t="s">
        <v>2581</v>
      </c>
      <c r="J1" s="2811" t="s">
        <v>2582</v>
      </c>
      <c r="K1" s="2811" t="s">
        <v>2583</v>
      </c>
      <c r="L1" s="2811" t="s">
        <v>2584</v>
      </c>
      <c r="M1" s="2812" t="s">
        <v>2585</v>
      </c>
    </row>
    <row r="2" spans="1:13" ht="19.5" customHeight="1">
      <c r="A2" s="2814" t="s">
        <v>2586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2587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2588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2589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2590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2591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2592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2593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2594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2595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2596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2597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2598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2599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2600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2601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2602</v>
      </c>
      <c r="B18" s="2836"/>
      <c r="C18" s="2837"/>
      <c r="D18" s="2837"/>
      <c r="E18" s="2836"/>
      <c r="F18" s="2837"/>
      <c r="G18" s="2837"/>
    </row>
    <row r="19" spans="1:13" ht="19.5" customHeight="1" thickBot="1">
      <c r="A19" s="2834" t="s">
        <v>2603</v>
      </c>
      <c r="B19" s="2839" t="s">
        <v>2604</v>
      </c>
      <c r="C19" s="2839" t="s">
        <v>2605</v>
      </c>
      <c r="D19" s="2840"/>
      <c r="E19" s="2834" t="s">
        <v>2606</v>
      </c>
      <c r="F19" s="2841"/>
      <c r="G19" s="2841"/>
    </row>
    <row r="20" spans="1:13" ht="19.5" customHeight="1">
      <c r="A20" s="3550" t="s">
        <v>2586</v>
      </c>
      <c r="B20" s="3540" t="s">
        <v>2607</v>
      </c>
      <c r="C20" s="3168" t="s">
        <v>2418</v>
      </c>
      <c r="D20" s="3168"/>
      <c r="E20" s="2844">
        <v>1</v>
      </c>
      <c r="F20" s="2845" t="s">
        <v>2419</v>
      </c>
      <c r="G20" s="2845"/>
    </row>
    <row r="21" spans="1:13" ht="19.5" customHeight="1">
      <c r="A21" s="3551"/>
      <c r="B21" s="3541"/>
      <c r="C21" s="2857" t="s">
        <v>2420</v>
      </c>
      <c r="D21" s="2857"/>
      <c r="E21" s="2848">
        <v>1</v>
      </c>
      <c r="F21" s="2845" t="s">
        <v>2421</v>
      </c>
      <c r="G21" s="2845"/>
    </row>
    <row r="22" spans="1:13" ht="19.5" customHeight="1">
      <c r="A22" s="3551"/>
      <c r="B22" s="3541"/>
      <c r="C22" s="2857" t="s">
        <v>2422</v>
      </c>
      <c r="D22" s="2857"/>
      <c r="E22" s="2848">
        <v>0.9</v>
      </c>
      <c r="F22" s="2845" t="s">
        <v>2423</v>
      </c>
      <c r="G22" s="2845"/>
    </row>
    <row r="23" spans="1:13" ht="19.5" customHeight="1">
      <c r="A23" s="3551"/>
      <c r="B23" s="3541"/>
      <c r="C23" s="2857" t="s">
        <v>2424</v>
      </c>
      <c r="D23" s="2857"/>
      <c r="E23" s="2848">
        <v>0.9</v>
      </c>
      <c r="F23" s="2845" t="s">
        <v>2425</v>
      </c>
      <c r="G23" s="2845"/>
    </row>
    <row r="24" spans="1:13" ht="19.5" customHeight="1">
      <c r="A24" s="3551"/>
      <c r="B24" s="3541"/>
      <c r="C24" s="2857" t="s">
        <v>2426</v>
      </c>
      <c r="D24" s="2857"/>
      <c r="E24" s="2848">
        <v>0.8</v>
      </c>
      <c r="F24" s="2845" t="s">
        <v>2427</v>
      </c>
      <c r="G24" s="2845"/>
    </row>
    <row r="25" spans="1:13" ht="19.5" customHeight="1">
      <c r="A25" s="3551"/>
      <c r="B25" s="3541"/>
      <c r="C25" s="2857" t="s">
        <v>2428</v>
      </c>
      <c r="D25" s="2857"/>
      <c r="E25" s="2848">
        <v>0.8</v>
      </c>
      <c r="F25" s="2845"/>
      <c r="G25" s="2845"/>
    </row>
    <row r="26" spans="1:13" ht="19.5" customHeight="1">
      <c r="A26" s="3551"/>
      <c r="B26" s="3541"/>
      <c r="C26" s="2857" t="s">
        <v>3391</v>
      </c>
      <c r="D26" s="2857"/>
      <c r="E26" s="2848">
        <v>0.43</v>
      </c>
      <c r="F26" s="2845"/>
      <c r="G26" s="2845"/>
    </row>
    <row r="27" spans="1:13" ht="19.5" customHeight="1" thickBot="1">
      <c r="A27" s="3552"/>
      <c r="B27" s="3542"/>
      <c r="C27" s="3164" t="s">
        <v>3392</v>
      </c>
      <c r="D27" s="3164"/>
      <c r="E27" s="2851">
        <f>E26*0.9</f>
        <v>0.38700000000000001</v>
      </c>
      <c r="F27" s="2845" t="s">
        <v>2429</v>
      </c>
      <c r="G27" s="2845"/>
    </row>
    <row r="28" spans="1:13" ht="19.5" customHeight="1" thickBot="1">
      <c r="A28" s="3163" t="s">
        <v>2608</v>
      </c>
      <c r="B28" s="3162" t="s">
        <v>2607</v>
      </c>
      <c r="C28" s="3165" t="s">
        <v>2609</v>
      </c>
      <c r="D28" s="3166"/>
      <c r="E28" s="3167">
        <v>1</v>
      </c>
      <c r="F28" s="2845" t="s">
        <v>2430</v>
      </c>
      <c r="G28" s="2845"/>
    </row>
    <row r="29" spans="1:13" ht="19.5" customHeight="1">
      <c r="A29" s="3543" t="s">
        <v>2610</v>
      </c>
      <c r="B29" s="3546" t="s">
        <v>2591</v>
      </c>
      <c r="C29" s="2842" t="s">
        <v>2431</v>
      </c>
      <c r="D29" s="2843"/>
      <c r="E29" s="2844">
        <v>1</v>
      </c>
      <c r="F29" s="2845" t="s">
        <v>2432</v>
      </c>
      <c r="G29" s="2845"/>
    </row>
    <row r="30" spans="1:13" ht="19.5" customHeight="1">
      <c r="A30" s="3544"/>
      <c r="B30" s="3547"/>
      <c r="C30" s="2846" t="s">
        <v>2433</v>
      </c>
      <c r="D30" s="2847"/>
      <c r="E30" s="2848">
        <v>1</v>
      </c>
      <c r="F30" s="2845" t="s">
        <v>2434</v>
      </c>
      <c r="G30" s="2845"/>
    </row>
    <row r="31" spans="1:13" ht="19.5" customHeight="1">
      <c r="A31" s="3544"/>
      <c r="B31" s="3547"/>
      <c r="C31" s="2846" t="s">
        <v>2435</v>
      </c>
      <c r="D31" s="2847"/>
      <c r="E31" s="2848">
        <v>0.8</v>
      </c>
      <c r="F31" s="2845" t="s">
        <v>2436</v>
      </c>
      <c r="G31" s="2845"/>
    </row>
    <row r="32" spans="1:13" ht="19.5" customHeight="1">
      <c r="A32" s="3544"/>
      <c r="B32" s="3547"/>
      <c r="C32" s="2846" t="s">
        <v>2437</v>
      </c>
      <c r="D32" s="2847"/>
      <c r="E32" s="2848">
        <v>0.8</v>
      </c>
      <c r="F32" s="2845" t="s">
        <v>2438</v>
      </c>
      <c r="G32" s="2845"/>
    </row>
    <row r="33" spans="1:7" ht="19.5" customHeight="1">
      <c r="A33" s="3544"/>
      <c r="B33" s="3547"/>
      <c r="C33" s="2846" t="s">
        <v>2439</v>
      </c>
      <c r="D33" s="2847"/>
      <c r="E33" s="2848">
        <v>0.8</v>
      </c>
      <c r="F33" s="2845" t="s">
        <v>2440</v>
      </c>
      <c r="G33" s="2845"/>
    </row>
    <row r="34" spans="1:7" ht="19.5" customHeight="1">
      <c r="A34" s="3544"/>
      <c r="B34" s="3547"/>
      <c r="C34" s="2846" t="s">
        <v>2441</v>
      </c>
      <c r="D34" s="2847"/>
      <c r="E34" s="2848">
        <v>0.7</v>
      </c>
      <c r="F34" s="2845" t="s">
        <v>2442</v>
      </c>
      <c r="G34" s="2845"/>
    </row>
    <row r="35" spans="1:7" ht="19.5" customHeight="1">
      <c r="A35" s="3544"/>
      <c r="B35" s="3547"/>
      <c r="C35" s="2846" t="s">
        <v>2443</v>
      </c>
      <c r="D35" s="2847"/>
      <c r="E35" s="2848">
        <v>0.8</v>
      </c>
      <c r="F35" s="2845" t="s">
        <v>2444</v>
      </c>
      <c r="G35" s="2845"/>
    </row>
    <row r="36" spans="1:7" ht="19.5" customHeight="1">
      <c r="A36" s="3544"/>
      <c r="B36" s="3547"/>
      <c r="C36" s="2846" t="s">
        <v>2445</v>
      </c>
      <c r="D36" s="2847"/>
      <c r="E36" s="2848">
        <v>0.6</v>
      </c>
      <c r="F36" s="2845" t="s">
        <v>2446</v>
      </c>
      <c r="G36" s="2845"/>
    </row>
    <row r="37" spans="1:7" ht="19.5" customHeight="1">
      <c r="A37" s="3544"/>
      <c r="B37" s="3547"/>
      <c r="C37" s="2846" t="s">
        <v>2447</v>
      </c>
      <c r="D37" s="2847"/>
      <c r="E37" s="2848">
        <v>0.2</v>
      </c>
      <c r="F37" s="2845" t="s">
        <v>2448</v>
      </c>
      <c r="G37" s="2845"/>
    </row>
    <row r="38" spans="1:7" ht="19.5" customHeight="1">
      <c r="A38" s="3544"/>
      <c r="B38" s="3547"/>
      <c r="C38" s="2846" t="s">
        <v>2449</v>
      </c>
      <c r="D38" s="2847"/>
      <c r="E38" s="2848">
        <v>0.2</v>
      </c>
      <c r="F38" s="2845" t="s">
        <v>2450</v>
      </c>
      <c r="G38" s="2845"/>
    </row>
    <row r="39" spans="1:7" ht="19.5" customHeight="1">
      <c r="A39" s="3544"/>
      <c r="B39" s="3548" t="s">
        <v>2611</v>
      </c>
      <c r="C39" s="2846" t="s">
        <v>2451</v>
      </c>
      <c r="D39" s="2847"/>
      <c r="E39" s="2848">
        <v>0.6</v>
      </c>
      <c r="F39" s="2845" t="s">
        <v>2452</v>
      </c>
      <c r="G39" s="2845"/>
    </row>
    <row r="40" spans="1:7" ht="19.5" customHeight="1">
      <c r="A40" s="3544"/>
      <c r="B40" s="3547"/>
      <c r="C40" s="2846" t="s">
        <v>2453</v>
      </c>
      <c r="D40" s="2847"/>
      <c r="E40" s="2848">
        <v>0.6</v>
      </c>
      <c r="F40" s="2845" t="s">
        <v>2454</v>
      </c>
      <c r="G40" s="2845"/>
    </row>
    <row r="41" spans="1:7" ht="19.5" customHeight="1" thickBot="1">
      <c r="A41" s="3545"/>
      <c r="B41" s="3549"/>
      <c r="C41" s="2849" t="s">
        <v>2455</v>
      </c>
      <c r="D41" s="2850"/>
      <c r="E41" s="2851">
        <v>0.6</v>
      </c>
      <c r="F41" s="2845" t="s">
        <v>2456</v>
      </c>
      <c r="G41" s="2845"/>
    </row>
    <row r="42" spans="1:7" ht="19.5" customHeight="1" thickBot="1">
      <c r="A42" s="2852" t="s">
        <v>2588</v>
      </c>
      <c r="B42" s="2853" t="s">
        <v>2588</v>
      </c>
      <c r="C42" s="2854" t="s">
        <v>2612</v>
      </c>
      <c r="D42" s="2855"/>
      <c r="E42" s="2856">
        <v>1</v>
      </c>
      <c r="F42" s="2845" t="s">
        <v>2457</v>
      </c>
      <c r="G42" s="2845"/>
    </row>
    <row r="43" spans="1:7" ht="19.5" customHeight="1">
      <c r="A43" s="3550" t="s">
        <v>2589</v>
      </c>
      <c r="B43" s="3546" t="s">
        <v>2613</v>
      </c>
      <c r="C43" s="2842" t="s">
        <v>2458</v>
      </c>
      <c r="D43" s="2843"/>
      <c r="E43" s="2844">
        <v>1</v>
      </c>
      <c r="F43" s="2845" t="s">
        <v>2459</v>
      </c>
      <c r="G43" s="2845"/>
    </row>
    <row r="44" spans="1:7" ht="19.5" customHeight="1">
      <c r="A44" s="3551"/>
      <c r="B44" s="3547"/>
      <c r="C44" s="2846" t="s">
        <v>2460</v>
      </c>
      <c r="D44" s="2847"/>
      <c r="E44" s="2848">
        <v>1</v>
      </c>
      <c r="F44" s="2845" t="s">
        <v>2461</v>
      </c>
      <c r="G44" s="2845"/>
    </row>
    <row r="45" spans="1:7" ht="19.5" customHeight="1">
      <c r="A45" s="3551"/>
      <c r="B45" s="3553"/>
      <c r="C45" s="2846" t="s">
        <v>2462</v>
      </c>
      <c r="D45" s="2847"/>
      <c r="E45" s="2848">
        <v>1.5</v>
      </c>
      <c r="F45" s="2845" t="s">
        <v>2463</v>
      </c>
      <c r="G45" s="2845"/>
    </row>
    <row r="46" spans="1:7" ht="19.5" customHeight="1">
      <c r="A46" s="3551"/>
      <c r="B46" s="2857" t="s">
        <v>2614</v>
      </c>
      <c r="C46" s="2846" t="s">
        <v>2615</v>
      </c>
      <c r="D46" s="2847"/>
      <c r="E46" s="2848">
        <v>2</v>
      </c>
      <c r="F46" s="2845" t="s">
        <v>2464</v>
      </c>
      <c r="G46" s="2845"/>
    </row>
    <row r="47" spans="1:7" ht="19.5" customHeight="1">
      <c r="A47" s="3551"/>
      <c r="B47" s="3548" t="s">
        <v>2616</v>
      </c>
      <c r="C47" s="2846" t="s">
        <v>2465</v>
      </c>
      <c r="D47" s="2847"/>
      <c r="E47" s="2848">
        <v>1</v>
      </c>
      <c r="F47" s="2845" t="s">
        <v>2466</v>
      </c>
      <c r="G47" s="2845"/>
    </row>
    <row r="48" spans="1:7" ht="19.5" customHeight="1">
      <c r="A48" s="3551"/>
      <c r="B48" s="3547"/>
      <c r="C48" s="2846" t="s">
        <v>2467</v>
      </c>
      <c r="D48" s="2847"/>
      <c r="E48" s="2848">
        <v>1</v>
      </c>
      <c r="F48" s="2845" t="s">
        <v>2468</v>
      </c>
      <c r="G48" s="2845"/>
    </row>
    <row r="49" spans="1:7" ht="19.5" customHeight="1">
      <c r="A49" s="3551"/>
      <c r="B49" s="3547"/>
      <c r="C49" s="2846" t="s">
        <v>2469</v>
      </c>
      <c r="D49" s="2847"/>
      <c r="E49" s="2848">
        <v>1</v>
      </c>
      <c r="F49" s="2845" t="s">
        <v>2470</v>
      </c>
      <c r="G49" s="2845"/>
    </row>
    <row r="50" spans="1:7" ht="19.5" customHeight="1">
      <c r="A50" s="3551"/>
      <c r="B50" s="3547"/>
      <c r="C50" s="2846" t="s">
        <v>2471</v>
      </c>
      <c r="D50" s="2847"/>
      <c r="E50" s="2848">
        <v>1</v>
      </c>
      <c r="F50" s="2845" t="s">
        <v>2472</v>
      </c>
      <c r="G50" s="2845"/>
    </row>
    <row r="51" spans="1:7" ht="19.5" customHeight="1">
      <c r="A51" s="3551"/>
      <c r="B51" s="3547"/>
      <c r="C51" s="2846" t="s">
        <v>2473</v>
      </c>
      <c r="D51" s="2847"/>
      <c r="E51" s="2848">
        <v>1</v>
      </c>
      <c r="F51" s="2845" t="s">
        <v>2474</v>
      </c>
      <c r="G51" s="2845"/>
    </row>
    <row r="52" spans="1:7" ht="19.5" customHeight="1">
      <c r="A52" s="3551"/>
      <c r="B52" s="3547"/>
      <c r="C52" s="2846" t="s">
        <v>2475</v>
      </c>
      <c r="D52" s="2847"/>
      <c r="E52" s="2848">
        <v>1</v>
      </c>
      <c r="F52" s="2845" t="s">
        <v>2476</v>
      </c>
      <c r="G52" s="2845"/>
    </row>
    <row r="53" spans="1:7" ht="19.5" customHeight="1" thickBot="1">
      <c r="A53" s="3552"/>
      <c r="B53" s="3549"/>
      <c r="C53" s="2849" t="s">
        <v>2477</v>
      </c>
      <c r="D53" s="2850"/>
      <c r="E53" s="2851">
        <v>1</v>
      </c>
      <c r="F53" s="2845" t="s">
        <v>2478</v>
      </c>
      <c r="G53" s="2845"/>
    </row>
    <row r="54" spans="1:7" ht="19.5" customHeight="1">
      <c r="A54" s="2858"/>
      <c r="B54" s="2858"/>
      <c r="C54" s="2858"/>
      <c r="D54" s="2858"/>
      <c r="E54" s="2858"/>
      <c r="F54" s="2858"/>
      <c r="G54" s="2858"/>
    </row>
    <row r="56" spans="1:7" ht="19.5" customHeight="1">
      <c r="A56" s="2859"/>
      <c r="B56" s="2831" t="s">
        <v>2617</v>
      </c>
      <c r="C56" s="2831" t="s">
        <v>2617</v>
      </c>
      <c r="D56" s="2831" t="s">
        <v>2617</v>
      </c>
      <c r="E56" s="2834" t="s">
        <v>2617</v>
      </c>
      <c r="F56" s="2834" t="s">
        <v>2618</v>
      </c>
      <c r="G56" s="2834" t="s">
        <v>2619</v>
      </c>
    </row>
    <row r="57" spans="1:7" ht="19.5" customHeight="1">
      <c r="A57" s="2860"/>
      <c r="B57" s="2834" t="s">
        <v>2586</v>
      </c>
      <c r="C57" s="2834" t="s">
        <v>2586</v>
      </c>
      <c r="D57" s="2834" t="s">
        <v>2586</v>
      </c>
      <c r="E57" s="2831" t="s">
        <v>2587</v>
      </c>
      <c r="F57" s="2831" t="s">
        <v>2589</v>
      </c>
      <c r="G57" s="2831" t="s">
        <v>2620</v>
      </c>
    </row>
    <row r="58" spans="1:7" ht="19.5" customHeight="1">
      <c r="A58" s="2861"/>
      <c r="B58" s="2831">
        <v>1</v>
      </c>
      <c r="C58" s="2831">
        <v>2</v>
      </c>
      <c r="D58" s="2831">
        <v>3</v>
      </c>
      <c r="E58" s="2862" t="s">
        <v>2621</v>
      </c>
      <c r="F58" s="2862" t="s">
        <v>2621</v>
      </c>
      <c r="G58" s="2862" t="s">
        <v>2621</v>
      </c>
    </row>
    <row r="59" spans="1:7" ht="19.5" customHeight="1">
      <c r="A59" s="2863" t="s">
        <v>2574</v>
      </c>
      <c r="B59" s="2831">
        <v>0.7</v>
      </c>
      <c r="C59" s="2831">
        <v>0.4</v>
      </c>
      <c r="D59" s="2831">
        <v>0.3</v>
      </c>
      <c r="E59" s="2862">
        <v>0.3</v>
      </c>
      <c r="F59" s="2831">
        <v>0.3</v>
      </c>
      <c r="G59" s="2831">
        <v>0.2</v>
      </c>
    </row>
    <row r="60" spans="1:7" ht="19.5" customHeight="1">
      <c r="A60" s="2863" t="s">
        <v>2575</v>
      </c>
      <c r="B60" s="2831">
        <v>0.7</v>
      </c>
      <c r="C60" s="2831">
        <v>0.4</v>
      </c>
      <c r="D60" s="2831">
        <v>0.3</v>
      </c>
      <c r="E60" s="2831">
        <v>0.3</v>
      </c>
      <c r="F60" s="2831">
        <v>0.3</v>
      </c>
      <c r="G60" s="2831">
        <v>0.2</v>
      </c>
    </row>
    <row r="61" spans="1:7" ht="19.5" customHeight="1">
      <c r="A61" s="2863" t="s">
        <v>2576</v>
      </c>
      <c r="B61" s="2831">
        <v>0.6</v>
      </c>
      <c r="C61" s="2831">
        <v>0.3</v>
      </c>
      <c r="D61" s="2831">
        <v>0.25</v>
      </c>
      <c r="E61" s="2831">
        <v>0.25</v>
      </c>
      <c r="F61" s="2831">
        <v>0.25</v>
      </c>
      <c r="G61" s="2831">
        <v>0.15</v>
      </c>
    </row>
    <row r="62" spans="1:7" ht="19.5" customHeight="1">
      <c r="A62" s="2863" t="s">
        <v>2577</v>
      </c>
      <c r="B62" s="2831">
        <v>0.6</v>
      </c>
      <c r="C62" s="2831">
        <v>0.3</v>
      </c>
      <c r="D62" s="2831">
        <v>0.25</v>
      </c>
      <c r="E62" s="2831">
        <v>0.25</v>
      </c>
      <c r="F62" s="2831">
        <v>0.25</v>
      </c>
      <c r="G62" s="2831">
        <v>0.15</v>
      </c>
    </row>
    <row r="63" spans="1:7" ht="19.5" customHeight="1">
      <c r="A63" s="2863" t="s">
        <v>2578</v>
      </c>
      <c r="B63" s="2831">
        <v>0.6</v>
      </c>
      <c r="C63" s="2831">
        <v>0.3</v>
      </c>
      <c r="D63" s="2831">
        <v>0.25</v>
      </c>
      <c r="E63" s="2831">
        <v>0.25</v>
      </c>
      <c r="F63" s="2831">
        <v>0.25</v>
      </c>
      <c r="G63" s="2831">
        <v>0.15</v>
      </c>
    </row>
    <row r="64" spans="1:7" ht="19.5" customHeight="1">
      <c r="A64" s="2863" t="s">
        <v>2579</v>
      </c>
      <c r="B64" s="2831">
        <v>0.6</v>
      </c>
      <c r="C64" s="2831">
        <v>0.3</v>
      </c>
      <c r="D64" s="2831">
        <v>0.25</v>
      </c>
      <c r="E64" s="2831">
        <v>0.25</v>
      </c>
      <c r="F64" s="2831">
        <v>0.25</v>
      </c>
      <c r="G64" s="2831">
        <v>0.15</v>
      </c>
    </row>
    <row r="65" spans="1:7" ht="19.5" customHeight="1">
      <c r="A65" s="2863" t="s">
        <v>2580</v>
      </c>
      <c r="B65" s="2831">
        <v>0.6</v>
      </c>
      <c r="C65" s="2831">
        <v>0.3</v>
      </c>
      <c r="D65" s="2831">
        <v>0.25</v>
      </c>
      <c r="E65" s="2831">
        <v>0.25</v>
      </c>
      <c r="F65" s="2831">
        <v>0.25</v>
      </c>
      <c r="G65" s="2831">
        <v>0.15</v>
      </c>
    </row>
    <row r="66" spans="1:7" ht="19.5" customHeight="1">
      <c r="A66" s="2863" t="s">
        <v>2581</v>
      </c>
      <c r="B66" s="2831">
        <v>0.5</v>
      </c>
      <c r="C66" s="2831">
        <v>0.2</v>
      </c>
      <c r="D66" s="2831">
        <v>0.2</v>
      </c>
      <c r="E66" s="2831">
        <v>0.2</v>
      </c>
      <c r="F66" s="2831">
        <v>0.2</v>
      </c>
      <c r="G66" s="2831">
        <v>0.1</v>
      </c>
    </row>
    <row r="67" spans="1:7" ht="19.5" customHeight="1">
      <c r="A67" s="2863" t="s">
        <v>2582</v>
      </c>
      <c r="B67" s="2831">
        <v>0.5</v>
      </c>
      <c r="C67" s="2831">
        <v>0.2</v>
      </c>
      <c r="D67" s="2831">
        <v>0.2</v>
      </c>
      <c r="E67" s="2831">
        <v>0.2</v>
      </c>
      <c r="F67" s="2831">
        <v>0.2</v>
      </c>
      <c r="G67" s="2831">
        <v>0.1</v>
      </c>
    </row>
    <row r="68" spans="1:7" ht="19.5" customHeight="1">
      <c r="A68" s="2863" t="s">
        <v>2583</v>
      </c>
      <c r="B68" s="2831">
        <v>0.5</v>
      </c>
      <c r="C68" s="2831">
        <v>0.2</v>
      </c>
      <c r="D68" s="2831">
        <v>0.2</v>
      </c>
      <c r="E68" s="2831">
        <v>0.2</v>
      </c>
      <c r="F68" s="2831">
        <v>0.2</v>
      </c>
      <c r="G68" s="2831">
        <v>0.1</v>
      </c>
    </row>
    <row r="69" spans="1:7" ht="19.5" customHeight="1">
      <c r="A69" s="2863" t="s">
        <v>2584</v>
      </c>
      <c r="B69" s="2831">
        <v>0.5</v>
      </c>
      <c r="C69" s="2831">
        <v>0.2</v>
      </c>
      <c r="D69" s="2831">
        <v>0.2</v>
      </c>
      <c r="E69" s="2831">
        <v>0.2</v>
      </c>
      <c r="F69" s="2831">
        <v>0.2</v>
      </c>
      <c r="G69" s="2831">
        <v>0.1</v>
      </c>
    </row>
    <row r="70" spans="1:7" ht="19.5" customHeight="1">
      <c r="A70" s="2863" t="s">
        <v>2585</v>
      </c>
      <c r="B70" s="2831">
        <v>0.5</v>
      </c>
      <c r="C70" s="2831">
        <v>0.2</v>
      </c>
      <c r="D70" s="2831">
        <v>0.2</v>
      </c>
      <c r="E70" s="2831">
        <v>0.2</v>
      </c>
      <c r="F70" s="2831">
        <v>0.2</v>
      </c>
      <c r="G70" s="2831">
        <v>0.1</v>
      </c>
    </row>
    <row r="72" spans="1:7" ht="19.5" customHeight="1">
      <c r="A72" s="2845"/>
      <c r="B72" s="2864"/>
      <c r="C72" s="2864"/>
      <c r="D72" s="2864" t="s">
        <v>2622</v>
      </c>
      <c r="E72" s="2864"/>
      <c r="F72" s="2864"/>
    </row>
    <row r="73" spans="1:7" ht="19.5" customHeight="1">
      <c r="A73" s="2857" t="s">
        <v>2623</v>
      </c>
      <c r="B73" s="2857" t="s">
        <v>2624</v>
      </c>
      <c r="C73" s="2857" t="s">
        <v>2625</v>
      </c>
      <c r="D73" s="2857" t="s">
        <v>2626</v>
      </c>
      <c r="E73" s="2857" t="s">
        <v>2627</v>
      </c>
      <c r="F73" s="2857" t="s">
        <v>2628</v>
      </c>
    </row>
    <row r="74" spans="1:7" ht="13.5">
      <c r="A74" s="2857"/>
      <c r="B74" s="2857"/>
      <c r="C74" s="2857" t="s">
        <v>2629</v>
      </c>
      <c r="D74" s="2857"/>
      <c r="E74" s="2857" t="s">
        <v>2600</v>
      </c>
      <c r="F74" s="2857" t="s">
        <v>2600</v>
      </c>
    </row>
    <row r="75" spans="1:7" ht="13.5">
      <c r="A75" s="2857">
        <v>1</v>
      </c>
      <c r="B75" s="3548" t="s">
        <v>2630</v>
      </c>
      <c r="C75" s="2831" t="s">
        <v>2631</v>
      </c>
      <c r="D75" s="2831" t="s">
        <v>2632</v>
      </c>
      <c r="E75" s="2857">
        <v>0.2</v>
      </c>
      <c r="F75" s="2857">
        <v>25</v>
      </c>
    </row>
    <row r="76" spans="1:7" ht="24">
      <c r="A76" s="2857">
        <v>2</v>
      </c>
      <c r="B76" s="3547"/>
      <c r="C76" s="2831" t="s">
        <v>2633</v>
      </c>
      <c r="D76" s="2831" t="s">
        <v>2634</v>
      </c>
      <c r="E76" s="2857">
        <v>0.2</v>
      </c>
      <c r="F76" s="2857">
        <v>25</v>
      </c>
    </row>
    <row r="77" spans="1:7" ht="24">
      <c r="A77" s="2857">
        <v>3</v>
      </c>
      <c r="B77" s="3547"/>
      <c r="C77" s="2831" t="s">
        <v>2635</v>
      </c>
      <c r="D77" s="2831" t="s">
        <v>2636</v>
      </c>
      <c r="E77" s="2857">
        <v>0.2</v>
      </c>
      <c r="F77" s="2857">
        <v>25</v>
      </c>
    </row>
    <row r="78" spans="1:7" ht="13.5">
      <c r="A78" s="2857">
        <v>4</v>
      </c>
      <c r="B78" s="3547"/>
      <c r="C78" s="2831" t="s">
        <v>2637</v>
      </c>
      <c r="D78" s="2831" t="s">
        <v>2638</v>
      </c>
      <c r="E78" s="2857">
        <v>0.15</v>
      </c>
      <c r="F78" s="2857">
        <v>20</v>
      </c>
    </row>
    <row r="79" spans="1:7" ht="24">
      <c r="A79" s="2857">
        <v>5</v>
      </c>
      <c r="B79" s="3547"/>
      <c r="C79" s="2831" t="s">
        <v>2639</v>
      </c>
      <c r="D79" s="2831" t="s">
        <v>2640</v>
      </c>
      <c r="E79" s="2857">
        <v>0.15</v>
      </c>
      <c r="F79" s="2857">
        <v>20</v>
      </c>
    </row>
    <row r="80" spans="1:7" ht="24">
      <c r="A80" s="2857">
        <v>6</v>
      </c>
      <c r="B80" s="3547"/>
      <c r="C80" s="2831" t="s">
        <v>2641</v>
      </c>
      <c r="D80" s="2831" t="s">
        <v>2642</v>
      </c>
      <c r="E80" s="2857">
        <v>0.15</v>
      </c>
      <c r="F80" s="2857">
        <v>20</v>
      </c>
    </row>
    <row r="81" spans="1:6" ht="24">
      <c r="A81" s="2857">
        <v>7</v>
      </c>
      <c r="B81" s="3547"/>
      <c r="C81" s="2831" t="s">
        <v>2643</v>
      </c>
      <c r="D81" s="2831" t="s">
        <v>2644</v>
      </c>
      <c r="E81" s="2857">
        <v>0.15</v>
      </c>
      <c r="F81" s="2857">
        <v>20</v>
      </c>
    </row>
    <row r="82" spans="1:6" ht="24">
      <c r="A82" s="2857">
        <v>8</v>
      </c>
      <c r="B82" s="3547"/>
      <c r="C82" s="2831" t="s">
        <v>2645</v>
      </c>
      <c r="D82" s="2831" t="s">
        <v>2646</v>
      </c>
      <c r="E82" s="2857">
        <v>0.1</v>
      </c>
      <c r="F82" s="2857">
        <v>15</v>
      </c>
    </row>
    <row r="83" spans="1:6" ht="24">
      <c r="A83" s="2857">
        <v>9</v>
      </c>
      <c r="B83" s="3547"/>
      <c r="C83" s="2831" t="s">
        <v>2647</v>
      </c>
      <c r="D83" s="2831" t="s">
        <v>2648</v>
      </c>
      <c r="E83" s="2857">
        <v>0.1</v>
      </c>
      <c r="F83" s="2857">
        <v>15</v>
      </c>
    </row>
    <row r="84" spans="1:6" ht="24">
      <c r="A84" s="2857">
        <v>10</v>
      </c>
      <c r="B84" s="3547"/>
      <c r="C84" s="2831" t="s">
        <v>2649</v>
      </c>
      <c r="D84" s="2831" t="s">
        <v>2650</v>
      </c>
      <c r="E84" s="2857">
        <v>0.1</v>
      </c>
      <c r="F84" s="2857">
        <v>15</v>
      </c>
    </row>
    <row r="85" spans="1:6" ht="24">
      <c r="A85" s="2857">
        <v>11</v>
      </c>
      <c r="B85" s="3547"/>
      <c r="C85" s="2831" t="s">
        <v>2651</v>
      </c>
      <c r="D85" s="2831" t="s">
        <v>2652</v>
      </c>
      <c r="E85" s="2857">
        <v>0.1</v>
      </c>
      <c r="F85" s="2857">
        <v>15</v>
      </c>
    </row>
    <row r="86" spans="1:6" ht="24">
      <c r="A86" s="2857">
        <v>12</v>
      </c>
      <c r="B86" s="3547"/>
      <c r="C86" s="2831" t="s">
        <v>2653</v>
      </c>
      <c r="D86" s="2831" t="s">
        <v>2654</v>
      </c>
      <c r="E86" s="2857">
        <v>0.1</v>
      </c>
      <c r="F86" s="2857">
        <v>15</v>
      </c>
    </row>
    <row r="87" spans="1:6" ht="13.5">
      <c r="A87" s="2857">
        <v>13</v>
      </c>
      <c r="B87" s="3547"/>
      <c r="C87" s="2831" t="s">
        <v>2655</v>
      </c>
      <c r="D87" s="2831" t="s">
        <v>2656</v>
      </c>
      <c r="E87" s="2857">
        <v>0.1</v>
      </c>
      <c r="F87" s="2857">
        <v>15</v>
      </c>
    </row>
    <row r="88" spans="1:6" ht="13.5">
      <c r="A88" s="2857">
        <v>14</v>
      </c>
      <c r="B88" s="3547"/>
      <c r="C88" s="2831" t="s">
        <v>2657</v>
      </c>
      <c r="D88" s="2831" t="s">
        <v>2658</v>
      </c>
      <c r="E88" s="2857">
        <v>0.1</v>
      </c>
      <c r="F88" s="2857">
        <v>15</v>
      </c>
    </row>
    <row r="89" spans="1:6" ht="13.5">
      <c r="A89" s="2857">
        <v>15</v>
      </c>
      <c r="B89" s="3547"/>
      <c r="C89" s="2831" t="s">
        <v>2659</v>
      </c>
      <c r="D89" s="2831" t="s">
        <v>2660</v>
      </c>
      <c r="E89" s="2857">
        <v>0.1</v>
      </c>
      <c r="F89" s="2857">
        <v>15</v>
      </c>
    </row>
    <row r="90" spans="1:6" ht="24">
      <c r="A90" s="2857">
        <v>16</v>
      </c>
      <c r="B90" s="3547"/>
      <c r="C90" s="2831" t="s">
        <v>2661</v>
      </c>
      <c r="D90" s="2831" t="s">
        <v>2662</v>
      </c>
      <c r="E90" s="2857">
        <v>0.1</v>
      </c>
      <c r="F90" s="2857">
        <v>15</v>
      </c>
    </row>
    <row r="91" spans="1:6" ht="24">
      <c r="A91" s="2857">
        <v>17</v>
      </c>
      <c r="B91" s="3553"/>
      <c r="C91" s="2831" t="s">
        <v>2663</v>
      </c>
      <c r="D91" s="2831" t="s">
        <v>2664</v>
      </c>
      <c r="E91" s="2857">
        <v>0.1</v>
      </c>
      <c r="F91" s="2857">
        <v>15</v>
      </c>
    </row>
    <row r="92" spans="1:6" ht="13.5">
      <c r="A92" s="2857">
        <v>18</v>
      </c>
      <c r="B92" s="3548" t="s">
        <v>2665</v>
      </c>
      <c r="C92" s="2831" t="s">
        <v>2666</v>
      </c>
      <c r="D92" s="2831" t="s">
        <v>2667</v>
      </c>
      <c r="E92" s="2857">
        <v>0.2</v>
      </c>
      <c r="F92" s="2857">
        <v>25</v>
      </c>
    </row>
    <row r="93" spans="1:6" ht="24">
      <c r="A93" s="2857">
        <v>19</v>
      </c>
      <c r="B93" s="3547"/>
      <c r="C93" s="2831" t="s">
        <v>2668</v>
      </c>
      <c r="D93" s="2831" t="s">
        <v>2669</v>
      </c>
      <c r="E93" s="2857">
        <v>0.2</v>
      </c>
      <c r="F93" s="2857">
        <v>25</v>
      </c>
    </row>
    <row r="94" spans="1:6" ht="13.5">
      <c r="A94" s="2857">
        <v>20</v>
      </c>
      <c r="B94" s="3547"/>
      <c r="C94" s="2831" t="s">
        <v>2670</v>
      </c>
      <c r="D94" s="2831" t="s">
        <v>2671</v>
      </c>
      <c r="E94" s="2857">
        <v>0.15</v>
      </c>
      <c r="F94" s="2857">
        <v>20</v>
      </c>
    </row>
    <row r="95" spans="1:6" ht="13.5">
      <c r="A95" s="2857">
        <v>21</v>
      </c>
      <c r="B95" s="3547"/>
      <c r="C95" s="2831" t="s">
        <v>2672</v>
      </c>
      <c r="D95" s="2831" t="s">
        <v>2673</v>
      </c>
      <c r="E95" s="2857">
        <v>0.15</v>
      </c>
      <c r="F95" s="2857">
        <v>20</v>
      </c>
    </row>
    <row r="96" spans="1:6" ht="13.5">
      <c r="A96" s="2857">
        <v>22</v>
      </c>
      <c r="B96" s="3547"/>
      <c r="C96" s="2831" t="s">
        <v>2674</v>
      </c>
      <c r="D96" s="2831" t="s">
        <v>2675</v>
      </c>
      <c r="E96" s="2857">
        <v>0.15</v>
      </c>
      <c r="F96" s="2857">
        <v>20</v>
      </c>
    </row>
    <row r="97" spans="1:6" ht="36">
      <c r="A97" s="2857">
        <v>23</v>
      </c>
      <c r="B97" s="3547"/>
      <c r="C97" s="2831" t="s">
        <v>2676</v>
      </c>
      <c r="D97" s="2831" t="s">
        <v>2677</v>
      </c>
      <c r="E97" s="2857">
        <v>0.15</v>
      </c>
      <c r="F97" s="2857">
        <v>20</v>
      </c>
    </row>
    <row r="98" spans="1:6" ht="13.5">
      <c r="A98" s="2857">
        <v>24</v>
      </c>
      <c r="B98" s="3547"/>
      <c r="C98" s="2831" t="s">
        <v>2678</v>
      </c>
      <c r="D98" s="2831" t="s">
        <v>2679</v>
      </c>
      <c r="E98" s="2857">
        <v>0.1</v>
      </c>
      <c r="F98" s="2857">
        <v>15</v>
      </c>
    </row>
    <row r="99" spans="1:6" ht="13.5">
      <c r="A99" s="2857">
        <v>25</v>
      </c>
      <c r="B99" s="3547"/>
      <c r="C99" s="2831" t="s">
        <v>2680</v>
      </c>
      <c r="D99" s="2831" t="s">
        <v>2681</v>
      </c>
      <c r="E99" s="2857">
        <v>0.1</v>
      </c>
      <c r="F99" s="2857">
        <v>15</v>
      </c>
    </row>
    <row r="100" spans="1:6" ht="24">
      <c r="A100" s="2857">
        <v>26</v>
      </c>
      <c r="B100" s="3547"/>
      <c r="C100" s="2831" t="s">
        <v>2682</v>
      </c>
      <c r="D100" s="2831" t="s">
        <v>2683</v>
      </c>
      <c r="E100" s="2857">
        <v>0.1</v>
      </c>
      <c r="F100" s="2857">
        <v>15</v>
      </c>
    </row>
    <row r="101" spans="1:6" ht="24">
      <c r="A101" s="2857">
        <v>27</v>
      </c>
      <c r="B101" s="3547"/>
      <c r="C101" s="2831" t="s">
        <v>2684</v>
      </c>
      <c r="D101" s="2831" t="s">
        <v>2685</v>
      </c>
      <c r="E101" s="2857">
        <v>0.1</v>
      </c>
      <c r="F101" s="2857">
        <v>15</v>
      </c>
    </row>
    <row r="102" spans="1:6" ht="13.5">
      <c r="A102" s="2857">
        <v>28</v>
      </c>
      <c r="B102" s="3547"/>
      <c r="C102" s="2831" t="s">
        <v>2686</v>
      </c>
      <c r="D102" s="2831" t="s">
        <v>2687</v>
      </c>
      <c r="E102" s="2857">
        <v>0.1</v>
      </c>
      <c r="F102" s="2857">
        <v>15</v>
      </c>
    </row>
    <row r="103" spans="1:6" ht="13.5">
      <c r="A103" s="2857">
        <v>29</v>
      </c>
      <c r="B103" s="3547"/>
      <c r="C103" s="2831" t="s">
        <v>2688</v>
      </c>
      <c r="D103" s="2831" t="s">
        <v>2689</v>
      </c>
      <c r="E103" s="2857">
        <v>0.1</v>
      </c>
      <c r="F103" s="2857">
        <v>15</v>
      </c>
    </row>
    <row r="104" spans="1:6" ht="13.5">
      <c r="A104" s="2857">
        <v>30</v>
      </c>
      <c r="B104" s="3547"/>
      <c r="C104" s="2831" t="s">
        <v>2690</v>
      </c>
      <c r="D104" s="2831" t="s">
        <v>2691</v>
      </c>
      <c r="E104" s="2857">
        <v>0.1</v>
      </c>
      <c r="F104" s="2857">
        <v>15</v>
      </c>
    </row>
    <row r="105" spans="1:6" ht="24">
      <c r="A105" s="2857">
        <v>31</v>
      </c>
      <c r="B105" s="3547"/>
      <c r="C105" s="2831" t="s">
        <v>2692</v>
      </c>
      <c r="D105" s="2831" t="s">
        <v>2693</v>
      </c>
      <c r="E105" s="2857">
        <v>0.1</v>
      </c>
      <c r="F105" s="2857">
        <v>15</v>
      </c>
    </row>
    <row r="106" spans="1:6" ht="24">
      <c r="A106" s="2857">
        <v>32</v>
      </c>
      <c r="B106" s="3547"/>
      <c r="C106" s="2831" t="s">
        <v>2694</v>
      </c>
      <c r="D106" s="2831" t="s">
        <v>2695</v>
      </c>
      <c r="E106" s="2857">
        <v>0.1</v>
      </c>
      <c r="F106" s="2857">
        <v>15</v>
      </c>
    </row>
    <row r="107" spans="1:6" ht="24">
      <c r="A107" s="2857">
        <v>33</v>
      </c>
      <c r="B107" s="3547"/>
      <c r="C107" s="2831" t="s">
        <v>2696</v>
      </c>
      <c r="D107" s="2831" t="s">
        <v>2697</v>
      </c>
      <c r="E107" s="2857">
        <v>0.1</v>
      </c>
      <c r="F107" s="2857">
        <v>15</v>
      </c>
    </row>
    <row r="108" spans="1:6" ht="24">
      <c r="A108" s="2857">
        <v>34</v>
      </c>
      <c r="B108" s="3553"/>
      <c r="C108" s="2831" t="s">
        <v>2698</v>
      </c>
      <c r="D108" s="2831" t="s">
        <v>2699</v>
      </c>
      <c r="E108" s="2857">
        <v>0.1</v>
      </c>
      <c r="F108" s="2857">
        <v>15</v>
      </c>
    </row>
    <row r="109" spans="1:6" ht="24">
      <c r="A109" s="2857">
        <v>35</v>
      </c>
      <c r="B109" s="3548" t="s">
        <v>2700</v>
      </c>
      <c r="C109" s="2857" t="s">
        <v>2701</v>
      </c>
      <c r="D109" s="2831" t="s">
        <v>2702</v>
      </c>
      <c r="E109" s="2857">
        <v>0.15</v>
      </c>
      <c r="F109" s="2857">
        <v>20</v>
      </c>
    </row>
    <row r="110" spans="1:6" ht="13.5">
      <c r="A110" s="2857">
        <v>36</v>
      </c>
      <c r="B110" s="3547"/>
      <c r="C110" s="2857" t="s">
        <v>2703</v>
      </c>
      <c r="D110" s="2831" t="s">
        <v>2704</v>
      </c>
      <c r="E110" s="2857">
        <v>0.15</v>
      </c>
      <c r="F110" s="2857">
        <v>20</v>
      </c>
    </row>
    <row r="111" spans="1:6" ht="13.5">
      <c r="A111" s="2857">
        <v>37</v>
      </c>
      <c r="B111" s="3547"/>
      <c r="C111" s="2857" t="s">
        <v>2705</v>
      </c>
      <c r="D111" s="2831" t="s">
        <v>2706</v>
      </c>
      <c r="E111" s="2857">
        <v>0.15</v>
      </c>
      <c r="F111" s="2857">
        <v>20</v>
      </c>
    </row>
    <row r="112" spans="1:6" ht="13.5">
      <c r="A112" s="2857">
        <v>38</v>
      </c>
      <c r="B112" s="3547"/>
      <c r="C112" s="2857" t="s">
        <v>2707</v>
      </c>
      <c r="D112" s="2831" t="s">
        <v>2708</v>
      </c>
      <c r="E112" s="2857">
        <v>0.1</v>
      </c>
      <c r="F112" s="2857">
        <v>15</v>
      </c>
    </row>
    <row r="113" spans="1:6" ht="24">
      <c r="A113" s="2857">
        <v>39</v>
      </c>
      <c r="B113" s="3547"/>
      <c r="C113" s="2857" t="s">
        <v>2709</v>
      </c>
      <c r="D113" s="2831" t="s">
        <v>2710</v>
      </c>
      <c r="E113" s="2857">
        <v>0.1</v>
      </c>
      <c r="F113" s="2857">
        <v>15</v>
      </c>
    </row>
    <row r="114" spans="1:6" ht="24">
      <c r="A114" s="2857">
        <v>40</v>
      </c>
      <c r="B114" s="3553"/>
      <c r="C114" s="2857" t="s">
        <v>2711</v>
      </c>
      <c r="D114" s="2831" t="s">
        <v>2712</v>
      </c>
      <c r="E114" s="2857">
        <v>0.1</v>
      </c>
      <c r="F114" s="2857">
        <v>15</v>
      </c>
    </row>
    <row r="115" spans="1:6" ht="13.5">
      <c r="A115" s="2857">
        <v>41</v>
      </c>
      <c r="B115" s="3541" t="s">
        <v>2713</v>
      </c>
      <c r="C115" s="2857" t="s">
        <v>2714</v>
      </c>
      <c r="D115" s="2831" t="s">
        <v>2715</v>
      </c>
      <c r="E115" s="2857">
        <v>0.1</v>
      </c>
      <c r="F115" s="2857">
        <v>15</v>
      </c>
    </row>
    <row r="116" spans="1:6" ht="13.5">
      <c r="A116" s="2857">
        <v>42</v>
      </c>
      <c r="B116" s="3541"/>
      <c r="C116" s="2857" t="s">
        <v>2716</v>
      </c>
      <c r="D116" s="2831" t="s">
        <v>2717</v>
      </c>
      <c r="E116" s="2857">
        <v>0.1</v>
      </c>
      <c r="F116" s="2857">
        <v>15</v>
      </c>
    </row>
    <row r="117" spans="1:6" ht="24">
      <c r="A117" s="2857">
        <v>43</v>
      </c>
      <c r="B117" s="3541"/>
      <c r="C117" s="2857" t="s">
        <v>2718</v>
      </c>
      <c r="D117" s="2831" t="s">
        <v>2719</v>
      </c>
      <c r="E117" s="2857">
        <v>0.1</v>
      </c>
      <c r="F117" s="2857">
        <v>15</v>
      </c>
    </row>
    <row r="118" spans="1:6" ht="13.5">
      <c r="A118" s="2857">
        <v>44</v>
      </c>
      <c r="B118" s="3548" t="s">
        <v>2720</v>
      </c>
      <c r="C118" s="2857" t="s">
        <v>2721</v>
      </c>
      <c r="D118" s="2831" t="s">
        <v>2722</v>
      </c>
      <c r="E118" s="2857">
        <v>0.1</v>
      </c>
      <c r="F118" s="2857">
        <v>15</v>
      </c>
    </row>
    <row r="119" spans="1:6" ht="24">
      <c r="A119" s="2857">
        <v>45</v>
      </c>
      <c r="B119" s="3553"/>
      <c r="C119" s="2831" t="s">
        <v>2723</v>
      </c>
      <c r="D119" s="2831" t="s">
        <v>2724</v>
      </c>
      <c r="E119" s="2857">
        <v>0.1</v>
      </c>
      <c r="F119" s="2857">
        <v>15</v>
      </c>
    </row>
    <row r="120" spans="1:6" ht="24">
      <c r="A120" s="2857">
        <v>46</v>
      </c>
      <c r="B120" s="3548" t="s">
        <v>2725</v>
      </c>
      <c r="C120" s="2857" t="s">
        <v>2726</v>
      </c>
      <c r="D120" s="2831" t="s">
        <v>2727</v>
      </c>
      <c r="E120" s="2857">
        <v>0.1</v>
      </c>
      <c r="F120" s="2857">
        <v>15</v>
      </c>
    </row>
    <row r="121" spans="1:6" ht="24">
      <c r="A121" s="2857">
        <v>47</v>
      </c>
      <c r="B121" s="3553"/>
      <c r="C121" s="2857" t="s">
        <v>2728</v>
      </c>
      <c r="D121" s="2831" t="s">
        <v>2729</v>
      </c>
      <c r="E121" s="2857">
        <v>0.1</v>
      </c>
      <c r="F121" s="2857">
        <v>15</v>
      </c>
    </row>
    <row r="122" spans="1:6" ht="13.5">
      <c r="A122" s="2857">
        <v>48</v>
      </c>
      <c r="B122" s="3548" t="s">
        <v>2730</v>
      </c>
      <c r="C122" s="2857" t="s">
        <v>2731</v>
      </c>
      <c r="D122" s="2831" t="s">
        <v>2732</v>
      </c>
      <c r="E122" s="2857">
        <v>0.1</v>
      </c>
      <c r="F122" s="2857">
        <v>15</v>
      </c>
    </row>
    <row r="123" spans="1:6" ht="13.5">
      <c r="A123" s="2857">
        <v>49</v>
      </c>
      <c r="B123" s="3553"/>
      <c r="C123" s="2857" t="s">
        <v>2733</v>
      </c>
      <c r="D123" s="2831" t="s">
        <v>2734</v>
      </c>
      <c r="E123" s="2857">
        <v>0.1</v>
      </c>
      <c r="F123" s="2857">
        <v>15</v>
      </c>
    </row>
    <row r="124" spans="1:6" ht="24">
      <c r="A124" s="2857">
        <v>50</v>
      </c>
      <c r="B124" s="3541" t="s">
        <v>2735</v>
      </c>
      <c r="C124" s="2857" t="s">
        <v>2736</v>
      </c>
      <c r="D124" s="2831" t="s">
        <v>2737</v>
      </c>
      <c r="E124" s="2857">
        <v>0.1</v>
      </c>
      <c r="F124" s="2857">
        <v>15</v>
      </c>
    </row>
    <row r="125" spans="1:6" ht="24">
      <c r="A125" s="2857">
        <v>51</v>
      </c>
      <c r="B125" s="3541"/>
      <c r="C125" s="2857" t="s">
        <v>2738</v>
      </c>
      <c r="D125" s="2831" t="s">
        <v>2739</v>
      </c>
      <c r="E125" s="2857">
        <v>0.1</v>
      </c>
      <c r="F125" s="2857">
        <v>15</v>
      </c>
    </row>
    <row r="126" spans="1:6" ht="24">
      <c r="A126" s="2857">
        <v>52</v>
      </c>
      <c r="B126" s="3541" t="s">
        <v>2740</v>
      </c>
      <c r="C126" s="2857" t="s">
        <v>2741</v>
      </c>
      <c r="D126" s="2831" t="s">
        <v>2742</v>
      </c>
      <c r="E126" s="2857">
        <v>0.1</v>
      </c>
      <c r="F126" s="2857">
        <v>15</v>
      </c>
    </row>
    <row r="127" spans="1:6" ht="24">
      <c r="A127" s="2857">
        <v>53</v>
      </c>
      <c r="B127" s="3541"/>
      <c r="C127" s="2857" t="s">
        <v>2743</v>
      </c>
      <c r="D127" s="2831" t="s">
        <v>2744</v>
      </c>
      <c r="E127" s="2857">
        <v>0.1</v>
      </c>
      <c r="F127" s="2857">
        <v>15</v>
      </c>
    </row>
    <row r="128" spans="1:6" ht="13.5">
      <c r="A128" s="2857">
        <v>54</v>
      </c>
      <c r="B128" s="2857" t="s">
        <v>2745</v>
      </c>
      <c r="C128" s="2857" t="s">
        <v>2746</v>
      </c>
      <c r="D128" s="2831" t="s">
        <v>2747</v>
      </c>
      <c r="E128" s="2857">
        <v>0.1</v>
      </c>
      <c r="F128" s="2857">
        <v>15</v>
      </c>
    </row>
    <row r="129" spans="1:6" ht="13.5">
      <c r="A129" s="2857">
        <v>55</v>
      </c>
      <c r="B129" s="3541" t="s">
        <v>2748</v>
      </c>
      <c r="C129" s="2857" t="s">
        <v>2749</v>
      </c>
      <c r="D129" s="2831" t="s">
        <v>2750</v>
      </c>
      <c r="E129" s="2857">
        <v>0.1</v>
      </c>
      <c r="F129" s="2857">
        <v>15</v>
      </c>
    </row>
    <row r="130" spans="1:6" ht="13.5">
      <c r="A130" s="2857">
        <v>56</v>
      </c>
      <c r="B130" s="3541"/>
      <c r="C130" s="2857" t="s">
        <v>2751</v>
      </c>
      <c r="D130" s="2831" t="s">
        <v>2752</v>
      </c>
      <c r="E130" s="2857">
        <v>0.1</v>
      </c>
      <c r="F130" s="2857">
        <v>15</v>
      </c>
    </row>
    <row r="131" spans="1:6" ht="24">
      <c r="A131" s="2857">
        <v>57</v>
      </c>
      <c r="B131" s="3541"/>
      <c r="C131" s="2857" t="s">
        <v>2753</v>
      </c>
      <c r="D131" s="2831" t="s">
        <v>2754</v>
      </c>
      <c r="E131" s="2857">
        <v>0.1</v>
      </c>
      <c r="F131" s="2857">
        <v>15</v>
      </c>
    </row>
    <row r="132" spans="1:6" ht="24">
      <c r="A132" s="2857">
        <v>58</v>
      </c>
      <c r="B132" s="3541" t="s">
        <v>2755</v>
      </c>
      <c r="C132" s="2857" t="s">
        <v>2756</v>
      </c>
      <c r="D132" s="2831" t="s">
        <v>2757</v>
      </c>
      <c r="E132" s="2857">
        <v>0.1</v>
      </c>
      <c r="F132" s="2857">
        <v>15</v>
      </c>
    </row>
    <row r="133" spans="1:6" ht="13.5">
      <c r="A133" s="2857">
        <v>59</v>
      </c>
      <c r="B133" s="3541"/>
      <c r="C133" s="2857" t="s">
        <v>2758</v>
      </c>
      <c r="D133" s="2831" t="s">
        <v>2759</v>
      </c>
      <c r="E133" s="2857">
        <v>0.1</v>
      </c>
      <c r="F133" s="2857">
        <v>15</v>
      </c>
    </row>
    <row r="134" spans="1:6" ht="13.5">
      <c r="A134" s="2857">
        <v>60</v>
      </c>
      <c r="B134" s="3548" t="s">
        <v>2760</v>
      </c>
      <c r="C134" s="2857" t="s">
        <v>2761</v>
      </c>
      <c r="D134" s="2831" t="s">
        <v>2762</v>
      </c>
      <c r="E134" s="2857">
        <v>0.1</v>
      </c>
      <c r="F134" s="2857">
        <v>15</v>
      </c>
    </row>
    <row r="135" spans="1:6" ht="13.5">
      <c r="A135" s="2857">
        <v>61</v>
      </c>
      <c r="B135" s="3553"/>
      <c r="C135" s="2857" t="s">
        <v>2763</v>
      </c>
      <c r="D135" s="2831" t="s">
        <v>2764</v>
      </c>
      <c r="E135" s="2857">
        <v>0.1</v>
      </c>
      <c r="F135" s="2857">
        <v>15</v>
      </c>
    </row>
    <row r="136" spans="1:6" ht="24">
      <c r="A136" s="2857">
        <v>62</v>
      </c>
      <c r="B136" s="2857" t="s">
        <v>2765</v>
      </c>
      <c r="C136" s="2857" t="s">
        <v>2766</v>
      </c>
      <c r="D136" s="2831" t="s">
        <v>2767</v>
      </c>
      <c r="E136" s="2857">
        <v>0.1</v>
      </c>
      <c r="F136" s="2857">
        <v>15</v>
      </c>
    </row>
    <row r="137" spans="1:6" ht="13.5">
      <c r="A137" s="2857">
        <v>63</v>
      </c>
      <c r="B137" s="3541" t="s">
        <v>2768</v>
      </c>
      <c r="C137" s="2857" t="s">
        <v>2769</v>
      </c>
      <c r="D137" s="2831" t="s">
        <v>2770</v>
      </c>
      <c r="E137" s="2857">
        <v>0.1</v>
      </c>
      <c r="F137" s="2857">
        <v>15</v>
      </c>
    </row>
    <row r="138" spans="1:6" ht="13.5">
      <c r="A138" s="2857">
        <v>64</v>
      </c>
      <c r="B138" s="3541"/>
      <c r="C138" s="2857" t="s">
        <v>2771</v>
      </c>
      <c r="D138" s="2831" t="s">
        <v>2772</v>
      </c>
      <c r="E138" s="2857">
        <v>0.1</v>
      </c>
      <c r="F138" s="2857">
        <v>15</v>
      </c>
    </row>
    <row r="139" spans="1:6" ht="13.5">
      <c r="A139" s="2857">
        <v>65</v>
      </c>
      <c r="B139" s="2857" t="s">
        <v>2773</v>
      </c>
      <c r="C139" s="2857" t="s">
        <v>2774</v>
      </c>
      <c r="D139" s="2831" t="s">
        <v>2775</v>
      </c>
      <c r="E139" s="2857">
        <v>0.1</v>
      </c>
      <c r="F139" s="2857">
        <v>15</v>
      </c>
    </row>
    <row r="140" spans="1:6" ht="13.5">
      <c r="A140" s="2857"/>
      <c r="B140" s="2857"/>
      <c r="C140" s="2857"/>
      <c r="D140" s="2857"/>
      <c r="E140" s="2857" t="s">
        <v>2776</v>
      </c>
      <c r="F140" s="2857" t="s">
        <v>2776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2777</v>
      </c>
      <c r="B1" s="2865"/>
      <c r="C1" s="2865"/>
      <c r="D1" s="2865"/>
      <c r="E1" s="2865"/>
      <c r="F1" s="2865"/>
      <c r="G1" s="2865"/>
      <c r="H1" s="2865"/>
      <c r="I1" s="2865"/>
      <c r="J1" s="2865"/>
      <c r="K1" s="2865"/>
      <c r="L1" s="2865"/>
      <c r="M1" s="2865"/>
      <c r="N1" s="706"/>
    </row>
    <row r="2" spans="1:20">
      <c r="A2" s="2866" t="s">
        <v>2778</v>
      </c>
      <c r="B2" s="2867" t="s">
        <v>2574</v>
      </c>
      <c r="C2" s="2867" t="s">
        <v>2575</v>
      </c>
      <c r="D2" s="2867" t="s">
        <v>2576</v>
      </c>
      <c r="E2" s="2867" t="s">
        <v>2577</v>
      </c>
      <c r="F2" s="2867" t="s">
        <v>2578</v>
      </c>
      <c r="G2" s="2867" t="s">
        <v>2579</v>
      </c>
      <c r="H2" s="2868" t="s">
        <v>2580</v>
      </c>
      <c r="I2" s="2868" t="s">
        <v>2581</v>
      </c>
      <c r="J2" s="2869" t="s">
        <v>2582</v>
      </c>
      <c r="K2" s="2869" t="s">
        <v>2583</v>
      </c>
      <c r="L2" s="2869" t="s">
        <v>2584</v>
      </c>
      <c r="M2" s="2870" t="s">
        <v>2585</v>
      </c>
      <c r="Q2" s="2880" t="s">
        <v>2783</v>
      </c>
      <c r="R2" s="2880" t="s">
        <v>2784</v>
      </c>
      <c r="S2" s="2880" t="s">
        <v>2785</v>
      </c>
      <c r="T2" s="2880" t="s">
        <v>2786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2779</v>
      </c>
      <c r="B93" s="2865"/>
      <c r="C93" s="2865"/>
      <c r="D93" s="2865"/>
      <c r="E93" s="2865"/>
      <c r="F93" s="2865"/>
      <c r="G93" s="2865"/>
      <c r="H93" s="2865"/>
      <c r="I93" s="2865"/>
      <c r="J93" s="2865"/>
      <c r="K93" s="2865"/>
      <c r="L93" s="2865"/>
      <c r="M93" s="2865"/>
    </row>
    <row r="94" spans="1:20">
      <c r="A94" s="2866" t="s">
        <v>2778</v>
      </c>
      <c r="B94" s="2867" t="s">
        <v>2574</v>
      </c>
      <c r="C94" s="2867" t="s">
        <v>2575</v>
      </c>
      <c r="D94" s="2867" t="s">
        <v>2576</v>
      </c>
      <c r="E94" s="2867" t="s">
        <v>2577</v>
      </c>
      <c r="F94" s="2867" t="s">
        <v>2578</v>
      </c>
      <c r="G94" s="2867" t="s">
        <v>2579</v>
      </c>
      <c r="H94" s="2868" t="s">
        <v>2580</v>
      </c>
      <c r="I94" s="2868" t="s">
        <v>2581</v>
      </c>
      <c r="J94" s="2869" t="s">
        <v>2582</v>
      </c>
      <c r="K94" s="2869" t="s">
        <v>2583</v>
      </c>
      <c r="L94" s="2869" t="s">
        <v>2584</v>
      </c>
      <c r="M94" s="2870" t="s">
        <v>2585</v>
      </c>
      <c r="N94">
        <f>SUMPRODUCT((A95:A184=ROUNDDOWN(基准地价修正!G3,1))*(B94:M94=基准地价修正!G2)*(B95:M184))</f>
        <v>0.89339999999999997</v>
      </c>
      <c r="Q94" s="2880" t="s">
        <v>2783</v>
      </c>
      <c r="R94" s="2880" t="s">
        <v>2784</v>
      </c>
      <c r="S94" s="2880" t="s">
        <v>2785</v>
      </c>
      <c r="T94" s="2880" t="s">
        <v>2786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2780</v>
      </c>
      <c r="B185" s="2865"/>
      <c r="C185" s="2865"/>
      <c r="D185" s="2865"/>
      <c r="E185" s="2865"/>
      <c r="F185" s="2865"/>
      <c r="G185" s="2865"/>
      <c r="H185" s="2865"/>
      <c r="I185" s="2865"/>
      <c r="J185" s="2865"/>
      <c r="K185" s="2865"/>
      <c r="L185" s="2865"/>
      <c r="M185" s="2865"/>
    </row>
    <row r="186" spans="1:20">
      <c r="A186" s="2866" t="s">
        <v>2778</v>
      </c>
      <c r="B186" s="2867" t="s">
        <v>2574</v>
      </c>
      <c r="C186" s="2867" t="s">
        <v>2575</v>
      </c>
      <c r="D186" s="2867" t="s">
        <v>2576</v>
      </c>
      <c r="E186" s="2867" t="s">
        <v>2577</v>
      </c>
      <c r="F186" s="2867" t="s">
        <v>2578</v>
      </c>
      <c r="G186" s="2867" t="s">
        <v>2579</v>
      </c>
      <c r="H186" s="2868" t="s">
        <v>2580</v>
      </c>
      <c r="I186" s="2868" t="s">
        <v>2581</v>
      </c>
      <c r="J186" s="2869" t="s">
        <v>2582</v>
      </c>
      <c r="K186" s="2869" t="s">
        <v>2583</v>
      </c>
      <c r="L186" s="2869" t="s">
        <v>2584</v>
      </c>
      <c r="M186" s="2870" t="s">
        <v>2585</v>
      </c>
      <c r="Q186" s="2880" t="s">
        <v>2783</v>
      </c>
      <c r="R186" s="2880" t="s">
        <v>2784</v>
      </c>
      <c r="S186" s="2880" t="s">
        <v>2785</v>
      </c>
      <c r="T186" s="2880" t="s">
        <v>2786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2781</v>
      </c>
      <c r="B277" s="2865"/>
      <c r="C277" s="2865"/>
      <c r="D277" s="2865"/>
      <c r="E277" s="2865"/>
      <c r="F277" s="2865"/>
      <c r="G277" s="2865"/>
      <c r="H277" s="2865"/>
      <c r="I277" s="2865"/>
      <c r="J277" s="2865"/>
      <c r="K277" s="2865"/>
      <c r="L277" s="2865"/>
      <c r="M277" s="2865"/>
    </row>
    <row r="278" spans="1:21">
      <c r="A278" s="2866" t="s">
        <v>2778</v>
      </c>
      <c r="B278" s="2867" t="s">
        <v>2574</v>
      </c>
      <c r="C278" s="2867" t="s">
        <v>2575</v>
      </c>
      <c r="D278" s="2867" t="s">
        <v>2576</v>
      </c>
      <c r="E278" s="2867" t="s">
        <v>2577</v>
      </c>
      <c r="F278" s="2867" t="s">
        <v>2578</v>
      </c>
      <c r="G278" s="2867" t="s">
        <v>2579</v>
      </c>
      <c r="H278" s="2868" t="s">
        <v>2580</v>
      </c>
      <c r="I278" s="2868" t="s">
        <v>2581</v>
      </c>
      <c r="J278" s="2869" t="s">
        <v>2582</v>
      </c>
      <c r="K278" s="2869" t="s">
        <v>2583</v>
      </c>
      <c r="L278" s="2869" t="s">
        <v>2584</v>
      </c>
      <c r="M278" s="2870" t="s">
        <v>2585</v>
      </c>
      <c r="Q278" s="2880" t="s">
        <v>2783</v>
      </c>
      <c r="R278" s="2880" t="s">
        <v>2784</v>
      </c>
      <c r="S278" s="2880" t="s">
        <v>2787</v>
      </c>
      <c r="T278" s="2880" t="s">
        <v>2788</v>
      </c>
      <c r="U278" s="2880" t="s">
        <v>2786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2782</v>
      </c>
      <c r="B369" s="2878"/>
      <c r="C369" s="2878"/>
      <c r="D369" s="2878"/>
      <c r="E369" s="2878"/>
      <c r="F369" s="2878"/>
      <c r="G369" s="2878"/>
      <c r="H369" s="2878"/>
      <c r="I369" s="2878"/>
      <c r="J369" s="2878"/>
      <c r="K369" s="2878"/>
      <c r="L369" s="2878"/>
      <c r="M369" s="2878"/>
    </row>
    <row r="370" spans="1:20">
      <c r="A370" s="2866" t="s">
        <v>2778</v>
      </c>
      <c r="B370" s="2867" t="s">
        <v>2574</v>
      </c>
      <c r="C370" s="2867" t="s">
        <v>2575</v>
      </c>
      <c r="D370" s="2867" t="s">
        <v>2576</v>
      </c>
      <c r="E370" s="2867" t="s">
        <v>2577</v>
      </c>
      <c r="F370" s="2867" t="s">
        <v>2578</v>
      </c>
      <c r="G370" s="2867" t="s">
        <v>2579</v>
      </c>
      <c r="H370" s="2868" t="s">
        <v>2580</v>
      </c>
      <c r="I370" s="2868" t="s">
        <v>2581</v>
      </c>
      <c r="J370" s="2869" t="s">
        <v>2582</v>
      </c>
      <c r="K370" s="2869" t="s">
        <v>2583</v>
      </c>
      <c r="L370" s="2869" t="s">
        <v>2584</v>
      </c>
      <c r="M370" s="2870" t="s">
        <v>2585</v>
      </c>
      <c r="N370">
        <f>SUMPRODUCT((A371:A460=ROUNDDOWN(基准地价修正!G3,1))*(B370:M370=基准地价修正!G2)*(B371:M460))</f>
        <v>0.84619999999999995</v>
      </c>
      <c r="Q370" s="2880" t="s">
        <v>2783</v>
      </c>
      <c r="R370" s="2880" t="s">
        <v>2784</v>
      </c>
      <c r="S370" s="2880" t="s">
        <v>2785</v>
      </c>
      <c r="T370" s="2880" t="s">
        <v>2786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84778</v>
      </c>
      <c r="C2" s="2" t="s">
        <v>106</v>
      </c>
      <c r="D2" s="190"/>
      <c r="E2" s="190"/>
      <c r="F2" s="190"/>
      <c r="G2" s="190"/>
    </row>
    <row r="3" spans="1:7" s="191" customFormat="1" ht="18" customHeight="1" thickBot="1">
      <c r="A3" s="194" t="s">
        <v>58</v>
      </c>
      <c r="B3" s="195">
        <f ca="1">ROUND(B2*10000/'数据-汇总表'!E3,0)</f>
        <v>15999</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1060</v>
      </c>
      <c r="D10" s="794">
        <f>'数据-汇总表'!E6</f>
        <v>52990.34</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1060</v>
      </c>
      <c r="D19" s="203">
        <f>'数据-汇总表'!E3</f>
        <v>52990.34</v>
      </c>
      <c r="E19" s="202">
        <f>'数据-取费表'!B31</f>
        <v>200</v>
      </c>
      <c r="F19" s="222"/>
      <c r="G19" s="1" t="s">
        <v>436</v>
      </c>
    </row>
    <row r="20" spans="1:7" s="205" customFormat="1" ht="13.5" customHeight="1">
      <c r="A20" s="730" t="s">
        <v>419</v>
      </c>
      <c r="B20" s="201" t="s">
        <v>77</v>
      </c>
      <c r="C20" s="223">
        <f>ROUND((C5+C19)*F20,0)</f>
        <v>650</v>
      </c>
      <c r="D20" s="223"/>
      <c r="E20" s="223"/>
      <c r="F20" s="224">
        <f>'数据-取费表'!B37</f>
        <v>0.03</v>
      </c>
      <c r="G20" s="1003" t="s">
        <v>430</v>
      </c>
    </row>
    <row r="21" spans="1:7" s="205" customFormat="1" ht="13.5" customHeight="1">
      <c r="A21" s="730" t="s">
        <v>421</v>
      </c>
      <c r="B21" s="201" t="s">
        <v>78</v>
      </c>
      <c r="C21" s="226">
        <f>F21</f>
        <v>0.03</v>
      </c>
      <c r="D21" s="227" t="s">
        <v>99</v>
      </c>
      <c r="E21" s="223"/>
      <c r="F21" s="224">
        <f>'数据-取费表'!B38</f>
        <v>0.03</v>
      </c>
      <c r="G21" s="225" t="s">
        <v>79</v>
      </c>
    </row>
    <row r="22" spans="1:7" s="205" customFormat="1" ht="13.5" customHeight="1">
      <c r="A22" s="730" t="s">
        <v>341</v>
      </c>
      <c r="B22" s="201" t="s">
        <v>80</v>
      </c>
      <c r="C22" s="1040">
        <f ca="1">ROUND(SUM(C23:C25),0)</f>
        <v>1340</v>
      </c>
      <c r="D22" s="226">
        <f ca="1">C26</f>
        <v>8.9999999999999998E-4</v>
      </c>
      <c r="E22" s="227" t="s">
        <v>99</v>
      </c>
      <c r="F22" s="228">
        <f ca="1">'数据-取费表'!B40</f>
        <v>0.03</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1255</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65</v>
      </c>
      <c r="D24" s="229"/>
      <c r="E24" s="229"/>
      <c r="F24" s="230"/>
      <c r="G24" s="231" t="s">
        <v>82</v>
      </c>
    </row>
    <row r="25" spans="1:7" s="205" customFormat="1" ht="24">
      <c r="A25" s="733" t="s">
        <v>348</v>
      </c>
      <c r="B25" s="206" t="s">
        <v>420</v>
      </c>
      <c r="C25" s="1041">
        <f ca="1">ROUND(IF('数据-取费表'!B22&lt;=1,C20*F22*'数据-取费表'!B23/2,C20*(POWER((1+F22),'数据-取费表'!B23/2)-1)),0)</f>
        <v>20</v>
      </c>
      <c r="D25" s="229"/>
      <c r="E25" s="232"/>
      <c r="F25" s="230"/>
      <c r="G25" s="233" t="s">
        <v>83</v>
      </c>
    </row>
    <row r="26" spans="1:7" s="205" customFormat="1">
      <c r="A26" s="733" t="s">
        <v>350</v>
      </c>
      <c r="B26" s="206" t="s">
        <v>422</v>
      </c>
      <c r="C26" s="229">
        <f ca="1">ROUND(IF('数据-取费表'!B22&lt;=1,F21*F22*'数据-取费表'!B23/2,F21*(POWER((1+F22),'数据-取费表'!B23/2)-1)),4)</f>
        <v>8.9999999999999998E-4</v>
      </c>
      <c r="D26" s="229"/>
      <c r="E26" s="232"/>
      <c r="F26" s="230"/>
      <c r="G26" s="234"/>
    </row>
    <row r="27" spans="1:7" s="205" customFormat="1" ht="24.75">
      <c r="A27" s="730" t="s">
        <v>342</v>
      </c>
      <c r="B27" s="235" t="s">
        <v>85</v>
      </c>
      <c r="C27" s="236">
        <f>C28</f>
        <v>4464</v>
      </c>
      <c r="D27" s="226">
        <f>C29</f>
        <v>6.0000000000000001E-3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4464</v>
      </c>
      <c r="D28" s="226"/>
      <c r="E28" s="227"/>
      <c r="F28" s="237"/>
      <c r="G28" s="238"/>
    </row>
    <row r="29" spans="1:7" s="205" customFormat="1" ht="13.5" customHeight="1">
      <c r="A29" s="733" t="s">
        <v>347</v>
      </c>
      <c r="B29" s="239" t="s">
        <v>425</v>
      </c>
      <c r="C29" s="229">
        <f>ROUND(C21*F27*'数据-取费表'!B21/'数据-取费表'!B20,4)</f>
        <v>6.0000000000000001E-3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30913</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48963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42392</v>
      </c>
      <c r="D34" s="208"/>
      <c r="E34" s="211"/>
      <c r="F34" s="248">
        <f>IF('数据-取费表'!B24=0,1,'数据-取费表'!N16)</f>
        <v>1</v>
      </c>
      <c r="G34" s="210" t="s">
        <v>89</v>
      </c>
    </row>
    <row r="35" spans="1:7" ht="13.5" customHeight="1">
      <c r="A35" s="733" t="s">
        <v>351</v>
      </c>
      <c r="B35" s="206" t="s">
        <v>33</v>
      </c>
      <c r="C35" s="211">
        <f>ROUND(C34*F35,0)</f>
        <v>4239</v>
      </c>
      <c r="D35" s="211"/>
      <c r="E35" s="211"/>
      <c r="F35" s="250">
        <f>'数据-取费表'!B33</f>
        <v>0.1</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1060</v>
      </c>
      <c r="D37" s="208">
        <f>'数据-汇总表'!E3</f>
        <v>52990.34</v>
      </c>
      <c r="E37" s="240">
        <f>'数据-取费表'!B35</f>
        <v>200</v>
      </c>
      <c r="F37" s="250"/>
      <c r="G37" s="252" t="s">
        <v>92</v>
      </c>
    </row>
    <row r="38" spans="1:7" ht="13.5" customHeight="1">
      <c r="A38" s="733" t="s">
        <v>354</v>
      </c>
      <c r="B38" s="206" t="s">
        <v>36</v>
      </c>
      <c r="C38" s="211">
        <f>ROUND(C34*F38,0)</f>
        <v>1272</v>
      </c>
      <c r="D38" s="211"/>
      <c r="E38" s="211"/>
      <c r="F38" s="250">
        <f>'数据-取费表'!B36</f>
        <v>0.03</v>
      </c>
      <c r="G38" s="210" t="s">
        <v>90</v>
      </c>
    </row>
    <row r="39" spans="1:7" s="205" customFormat="1" ht="13.5" customHeight="1">
      <c r="A39" s="730" t="s">
        <v>338</v>
      </c>
      <c r="B39" s="201" t="s">
        <v>77</v>
      </c>
      <c r="C39" s="223">
        <f>ROUND(C33*F20,0)</f>
        <v>1469</v>
      </c>
      <c r="D39" s="223"/>
      <c r="E39" s="223"/>
      <c r="F39" s="224"/>
      <c r="G39" s="1003" t="s">
        <v>433</v>
      </c>
    </row>
    <row r="40" spans="1:7" s="205" customFormat="1" ht="13.5" customHeight="1">
      <c r="A40" s="730" t="s">
        <v>339</v>
      </c>
      <c r="B40" s="201" t="s">
        <v>78</v>
      </c>
      <c r="C40" s="253">
        <f>F21</f>
        <v>0.03</v>
      </c>
      <c r="D40" s="227" t="s">
        <v>102</v>
      </c>
      <c r="E40" s="223"/>
      <c r="F40" s="224"/>
      <c r="G40" s="225" t="s">
        <v>93</v>
      </c>
    </row>
    <row r="41" spans="1:7" s="205" customFormat="1" ht="13.5" customHeight="1">
      <c r="A41" s="730" t="s">
        <v>340</v>
      </c>
      <c r="B41" s="201" t="s">
        <v>80</v>
      </c>
      <c r="C41" s="223">
        <f ca="1">ROUND(SUM(C42:C43),0)</f>
        <v>1513</v>
      </c>
      <c r="D41" s="226">
        <f ca="1">C44</f>
        <v>8.9999999999999998E-4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1469</v>
      </c>
      <c r="D42" s="229"/>
      <c r="E42" s="229"/>
      <c r="F42" s="230"/>
      <c r="G42" s="3398" t="s">
        <v>94</v>
      </c>
    </row>
    <row r="43" spans="1:7" ht="13.5" customHeight="1">
      <c r="A43" s="733" t="s">
        <v>347</v>
      </c>
      <c r="B43" s="206" t="s">
        <v>426</v>
      </c>
      <c r="C43" s="229">
        <f ca="1">ROUND(IF('数据-取费表'!B22&lt;=1,C39*F22*'数据-取费表'!B21/2,C39*(POWER((1+F22),'数据-取费表'!B21/2)-1)),0)</f>
        <v>44</v>
      </c>
      <c r="D43" s="229"/>
      <c r="E43" s="229"/>
      <c r="F43" s="230"/>
      <c r="G43" s="3399"/>
    </row>
    <row r="44" spans="1:7" ht="13.5" customHeight="1">
      <c r="A44" s="733" t="s">
        <v>348</v>
      </c>
      <c r="B44" s="206" t="s">
        <v>428</v>
      </c>
      <c r="C44" s="229">
        <f ca="1">ROUND(IF('数据-取费表'!B22&lt;=1,C40*F22*'数据-取费表'!B21/2,C40*(POWER((1+F22),'数据-取费表'!B21/2)-1)),4)</f>
        <v>8.9999999999999998E-4</v>
      </c>
      <c r="D44" s="229"/>
      <c r="E44" s="229"/>
      <c r="F44" s="230"/>
      <c r="G44" s="3400"/>
    </row>
    <row r="45" spans="1:7" s="205" customFormat="1" ht="13.5" customHeight="1">
      <c r="A45" s="730" t="s">
        <v>341</v>
      </c>
      <c r="B45" s="235" t="s">
        <v>85</v>
      </c>
      <c r="C45" s="236">
        <f>C46</f>
        <v>10086</v>
      </c>
      <c r="D45" s="226">
        <f>C47</f>
        <v>6.0000000000000001E-3</v>
      </c>
      <c r="E45" s="227" t="s">
        <v>102</v>
      </c>
      <c r="F45" s="237"/>
      <c r="G45" s="238" t="s">
        <v>434</v>
      </c>
    </row>
    <row r="46" spans="1:7" s="205" customFormat="1" ht="13.5" customHeight="1">
      <c r="A46" s="733" t="s">
        <v>349</v>
      </c>
      <c r="B46" s="239" t="s">
        <v>427</v>
      </c>
      <c r="C46" s="240">
        <f>ROUND((C33+C39)*F27,0)</f>
        <v>10086</v>
      </c>
      <c r="D46" s="254"/>
      <c r="E46" s="227"/>
      <c r="F46" s="237"/>
      <c r="G46" s="238"/>
    </row>
    <row r="47" spans="1:7" s="205" customFormat="1" ht="13.5" customHeight="1">
      <c r="A47" s="733" t="s">
        <v>347</v>
      </c>
      <c r="B47" s="239" t="s">
        <v>429</v>
      </c>
      <c r="C47" s="229">
        <f>ROUND(C40*F27,4)</f>
        <v>6.0000000000000001E-3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68183</v>
      </c>
      <c r="D49" s="223"/>
      <c r="E49" s="223"/>
      <c r="F49" s="255"/>
      <c r="G49" s="225" t="s">
        <v>435</v>
      </c>
    </row>
    <row r="50" spans="1:7" s="249" customFormat="1" ht="24">
      <c r="A50" s="730" t="s">
        <v>344</v>
      </c>
      <c r="B50" s="201" t="s">
        <v>97</v>
      </c>
      <c r="C50" s="223"/>
      <c r="D50" s="223"/>
      <c r="E50" s="223"/>
      <c r="F50" s="255">
        <f>IF('数据-取费表'!B24=0,'数据-取费表'!N16,1)</f>
        <v>0.79</v>
      </c>
      <c r="G50" s="238" t="s">
        <v>98</v>
      </c>
    </row>
    <row r="51" spans="1:7" ht="16.5" customHeight="1">
      <c r="A51" s="730" t="s">
        <v>345</v>
      </c>
      <c r="B51" s="201" t="s">
        <v>105</v>
      </c>
      <c r="C51" s="223">
        <f ca="1">ROUND(C49*F50,0)</f>
        <v>53865</v>
      </c>
      <c r="D51" s="223"/>
      <c r="E51" s="223"/>
      <c r="F51" s="255"/>
      <c r="G51" s="225" t="s">
        <v>37</v>
      </c>
    </row>
    <row r="52" spans="1:7" s="199" customFormat="1" ht="16.5" thickBot="1">
      <c r="A52" s="256" t="s">
        <v>38</v>
      </c>
      <c r="B52" s="257"/>
      <c r="C52" s="258">
        <f ca="1">C31+C51</f>
        <v>84778</v>
      </c>
      <c r="D52" s="257"/>
      <c r="E52" s="257"/>
      <c r="F52" s="257"/>
      <c r="G52" s="259"/>
    </row>
    <row r="55" spans="1:7" ht="15">
      <c r="B55" s="261" t="s">
        <v>39</v>
      </c>
      <c r="C55" s="262"/>
    </row>
    <row r="56" spans="1:7">
      <c r="B56" s="264" t="s">
        <v>40</v>
      </c>
      <c r="C56" s="265">
        <f ca="1">ROUND(C51/C52,3)</f>
        <v>0.63500000000000001</v>
      </c>
    </row>
    <row r="57" spans="1:7">
      <c r="B57" s="264" t="s">
        <v>41</v>
      </c>
      <c r="C57" s="266">
        <f ca="1">1-C56</f>
        <v>0.36499999999999999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54" t="s">
        <v>3160</v>
      </c>
      <c r="B1" s="3554"/>
    </row>
    <row r="2" spans="1:7" ht="14.25" thickBot="1">
      <c r="A2" s="2968"/>
      <c r="B2" s="2968"/>
    </row>
    <row r="3" spans="1:7" ht="14.25" thickBot="1">
      <c r="A3" s="2968"/>
      <c r="B3" s="2968"/>
      <c r="C3" s="2969" t="s">
        <v>2790</v>
      </c>
      <c r="D3" s="2969" t="s">
        <v>2846</v>
      </c>
      <c r="E3" s="2969" t="s">
        <v>2792</v>
      </c>
      <c r="F3" s="2969" t="s">
        <v>2847</v>
      </c>
      <c r="G3" s="2969" t="s">
        <v>2610</v>
      </c>
    </row>
    <row r="4" spans="1:7" ht="14.25" thickBot="1">
      <c r="A4" s="2970" t="s">
        <v>2845</v>
      </c>
      <c r="B4" s="2971" t="s">
        <v>2851</v>
      </c>
      <c r="C4" s="2969"/>
      <c r="D4" s="2969"/>
      <c r="E4" s="2969"/>
      <c r="F4" s="2969"/>
      <c r="G4" s="2969"/>
    </row>
    <row r="5" spans="1:7">
      <c r="A5" s="2972" t="s">
        <v>2819</v>
      </c>
      <c r="B5" s="2973" t="s">
        <v>2833</v>
      </c>
      <c r="C5" s="2974">
        <v>9.8000000000000004E-2</v>
      </c>
      <c r="D5" s="2974">
        <v>8.6999999999999994E-2</v>
      </c>
      <c r="E5" s="2974">
        <v>8.6999999999999994E-2</v>
      </c>
      <c r="F5" s="2974">
        <v>9.8000000000000004E-2</v>
      </c>
      <c r="G5" s="2975">
        <v>9.5000000000000001E-2</v>
      </c>
    </row>
    <row r="6" spans="1:7">
      <c r="A6" s="2976" t="s">
        <v>144</v>
      </c>
      <c r="B6" s="2977" t="s">
        <v>2848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2834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2884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2902</v>
      </c>
      <c r="C29" s="2986"/>
      <c r="D29" s="2982">
        <v>5.1999999999999998E-2</v>
      </c>
      <c r="E29" s="2982">
        <v>7.0000000000000007E-2</v>
      </c>
      <c r="F29" s="2986"/>
      <c r="G29" s="2984">
        <v>7.0999999999999994E-2</v>
      </c>
    </row>
    <row r="30" spans="1:7">
      <c r="A30" s="2987" t="s">
        <v>296</v>
      </c>
      <c r="B30" s="2973" t="s">
        <v>2835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2821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2905</v>
      </c>
      <c r="C50" s="2978">
        <v>9.8000000000000004E-2</v>
      </c>
      <c r="D50" s="2978">
        <v>7.2999999999999995E-2</v>
      </c>
      <c r="E50" s="2978">
        <v>7.0999999999999994E-2</v>
      </c>
      <c r="F50" s="2989"/>
      <c r="G50" s="2979">
        <v>7.2999999999999995E-2</v>
      </c>
    </row>
    <row r="51" spans="1:7">
      <c r="A51" s="2988" t="s">
        <v>296</v>
      </c>
      <c r="B51" s="2977" t="s">
        <v>2907</v>
      </c>
      <c r="C51" s="2978">
        <v>9.9000000000000005E-2</v>
      </c>
      <c r="D51" s="2978">
        <v>8.5000000000000006E-2</v>
      </c>
      <c r="E51" s="2978">
        <v>6.3E-2</v>
      </c>
      <c r="F51" s="2989"/>
      <c r="G51" s="2979">
        <v>9.6000000000000002E-2</v>
      </c>
    </row>
    <row r="52" spans="1:7">
      <c r="A52" s="2988" t="s">
        <v>296</v>
      </c>
      <c r="B52" s="2977" t="s">
        <v>2911</v>
      </c>
      <c r="C52" s="2978">
        <v>7.3999999999999996E-2</v>
      </c>
      <c r="D52" s="2978">
        <v>9.6000000000000002E-2</v>
      </c>
      <c r="E52" s="2978">
        <v>0.05</v>
      </c>
      <c r="F52" s="2989"/>
      <c r="G52" s="2979">
        <v>9.8000000000000004E-2</v>
      </c>
    </row>
    <row r="53" spans="1:7">
      <c r="A53" s="2988" t="s">
        <v>296</v>
      </c>
      <c r="B53" s="2977" t="s">
        <v>2916</v>
      </c>
      <c r="C53" s="2978">
        <v>8.5999999999999993E-2</v>
      </c>
      <c r="D53" s="2989"/>
      <c r="E53" s="2978">
        <v>9.1999999999999998E-2</v>
      </c>
      <c r="F53" s="2989"/>
      <c r="G53" s="2990"/>
    </row>
    <row r="54" spans="1:7" ht="14.25" thickBot="1">
      <c r="A54" s="2991" t="s">
        <v>296</v>
      </c>
      <c r="B54" s="2981" t="s">
        <v>2919</v>
      </c>
      <c r="C54" s="2982">
        <v>9.6000000000000002E-2</v>
      </c>
      <c r="D54" s="2983"/>
      <c r="E54" s="2992"/>
      <c r="F54" s="2983"/>
      <c r="G54" s="2993"/>
    </row>
    <row r="55" spans="1:7">
      <c r="A55" s="2987" t="s">
        <v>110</v>
      </c>
      <c r="B55" s="2973" t="s">
        <v>2836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2917</v>
      </c>
      <c r="C78" s="2978">
        <v>0.1</v>
      </c>
      <c r="D78" s="2978">
        <v>8.5000000000000006E-2</v>
      </c>
      <c r="E78" s="2978">
        <v>9.6000000000000002E-2</v>
      </c>
      <c r="F78" s="2989"/>
      <c r="G78" s="2979">
        <v>9.6000000000000002E-2</v>
      </c>
    </row>
    <row r="79" spans="1:7">
      <c r="A79" s="2988" t="s">
        <v>110</v>
      </c>
      <c r="B79" s="2977" t="s">
        <v>2920</v>
      </c>
      <c r="C79" s="2978">
        <v>0.05</v>
      </c>
      <c r="D79" s="2978">
        <v>9.6000000000000002E-2</v>
      </c>
      <c r="E79" s="2978">
        <v>9.5000000000000001E-2</v>
      </c>
      <c r="F79" s="2989"/>
      <c r="G79" s="2979">
        <v>9.8000000000000004E-2</v>
      </c>
    </row>
    <row r="80" spans="1:7">
      <c r="A80" s="2988" t="s">
        <v>110</v>
      </c>
      <c r="B80" s="2977" t="s">
        <v>2924</v>
      </c>
      <c r="C80" s="2978">
        <v>8.5999999999999993E-2</v>
      </c>
      <c r="D80" s="2994"/>
      <c r="E80" s="2978">
        <v>0.1</v>
      </c>
      <c r="F80" s="2989"/>
      <c r="G80" s="2990"/>
    </row>
    <row r="81" spans="1:7">
      <c r="A81" s="2988" t="s">
        <v>110</v>
      </c>
      <c r="B81" s="2977" t="s">
        <v>2929</v>
      </c>
      <c r="C81" s="2978">
        <v>9.6000000000000002E-2</v>
      </c>
      <c r="D81" s="2989"/>
      <c r="E81" s="2978">
        <v>9.8000000000000004E-2</v>
      </c>
      <c r="F81" s="2989"/>
      <c r="G81" s="2990"/>
    </row>
    <row r="82" spans="1:7">
      <c r="A82" s="2988" t="s">
        <v>110</v>
      </c>
      <c r="B82" s="2977" t="s">
        <v>2936</v>
      </c>
      <c r="C82" s="2994"/>
      <c r="D82" s="2989"/>
      <c r="E82" s="2978">
        <v>7.6999999999999999E-2</v>
      </c>
      <c r="F82" s="2989"/>
      <c r="G82" s="2990"/>
    </row>
    <row r="83" spans="1:7">
      <c r="A83" s="2988" t="s">
        <v>110</v>
      </c>
      <c r="B83" s="2977" t="s">
        <v>2942</v>
      </c>
      <c r="C83" s="2989"/>
      <c r="D83" s="2989"/>
      <c r="E83" s="2989"/>
      <c r="F83" s="2978">
        <v>0.1</v>
      </c>
      <c r="G83" s="2995"/>
    </row>
    <row r="84" spans="1:7">
      <c r="A84" s="2988" t="s">
        <v>110</v>
      </c>
      <c r="B84" s="2977" t="s">
        <v>2949</v>
      </c>
      <c r="C84" s="2989"/>
      <c r="D84" s="2989"/>
      <c r="E84" s="2989"/>
      <c r="F84" s="2978">
        <v>0.1</v>
      </c>
      <c r="G84" s="2995"/>
    </row>
    <row r="85" spans="1:7">
      <c r="A85" s="2988" t="s">
        <v>110</v>
      </c>
      <c r="B85" s="2977" t="s">
        <v>2956</v>
      </c>
      <c r="C85" s="2989"/>
      <c r="D85" s="2989"/>
      <c r="E85" s="2989"/>
      <c r="F85" s="2978">
        <v>0.1</v>
      </c>
      <c r="G85" s="2995"/>
    </row>
    <row r="86" spans="1:7" ht="14.25" thickBot="1">
      <c r="A86" s="2991" t="s">
        <v>110</v>
      </c>
      <c r="B86" s="2981" t="s">
        <v>2961</v>
      </c>
      <c r="C86" s="2982">
        <v>9.8000000000000004E-2</v>
      </c>
      <c r="D86" s="2982">
        <v>9.8000000000000004E-2</v>
      </c>
      <c r="E86" s="2982">
        <v>9.6000000000000002E-2</v>
      </c>
      <c r="F86" s="2992"/>
      <c r="G86" s="2984">
        <v>0.1</v>
      </c>
    </row>
    <row r="87" spans="1:7">
      <c r="A87" s="2987" t="s">
        <v>303</v>
      </c>
      <c r="B87" s="2973" t="s">
        <v>2837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2930</v>
      </c>
      <c r="C113" s="2978">
        <v>0.1</v>
      </c>
      <c r="D113" s="2978">
        <v>0.1</v>
      </c>
      <c r="E113" s="2989"/>
      <c r="F113" s="2989"/>
      <c r="G113" s="2979">
        <v>0.1</v>
      </c>
    </row>
    <row r="114" spans="1:7">
      <c r="A114" s="2988" t="s">
        <v>303</v>
      </c>
      <c r="B114" s="2977" t="s">
        <v>2937</v>
      </c>
      <c r="C114" s="2978">
        <v>9.7000000000000003E-2</v>
      </c>
      <c r="D114" s="2978">
        <v>9.7000000000000003E-2</v>
      </c>
      <c r="E114" s="2989"/>
      <c r="F114" s="2989"/>
      <c r="G114" s="2979">
        <v>9.9000000000000005E-2</v>
      </c>
    </row>
    <row r="115" spans="1:7">
      <c r="A115" s="2988" t="s">
        <v>303</v>
      </c>
      <c r="B115" s="2977" t="s">
        <v>2943</v>
      </c>
      <c r="C115" s="2978">
        <v>0.1</v>
      </c>
      <c r="D115" s="2978">
        <v>0.1</v>
      </c>
      <c r="E115" s="2989"/>
      <c r="F115" s="2989"/>
      <c r="G115" s="2979">
        <v>0.1</v>
      </c>
    </row>
    <row r="116" spans="1:7">
      <c r="A116" s="2988" t="s">
        <v>303</v>
      </c>
      <c r="B116" s="2977" t="s">
        <v>2950</v>
      </c>
      <c r="C116" s="2978">
        <v>0.1</v>
      </c>
      <c r="D116" s="2978">
        <v>0.1</v>
      </c>
      <c r="E116" s="2989"/>
      <c r="F116" s="2989"/>
      <c r="G116" s="2979">
        <v>0.1</v>
      </c>
    </row>
    <row r="117" spans="1:7">
      <c r="A117" s="2988" t="s">
        <v>303</v>
      </c>
      <c r="B117" s="2977" t="s">
        <v>2957</v>
      </c>
      <c r="C117" s="2978">
        <v>9.7000000000000003E-2</v>
      </c>
      <c r="D117" s="2978">
        <v>9.7000000000000003E-2</v>
      </c>
      <c r="E117" s="2989"/>
      <c r="F117" s="2989"/>
      <c r="G117" s="2979">
        <v>9.7000000000000003E-2</v>
      </c>
    </row>
    <row r="118" spans="1:7">
      <c r="A118" s="2988" t="s">
        <v>303</v>
      </c>
      <c r="B118" s="2977" t="s">
        <v>2962</v>
      </c>
      <c r="C118" s="2978">
        <v>0.1</v>
      </c>
      <c r="D118" s="2978">
        <v>0.1</v>
      </c>
      <c r="E118" s="2989"/>
      <c r="F118" s="2989"/>
      <c r="G118" s="2979">
        <v>0.1</v>
      </c>
    </row>
    <row r="119" spans="1:7">
      <c r="A119" s="2988" t="s">
        <v>303</v>
      </c>
      <c r="B119" s="2977" t="s">
        <v>2966</v>
      </c>
      <c r="C119" s="2978">
        <v>5.0999999999999997E-2</v>
      </c>
      <c r="D119" s="2978">
        <v>5.1999999999999998E-2</v>
      </c>
      <c r="E119" s="2989"/>
      <c r="F119" s="2994"/>
      <c r="G119" s="2979">
        <v>0.06</v>
      </c>
    </row>
    <row r="120" spans="1:7">
      <c r="A120" s="2988" t="s">
        <v>303</v>
      </c>
      <c r="B120" s="2977" t="s">
        <v>2970</v>
      </c>
      <c r="C120" s="2989"/>
      <c r="D120" s="2989"/>
      <c r="E120" s="2989"/>
      <c r="F120" s="2978">
        <v>0.1</v>
      </c>
      <c r="G120" s="2995"/>
    </row>
    <row r="121" spans="1:7">
      <c r="A121" s="2988" t="s">
        <v>303</v>
      </c>
      <c r="B121" s="2977" t="s">
        <v>2975</v>
      </c>
      <c r="C121" s="2989"/>
      <c r="D121" s="2989"/>
      <c r="E121" s="2989"/>
      <c r="F121" s="2978">
        <v>0.1</v>
      </c>
      <c r="G121" s="2995"/>
    </row>
    <row r="122" spans="1:7">
      <c r="A122" s="2988" t="s">
        <v>303</v>
      </c>
      <c r="B122" s="2977" t="s">
        <v>2980</v>
      </c>
      <c r="C122" s="2978">
        <v>0.1</v>
      </c>
      <c r="D122" s="2978">
        <v>0.1</v>
      </c>
      <c r="E122" s="2978">
        <v>9.8000000000000004E-2</v>
      </c>
      <c r="F122" s="2978">
        <v>0.1</v>
      </c>
      <c r="G122" s="2979">
        <v>0.1</v>
      </c>
    </row>
    <row r="123" spans="1:7">
      <c r="A123" s="2988" t="s">
        <v>303</v>
      </c>
      <c r="B123" s="2977" t="s">
        <v>2985</v>
      </c>
      <c r="C123" s="2978">
        <v>0.1</v>
      </c>
      <c r="D123" s="2978">
        <v>0.1</v>
      </c>
      <c r="E123" s="2978">
        <v>9.8000000000000004E-2</v>
      </c>
      <c r="F123" s="2978">
        <v>0.1</v>
      </c>
      <c r="G123" s="2979">
        <v>0.1</v>
      </c>
    </row>
    <row r="124" spans="1:7">
      <c r="A124" s="2988" t="s">
        <v>303</v>
      </c>
      <c r="B124" s="2977" t="s">
        <v>2990</v>
      </c>
      <c r="C124" s="2978">
        <v>0.1</v>
      </c>
      <c r="D124" s="2978">
        <v>0.1</v>
      </c>
      <c r="E124" s="2978">
        <v>9.8000000000000004E-2</v>
      </c>
      <c r="F124" s="2994"/>
      <c r="G124" s="2979">
        <v>0.1</v>
      </c>
    </row>
    <row r="125" spans="1:7">
      <c r="A125" s="2988" t="s">
        <v>303</v>
      </c>
      <c r="B125" s="2977" t="s">
        <v>2995</v>
      </c>
      <c r="C125" s="2978">
        <v>9.8000000000000004E-2</v>
      </c>
      <c r="D125" s="2978">
        <v>9.8000000000000004E-2</v>
      </c>
      <c r="E125" s="2978">
        <v>9.6000000000000002E-2</v>
      </c>
      <c r="F125" s="2994"/>
      <c r="G125" s="2979">
        <v>0.1</v>
      </c>
    </row>
    <row r="126" spans="1:7" ht="14.25" thickBot="1">
      <c r="A126" s="2991" t="s">
        <v>303</v>
      </c>
      <c r="B126" s="2981" t="s">
        <v>3161</v>
      </c>
      <c r="C126" s="2982">
        <v>0.1</v>
      </c>
      <c r="D126" s="2982">
        <v>0.1</v>
      </c>
      <c r="E126" s="2982">
        <v>9.8000000000000004E-2</v>
      </c>
      <c r="F126" s="2982">
        <v>0.1</v>
      </c>
      <c r="G126" s="2984">
        <v>0.1</v>
      </c>
    </row>
    <row r="127" spans="1:7">
      <c r="A127" s="2987" t="s">
        <v>29</v>
      </c>
      <c r="B127" s="2973" t="s">
        <v>2838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2908</v>
      </c>
      <c r="C148" s="2978">
        <v>0.13</v>
      </c>
      <c r="D148" s="2978">
        <v>0.13</v>
      </c>
      <c r="E148" s="2978">
        <v>0.13</v>
      </c>
      <c r="F148" s="2989"/>
      <c r="G148" s="2979">
        <v>0.13</v>
      </c>
    </row>
    <row r="149" spans="1:7">
      <c r="A149" s="2988" t="s">
        <v>29</v>
      </c>
      <c r="B149" s="2977" t="s">
        <v>2912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2931</v>
      </c>
      <c r="C153" s="2978">
        <v>0.13</v>
      </c>
      <c r="D153" s="2978">
        <v>0.13</v>
      </c>
      <c r="E153" s="2978">
        <v>0.13</v>
      </c>
      <c r="F153" s="2978">
        <v>0.13</v>
      </c>
      <c r="G153" s="2979">
        <v>0.13</v>
      </c>
    </row>
    <row r="154" spans="1:7">
      <c r="A154" s="2988" t="s">
        <v>29</v>
      </c>
      <c r="B154" s="2977" t="s">
        <v>2938</v>
      </c>
      <c r="C154" s="2978">
        <v>0.121</v>
      </c>
      <c r="D154" s="2978">
        <v>0.121</v>
      </c>
      <c r="E154" s="2978">
        <v>0.105</v>
      </c>
      <c r="F154" s="2978">
        <v>0.121</v>
      </c>
      <c r="G154" s="2979">
        <v>0.123</v>
      </c>
    </row>
    <row r="155" spans="1:7">
      <c r="A155" s="2988" t="s">
        <v>29</v>
      </c>
      <c r="B155" s="2977" t="s">
        <v>2944</v>
      </c>
      <c r="C155" s="2978">
        <v>0.1</v>
      </c>
      <c r="D155" s="2978">
        <v>0.1</v>
      </c>
      <c r="E155" s="2978">
        <v>0.1</v>
      </c>
      <c r="F155" s="2978">
        <v>0.1</v>
      </c>
      <c r="G155" s="2979">
        <v>0.1</v>
      </c>
    </row>
    <row r="156" spans="1:7">
      <c r="A156" s="2988" t="s">
        <v>29</v>
      </c>
      <c r="B156" s="2977" t="s">
        <v>2951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2971</v>
      </c>
      <c r="C160" s="2978">
        <v>0.13</v>
      </c>
      <c r="D160" s="2978">
        <v>0.13</v>
      </c>
      <c r="E160" s="2978">
        <v>0.124</v>
      </c>
      <c r="F160" s="2978">
        <v>0.126</v>
      </c>
      <c r="G160" s="2979">
        <v>0.13</v>
      </c>
    </row>
    <row r="161" spans="1:7">
      <c r="A161" s="2988" t="s">
        <v>29</v>
      </c>
      <c r="B161" s="2977" t="s">
        <v>2976</v>
      </c>
      <c r="C161" s="2978">
        <v>0.13</v>
      </c>
      <c r="D161" s="2978">
        <v>0.13</v>
      </c>
      <c r="E161" s="2978">
        <v>0.124</v>
      </c>
      <c r="F161" s="2978">
        <v>0.127</v>
      </c>
      <c r="G161" s="2979">
        <v>0.13</v>
      </c>
    </row>
    <row r="162" spans="1:7">
      <c r="A162" s="2988" t="s">
        <v>29</v>
      </c>
      <c r="B162" s="2977" t="s">
        <v>2981</v>
      </c>
      <c r="C162" s="2978">
        <v>0.1</v>
      </c>
      <c r="D162" s="2978">
        <v>0.1</v>
      </c>
      <c r="E162" s="2978">
        <v>0.1</v>
      </c>
      <c r="F162" s="2978">
        <v>0.121</v>
      </c>
      <c r="G162" s="2979">
        <v>0.105</v>
      </c>
    </row>
    <row r="163" spans="1:7">
      <c r="A163" s="2988" t="s">
        <v>29</v>
      </c>
      <c r="B163" s="2977" t="s">
        <v>2986</v>
      </c>
      <c r="C163" s="2978">
        <v>0.1</v>
      </c>
      <c r="D163" s="2978">
        <v>0.1</v>
      </c>
      <c r="E163" s="2978">
        <v>0.1</v>
      </c>
      <c r="F163" s="2978">
        <v>0.1</v>
      </c>
      <c r="G163" s="2979">
        <v>0.1</v>
      </c>
    </row>
    <row r="164" spans="1:7">
      <c r="A164" s="2988" t="s">
        <v>29</v>
      </c>
      <c r="B164" s="2977" t="s">
        <v>2991</v>
      </c>
      <c r="C164" s="2994"/>
      <c r="D164" s="2994"/>
      <c r="E164" s="2994"/>
      <c r="F164" s="2978">
        <v>0.1</v>
      </c>
      <c r="G164" s="2990"/>
    </row>
    <row r="165" spans="1:7">
      <c r="A165" s="2988" t="s">
        <v>29</v>
      </c>
      <c r="B165" s="2977" t="s">
        <v>3162</v>
      </c>
      <c r="C165" s="2978">
        <v>0.126</v>
      </c>
      <c r="D165" s="2978">
        <v>0.126</v>
      </c>
      <c r="E165" s="2978">
        <v>0.11899999999999999</v>
      </c>
      <c r="F165" s="2978">
        <v>0.13</v>
      </c>
      <c r="G165" s="2979">
        <v>0.128</v>
      </c>
    </row>
    <row r="166" spans="1:7">
      <c r="A166" s="2988" t="s">
        <v>29</v>
      </c>
      <c r="B166" s="2977" t="s">
        <v>3001</v>
      </c>
      <c r="C166" s="2978">
        <v>0.129</v>
      </c>
      <c r="D166" s="2978">
        <v>0.129</v>
      </c>
      <c r="E166" s="2978">
        <v>0.123</v>
      </c>
      <c r="F166" s="2978">
        <v>0.128</v>
      </c>
      <c r="G166" s="2979">
        <v>0.13</v>
      </c>
    </row>
    <row r="167" spans="1:7">
      <c r="A167" s="2988" t="s">
        <v>29</v>
      </c>
      <c r="B167" s="2977" t="s">
        <v>3005</v>
      </c>
      <c r="C167" s="2978">
        <v>0.125</v>
      </c>
      <c r="D167" s="2978">
        <v>0.125</v>
      </c>
      <c r="E167" s="2978">
        <v>0.11700000000000001</v>
      </c>
      <c r="F167" s="2978">
        <v>0.13</v>
      </c>
      <c r="G167" s="2979">
        <v>0.126</v>
      </c>
    </row>
    <row r="168" spans="1:7">
      <c r="A168" s="2988" t="s">
        <v>29</v>
      </c>
      <c r="B168" s="2977" t="s">
        <v>3010</v>
      </c>
      <c r="C168" s="2978">
        <v>0.128</v>
      </c>
      <c r="D168" s="2978">
        <v>0.128</v>
      </c>
      <c r="E168" s="2978">
        <v>0.123</v>
      </c>
      <c r="F168" s="2989"/>
      <c r="G168" s="2979">
        <v>0.13</v>
      </c>
    </row>
    <row r="169" spans="1:7">
      <c r="A169" s="2988" t="s">
        <v>29</v>
      </c>
      <c r="B169" s="2977" t="s">
        <v>3163</v>
      </c>
      <c r="C169" s="2994"/>
      <c r="D169" s="2994"/>
      <c r="E169" s="2994"/>
      <c r="F169" s="2978">
        <v>0.05</v>
      </c>
      <c r="G169" s="2990"/>
    </row>
    <row r="170" spans="1:7">
      <c r="A170" s="2988" t="s">
        <v>29</v>
      </c>
      <c r="B170" s="2977" t="s">
        <v>3164</v>
      </c>
      <c r="C170" s="2994"/>
      <c r="D170" s="2994"/>
      <c r="E170" s="2994"/>
      <c r="F170" s="2978">
        <v>0.05</v>
      </c>
      <c r="G170" s="2990"/>
    </row>
    <row r="171" spans="1:7">
      <c r="A171" s="2988" t="s">
        <v>29</v>
      </c>
      <c r="B171" s="2977" t="s">
        <v>3165</v>
      </c>
      <c r="C171" s="2994"/>
      <c r="D171" s="2994"/>
      <c r="E171" s="2994"/>
      <c r="F171" s="2978">
        <v>0.05</v>
      </c>
      <c r="G171" s="2995"/>
    </row>
    <row r="172" spans="1:7">
      <c r="A172" s="2988" t="s">
        <v>29</v>
      </c>
      <c r="B172" s="2977" t="s">
        <v>3166</v>
      </c>
      <c r="C172" s="2994"/>
      <c r="D172" s="2994"/>
      <c r="E172" s="2994"/>
      <c r="F172" s="2978">
        <v>0.05</v>
      </c>
      <c r="G172" s="2995"/>
    </row>
    <row r="173" spans="1:7">
      <c r="A173" s="2988" t="s">
        <v>29</v>
      </c>
      <c r="B173" s="2977" t="s">
        <v>3167</v>
      </c>
      <c r="C173" s="2994"/>
      <c r="D173" s="2994"/>
      <c r="E173" s="2994"/>
      <c r="F173" s="2978">
        <v>0.05</v>
      </c>
      <c r="G173" s="2990"/>
    </row>
    <row r="174" spans="1:7">
      <c r="A174" s="2988" t="s">
        <v>29</v>
      </c>
      <c r="B174" s="2977" t="s">
        <v>3168</v>
      </c>
      <c r="C174" s="2994"/>
      <c r="D174" s="2994"/>
      <c r="E174" s="2994"/>
      <c r="F174" s="2978">
        <v>0.05</v>
      </c>
      <c r="G174" s="2990"/>
    </row>
    <row r="175" spans="1:7">
      <c r="A175" s="2988" t="s">
        <v>29</v>
      </c>
      <c r="B175" s="2977" t="s">
        <v>3169</v>
      </c>
      <c r="C175" s="2994"/>
      <c r="D175" s="2994"/>
      <c r="E175" s="2994"/>
      <c r="F175" s="2978">
        <v>0.05</v>
      </c>
      <c r="G175" s="2990"/>
    </row>
    <row r="176" spans="1:7">
      <c r="A176" s="2988" t="s">
        <v>29</v>
      </c>
      <c r="B176" s="2977" t="s">
        <v>3170</v>
      </c>
      <c r="C176" s="2994"/>
      <c r="D176" s="2994"/>
      <c r="E176" s="2994"/>
      <c r="F176" s="2978">
        <v>0.05</v>
      </c>
      <c r="G176" s="2990"/>
    </row>
    <row r="177" spans="1:7">
      <c r="A177" s="2988" t="s">
        <v>29</v>
      </c>
      <c r="B177" s="2977" t="s">
        <v>3171</v>
      </c>
      <c r="C177" s="2989"/>
      <c r="D177" s="2989"/>
      <c r="E177" s="2989"/>
      <c r="F177" s="2978">
        <v>0.05</v>
      </c>
      <c r="G177" s="2995"/>
    </row>
    <row r="178" spans="1:7">
      <c r="A178" s="2988" t="s">
        <v>29</v>
      </c>
      <c r="B178" s="2977" t="s">
        <v>3172</v>
      </c>
      <c r="C178" s="2989"/>
      <c r="D178" s="2989"/>
      <c r="E178" s="2989"/>
      <c r="F178" s="2978">
        <v>0.05</v>
      </c>
      <c r="G178" s="2995"/>
    </row>
    <row r="179" spans="1:7">
      <c r="A179" s="2988" t="s">
        <v>29</v>
      </c>
      <c r="B179" s="2977" t="s">
        <v>3173</v>
      </c>
      <c r="C179" s="2989"/>
      <c r="D179" s="2989"/>
      <c r="E179" s="2989"/>
      <c r="F179" s="2978">
        <v>0.05</v>
      </c>
      <c r="G179" s="2995"/>
    </row>
    <row r="180" spans="1:7">
      <c r="A180" s="2988" t="s">
        <v>29</v>
      </c>
      <c r="B180" s="2977" t="s">
        <v>3174</v>
      </c>
      <c r="C180" s="2989"/>
      <c r="D180" s="2989"/>
      <c r="E180" s="2989"/>
      <c r="F180" s="2978">
        <v>0.05</v>
      </c>
      <c r="G180" s="2995"/>
    </row>
    <row r="181" spans="1:7">
      <c r="A181" s="2988" t="s">
        <v>29</v>
      </c>
      <c r="B181" s="2977" t="s">
        <v>3175</v>
      </c>
      <c r="C181" s="2989"/>
      <c r="D181" s="2989"/>
      <c r="E181" s="2989"/>
      <c r="F181" s="2978">
        <v>0.05</v>
      </c>
      <c r="G181" s="2995"/>
    </row>
    <row r="182" spans="1:7">
      <c r="A182" s="2988" t="s">
        <v>29</v>
      </c>
      <c r="B182" s="2977" t="s">
        <v>3176</v>
      </c>
      <c r="C182" s="2989"/>
      <c r="D182" s="2989"/>
      <c r="E182" s="2989"/>
      <c r="F182" s="2978">
        <v>0.05</v>
      </c>
      <c r="G182" s="2995"/>
    </row>
    <row r="183" spans="1:7">
      <c r="A183" s="2988" t="s">
        <v>29</v>
      </c>
      <c r="B183" s="2977" t="s">
        <v>3177</v>
      </c>
      <c r="C183" s="2989"/>
      <c r="D183" s="2989"/>
      <c r="E183" s="2989"/>
      <c r="F183" s="2978">
        <v>0.05</v>
      </c>
      <c r="G183" s="2995"/>
    </row>
    <row r="184" spans="1:7">
      <c r="A184" s="2988" t="s">
        <v>29</v>
      </c>
      <c r="B184" s="2977" t="s">
        <v>3178</v>
      </c>
      <c r="C184" s="2989"/>
      <c r="D184" s="2989"/>
      <c r="E184" s="2989"/>
      <c r="F184" s="2978">
        <v>0.05</v>
      </c>
      <c r="G184" s="2995"/>
    </row>
    <row r="185" spans="1:7">
      <c r="A185" s="2988" t="s">
        <v>29</v>
      </c>
      <c r="B185" s="2977" t="s">
        <v>3179</v>
      </c>
      <c r="C185" s="2989"/>
      <c r="D185" s="2989"/>
      <c r="E185" s="2989"/>
      <c r="F185" s="2978">
        <v>0.05</v>
      </c>
      <c r="G185" s="2995"/>
    </row>
    <row r="186" spans="1:7">
      <c r="A186" s="2988" t="s">
        <v>29</v>
      </c>
      <c r="B186" s="2977" t="s">
        <v>3180</v>
      </c>
      <c r="C186" s="2989"/>
      <c r="D186" s="2989"/>
      <c r="E186" s="2989"/>
      <c r="F186" s="2978">
        <v>0.05</v>
      </c>
      <c r="G186" s="2995"/>
    </row>
    <row r="187" spans="1:7">
      <c r="A187" s="2988" t="s">
        <v>29</v>
      </c>
      <c r="B187" s="2977" t="s">
        <v>3181</v>
      </c>
      <c r="C187" s="2989"/>
      <c r="D187" s="2989"/>
      <c r="E187" s="2989"/>
      <c r="F187" s="2978">
        <v>0.05</v>
      </c>
      <c r="G187" s="2995"/>
    </row>
    <row r="188" spans="1:7">
      <c r="A188" s="2988" t="s">
        <v>29</v>
      </c>
      <c r="B188" s="2977" t="s">
        <v>3182</v>
      </c>
      <c r="C188" s="2989"/>
      <c r="D188" s="2989"/>
      <c r="E188" s="2989"/>
      <c r="F188" s="2978">
        <v>0.05</v>
      </c>
      <c r="G188" s="2995"/>
    </row>
    <row r="189" spans="1:7" ht="14.25" thickBot="1">
      <c r="A189" s="2991" t="s">
        <v>29</v>
      </c>
      <c r="B189" s="2981" t="s">
        <v>3183</v>
      </c>
      <c r="C189" s="2983"/>
      <c r="D189" s="2983"/>
      <c r="E189" s="2983"/>
      <c r="F189" s="2982">
        <v>0.05</v>
      </c>
      <c r="G189" s="2996"/>
    </row>
    <row r="190" spans="1:7">
      <c r="A190" s="2987" t="s">
        <v>304</v>
      </c>
      <c r="B190" s="2973" t="s">
        <v>2839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2875</v>
      </c>
      <c r="C199" s="2978">
        <v>0.13</v>
      </c>
      <c r="D199" s="2978">
        <v>0.13</v>
      </c>
      <c r="E199" s="2978">
        <v>0.13</v>
      </c>
      <c r="F199" s="2978">
        <v>0.13</v>
      </c>
      <c r="G199" s="2979">
        <v>0.13</v>
      </c>
    </row>
    <row r="200" spans="1:7">
      <c r="A200" s="2988" t="s">
        <v>304</v>
      </c>
      <c r="B200" s="2977" t="s">
        <v>2878</v>
      </c>
      <c r="C200" s="2994"/>
      <c r="D200" s="2994"/>
      <c r="E200" s="2994"/>
      <c r="F200" s="2978">
        <v>0.13</v>
      </c>
      <c r="G200" s="2990"/>
    </row>
    <row r="201" spans="1:7">
      <c r="A201" s="2988" t="s">
        <v>304</v>
      </c>
      <c r="B201" s="2977" t="s">
        <v>2883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2886</v>
      </c>
      <c r="C203" s="2978">
        <v>0.129</v>
      </c>
      <c r="D203" s="2978">
        <v>0.129</v>
      </c>
      <c r="E203" s="2978">
        <v>0.13</v>
      </c>
      <c r="F203" s="2978">
        <v>0.13</v>
      </c>
      <c r="G203" s="2979">
        <v>0.13</v>
      </c>
    </row>
    <row r="204" spans="1:7">
      <c r="A204" s="2988" t="s">
        <v>304</v>
      </c>
      <c r="B204" s="2977" t="s">
        <v>2889</v>
      </c>
      <c r="C204" s="2978">
        <v>0.129</v>
      </c>
      <c r="D204" s="2978">
        <v>0.129</v>
      </c>
      <c r="E204" s="2978">
        <v>0.123</v>
      </c>
      <c r="F204" s="2978">
        <v>0.13</v>
      </c>
      <c r="G204" s="2979">
        <v>0.13</v>
      </c>
    </row>
    <row r="205" spans="1:7">
      <c r="A205" s="2988" t="s">
        <v>304</v>
      </c>
      <c r="B205" s="2977" t="s">
        <v>2891</v>
      </c>
      <c r="C205" s="2978">
        <v>0.13</v>
      </c>
      <c r="D205" s="2978">
        <v>0.13</v>
      </c>
      <c r="E205" s="2978">
        <v>0.13</v>
      </c>
      <c r="F205" s="2978">
        <v>0.13</v>
      </c>
      <c r="G205" s="2979">
        <v>0.13</v>
      </c>
    </row>
    <row r="206" spans="1:7">
      <c r="A206" s="2988" t="s">
        <v>304</v>
      </c>
      <c r="B206" s="2977" t="s">
        <v>2894</v>
      </c>
      <c r="C206" s="2978">
        <v>0.13</v>
      </c>
      <c r="D206" s="2978">
        <v>0.13</v>
      </c>
      <c r="E206" s="2978">
        <v>0.13</v>
      </c>
      <c r="F206" s="2978">
        <v>0.128</v>
      </c>
      <c r="G206" s="2979">
        <v>0.13</v>
      </c>
    </row>
    <row r="207" spans="1:7">
      <c r="A207" s="2988" t="s">
        <v>304</v>
      </c>
      <c r="B207" s="2977" t="s">
        <v>2896</v>
      </c>
      <c r="C207" s="2978">
        <v>0.13</v>
      </c>
      <c r="D207" s="2978">
        <v>0.13</v>
      </c>
      <c r="E207" s="2978">
        <v>0.13</v>
      </c>
      <c r="F207" s="2978">
        <v>0.13</v>
      </c>
      <c r="G207" s="2979">
        <v>0.13</v>
      </c>
    </row>
    <row r="208" spans="1:7">
      <c r="A208" s="2988" t="s">
        <v>304</v>
      </c>
      <c r="B208" s="2977" t="s">
        <v>2899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2906</v>
      </c>
      <c r="C210" s="2978">
        <v>0.121</v>
      </c>
      <c r="D210" s="2978">
        <v>0.121</v>
      </c>
      <c r="E210" s="2978">
        <v>0.125</v>
      </c>
      <c r="F210" s="2978">
        <v>0.13</v>
      </c>
      <c r="G210" s="2979">
        <v>0.123</v>
      </c>
    </row>
    <row r="211" spans="1:7">
      <c r="A211" s="2988" t="s">
        <v>304</v>
      </c>
      <c r="B211" s="2977" t="s">
        <v>2909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2921</v>
      </c>
      <c r="C214" s="2978">
        <v>0.128</v>
      </c>
      <c r="D214" s="2978">
        <v>0.128</v>
      </c>
      <c r="E214" s="2978">
        <v>0.13</v>
      </c>
      <c r="F214" s="2978">
        <v>0.13</v>
      </c>
      <c r="G214" s="2979">
        <v>0.13</v>
      </c>
    </row>
    <row r="215" spans="1:7">
      <c r="A215" s="2988" t="s">
        <v>304</v>
      </c>
      <c r="B215" s="2977" t="s">
        <v>2925</v>
      </c>
      <c r="C215" s="2978">
        <v>0.13</v>
      </c>
      <c r="D215" s="2978">
        <v>0.13</v>
      </c>
      <c r="E215" s="2978">
        <v>0.13</v>
      </c>
      <c r="F215" s="2978">
        <v>0.129</v>
      </c>
      <c r="G215" s="2979">
        <v>0.13</v>
      </c>
    </row>
    <row r="216" spans="1:7">
      <c r="A216" s="2988" t="s">
        <v>304</v>
      </c>
      <c r="B216" s="2977" t="s">
        <v>2932</v>
      </c>
      <c r="C216" s="2978">
        <v>0.13</v>
      </c>
      <c r="D216" s="2978">
        <v>0.13</v>
      </c>
      <c r="E216" s="2978">
        <v>0.13</v>
      </c>
      <c r="F216" s="2978">
        <v>0.13</v>
      </c>
      <c r="G216" s="2979">
        <v>0.13</v>
      </c>
    </row>
    <row r="217" spans="1:7">
      <c r="A217" s="2988" t="s">
        <v>304</v>
      </c>
      <c r="B217" s="2977" t="s">
        <v>2939</v>
      </c>
      <c r="C217" s="2978">
        <v>0.129</v>
      </c>
      <c r="D217" s="2978">
        <v>0.129</v>
      </c>
      <c r="E217" s="2978">
        <v>0.13</v>
      </c>
      <c r="F217" s="2978">
        <v>0.13</v>
      </c>
      <c r="G217" s="2979">
        <v>0.13</v>
      </c>
    </row>
    <row r="218" spans="1:7">
      <c r="A218" s="2988" t="s">
        <v>304</v>
      </c>
      <c r="B218" s="2977" t="s">
        <v>2945</v>
      </c>
      <c r="C218" s="2989"/>
      <c r="D218" s="2989"/>
      <c r="E218" s="2989"/>
      <c r="F218" s="2978">
        <v>0.05</v>
      </c>
      <c r="G218" s="2995"/>
    </row>
    <row r="219" spans="1:7">
      <c r="A219" s="2988" t="s">
        <v>304</v>
      </c>
      <c r="B219" s="2977" t="s">
        <v>2952</v>
      </c>
      <c r="C219" s="2989"/>
      <c r="D219" s="2989"/>
      <c r="E219" s="2989"/>
      <c r="F219" s="2978">
        <v>0.05</v>
      </c>
      <c r="G219" s="2995"/>
    </row>
    <row r="220" spans="1:7">
      <c r="A220" s="2988" t="s">
        <v>304</v>
      </c>
      <c r="B220" s="2977" t="s">
        <v>2958</v>
      </c>
      <c r="C220" s="2989"/>
      <c r="D220" s="2989"/>
      <c r="E220" s="2989"/>
      <c r="F220" s="2978">
        <v>0.05</v>
      </c>
      <c r="G220" s="2995"/>
    </row>
    <row r="221" spans="1:7">
      <c r="A221" s="2988" t="s">
        <v>304</v>
      </c>
      <c r="B221" s="2977" t="s">
        <v>2963</v>
      </c>
      <c r="C221" s="2989"/>
      <c r="D221" s="2989"/>
      <c r="E221" s="2989"/>
      <c r="F221" s="2978">
        <v>0.05</v>
      </c>
      <c r="G221" s="2995"/>
    </row>
    <row r="222" spans="1:7">
      <c r="A222" s="2988" t="s">
        <v>304</v>
      </c>
      <c r="B222" s="2977" t="s">
        <v>2967</v>
      </c>
      <c r="C222" s="2989"/>
      <c r="D222" s="2989"/>
      <c r="E222" s="2989"/>
      <c r="F222" s="2978">
        <v>0.05</v>
      </c>
      <c r="G222" s="2995"/>
    </row>
    <row r="223" spans="1:7">
      <c r="A223" s="2988" t="s">
        <v>304</v>
      </c>
      <c r="B223" s="2977" t="s">
        <v>2972</v>
      </c>
      <c r="C223" s="2989"/>
      <c r="D223" s="2989"/>
      <c r="E223" s="2989"/>
      <c r="F223" s="2978">
        <v>0.05</v>
      </c>
      <c r="G223" s="2995"/>
    </row>
    <row r="224" spans="1:7">
      <c r="A224" s="2988" t="s">
        <v>304</v>
      </c>
      <c r="B224" s="2977" t="s">
        <v>2977</v>
      </c>
      <c r="C224" s="2989"/>
      <c r="D224" s="2989"/>
      <c r="E224" s="2989"/>
      <c r="F224" s="2978">
        <v>0.05</v>
      </c>
      <c r="G224" s="2995"/>
    </row>
    <row r="225" spans="1:7">
      <c r="A225" s="2988" t="s">
        <v>304</v>
      </c>
      <c r="B225" s="2977" t="s">
        <v>2982</v>
      </c>
      <c r="C225" s="2989"/>
      <c r="D225" s="2989"/>
      <c r="E225" s="2989"/>
      <c r="F225" s="2978">
        <v>0.05</v>
      </c>
      <c r="G225" s="2995"/>
    </row>
    <row r="226" spans="1:7">
      <c r="A226" s="2988" t="s">
        <v>304</v>
      </c>
      <c r="B226" s="2977" t="s">
        <v>3184</v>
      </c>
      <c r="C226" s="2989"/>
      <c r="D226" s="2989"/>
      <c r="E226" s="2989"/>
      <c r="F226" s="2978">
        <v>0.05</v>
      </c>
      <c r="G226" s="2995"/>
    </row>
    <row r="227" spans="1:7">
      <c r="A227" s="2988" t="s">
        <v>304</v>
      </c>
      <c r="B227" s="2977" t="s">
        <v>3185</v>
      </c>
      <c r="C227" s="2989"/>
      <c r="D227" s="2989"/>
      <c r="E227" s="2989"/>
      <c r="F227" s="2978">
        <v>0.05</v>
      </c>
      <c r="G227" s="2995"/>
    </row>
    <row r="228" spans="1:7">
      <c r="A228" s="2988" t="s">
        <v>304</v>
      </c>
      <c r="B228" s="2977" t="s">
        <v>3186</v>
      </c>
      <c r="C228" s="2989"/>
      <c r="D228" s="2989"/>
      <c r="E228" s="2989"/>
      <c r="F228" s="2978">
        <v>0.05</v>
      </c>
      <c r="G228" s="2995"/>
    </row>
    <row r="229" spans="1:7">
      <c r="A229" s="2988" t="s">
        <v>304</v>
      </c>
      <c r="B229" s="2977" t="s">
        <v>3187</v>
      </c>
      <c r="C229" s="2989"/>
      <c r="D229" s="2989"/>
      <c r="E229" s="2989"/>
      <c r="F229" s="2978">
        <v>0.05</v>
      </c>
      <c r="G229" s="2995"/>
    </row>
    <row r="230" spans="1:7">
      <c r="A230" s="2988" t="s">
        <v>304</v>
      </c>
      <c r="B230" s="2977" t="s">
        <v>3188</v>
      </c>
      <c r="C230" s="2989"/>
      <c r="D230" s="2989"/>
      <c r="E230" s="2989"/>
      <c r="F230" s="2978">
        <v>0.05</v>
      </c>
      <c r="G230" s="2995"/>
    </row>
    <row r="231" spans="1:7">
      <c r="A231" s="2988" t="s">
        <v>304</v>
      </c>
      <c r="B231" s="2977" t="s">
        <v>3189</v>
      </c>
      <c r="C231" s="2989"/>
      <c r="D231" s="2989"/>
      <c r="E231" s="2989"/>
      <c r="F231" s="2978">
        <v>0.05</v>
      </c>
      <c r="G231" s="2995"/>
    </row>
    <row r="232" spans="1:7">
      <c r="A232" s="2988" t="s">
        <v>304</v>
      </c>
      <c r="B232" s="2977" t="s">
        <v>3190</v>
      </c>
      <c r="C232" s="2989"/>
      <c r="D232" s="2989"/>
      <c r="E232" s="2989"/>
      <c r="F232" s="2978">
        <v>0.05</v>
      </c>
      <c r="G232" s="2995"/>
    </row>
    <row r="233" spans="1:7" ht="14.25" thickBot="1">
      <c r="A233" s="2991" t="s">
        <v>304</v>
      </c>
      <c r="B233" s="2981" t="s">
        <v>3191</v>
      </c>
      <c r="C233" s="2983"/>
      <c r="D233" s="2983"/>
      <c r="E233" s="2983"/>
      <c r="F233" s="2982">
        <v>0.05</v>
      </c>
      <c r="G233" s="2996"/>
    </row>
    <row r="234" spans="1:7">
      <c r="A234" s="2987" t="s">
        <v>305</v>
      </c>
      <c r="B234" s="2973" t="s">
        <v>2840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2860</v>
      </c>
      <c r="C238" s="2978">
        <v>0.14899999999999999</v>
      </c>
      <c r="D238" s="2978">
        <v>0.14899999999999999</v>
      </c>
      <c r="E238" s="2978">
        <v>0.15</v>
      </c>
      <c r="F238" s="2978">
        <v>0.15</v>
      </c>
      <c r="G238" s="2979">
        <v>0.15</v>
      </c>
    </row>
    <row r="239" spans="1:7">
      <c r="A239" s="2988" t="s">
        <v>305</v>
      </c>
      <c r="B239" s="2977" t="s">
        <v>2864</v>
      </c>
      <c r="C239" s="2978">
        <v>0.15</v>
      </c>
      <c r="D239" s="2978">
        <v>0.15</v>
      </c>
      <c r="E239" s="2978">
        <v>0.15</v>
      </c>
      <c r="F239" s="2978">
        <v>0.15</v>
      </c>
      <c r="G239" s="2979">
        <v>0.15</v>
      </c>
    </row>
    <row r="240" spans="1:7">
      <c r="A240" s="2988" t="s">
        <v>305</v>
      </c>
      <c r="B240" s="2977" t="s">
        <v>2869</v>
      </c>
      <c r="C240" s="2978">
        <v>0.15</v>
      </c>
      <c r="D240" s="2978">
        <v>0.15</v>
      </c>
      <c r="E240" s="2978">
        <v>0.15</v>
      </c>
      <c r="F240" s="2978">
        <v>0.15</v>
      </c>
      <c r="G240" s="2979">
        <v>0.15</v>
      </c>
    </row>
    <row r="241" spans="1:7">
      <c r="A241" s="2988" t="s">
        <v>305</v>
      </c>
      <c r="B241" s="2977" t="s">
        <v>2873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2879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2887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2892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2900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2913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2922</v>
      </c>
      <c r="C258" s="2978">
        <v>0.14299999999999999</v>
      </c>
      <c r="D258" s="2978">
        <v>0.14299999999999999</v>
      </c>
      <c r="E258" s="2978">
        <v>0.15</v>
      </c>
      <c r="F258" s="2978">
        <v>0.14799999999999999</v>
      </c>
      <c r="G258" s="2979">
        <v>0.14599999999999999</v>
      </c>
    </row>
    <row r="259" spans="1:7">
      <c r="A259" s="2988" t="s">
        <v>305</v>
      </c>
      <c r="B259" s="2977" t="s">
        <v>2926</v>
      </c>
      <c r="C259" s="2978">
        <v>0.14399999999999999</v>
      </c>
      <c r="D259" s="2978">
        <v>0.14399999999999999</v>
      </c>
      <c r="E259" s="2978">
        <v>0.14899999999999999</v>
      </c>
      <c r="F259" s="2978">
        <v>0.14699999999999999</v>
      </c>
      <c r="G259" s="2979">
        <v>0.14599999999999999</v>
      </c>
    </row>
    <row r="260" spans="1:7">
      <c r="A260" s="2988" t="s">
        <v>305</v>
      </c>
      <c r="B260" s="2977" t="s">
        <v>2933</v>
      </c>
      <c r="C260" s="2978">
        <v>0.109</v>
      </c>
      <c r="D260" s="2978">
        <v>0.111</v>
      </c>
      <c r="E260" s="2978">
        <v>0.13100000000000001</v>
      </c>
      <c r="F260" s="2978">
        <v>0.126</v>
      </c>
      <c r="G260" s="2979">
        <v>0.11899999999999999</v>
      </c>
    </row>
    <row r="261" spans="1:7">
      <c r="A261" s="2988" t="s">
        <v>305</v>
      </c>
      <c r="B261" s="2977" t="s">
        <v>2940</v>
      </c>
      <c r="C261" s="2978">
        <v>0.1</v>
      </c>
      <c r="D261" s="2978">
        <v>0.1</v>
      </c>
      <c r="E261" s="2978">
        <v>0.11799999999999999</v>
      </c>
      <c r="F261" s="2978">
        <v>0.108</v>
      </c>
      <c r="G261" s="2979">
        <v>0.107</v>
      </c>
    </row>
    <row r="262" spans="1:7">
      <c r="A262" s="2988" t="s">
        <v>305</v>
      </c>
      <c r="B262" s="2977" t="s">
        <v>2946</v>
      </c>
      <c r="C262" s="2978">
        <v>0.1</v>
      </c>
      <c r="D262" s="2978">
        <v>0.1</v>
      </c>
      <c r="E262" s="2978">
        <v>0.1</v>
      </c>
      <c r="F262" s="2978">
        <v>0.14099999999999999</v>
      </c>
      <c r="G262" s="2979">
        <v>0.1</v>
      </c>
    </row>
    <row r="263" spans="1:7">
      <c r="A263" s="2988" t="s">
        <v>305</v>
      </c>
      <c r="B263" s="2977" t="s">
        <v>2953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2964</v>
      </c>
      <c r="C265" s="2989"/>
      <c r="D265" s="2989"/>
      <c r="E265" s="2989"/>
      <c r="F265" s="2978">
        <v>0.05</v>
      </c>
      <c r="G265" s="2995"/>
    </row>
    <row r="266" spans="1:7">
      <c r="A266" s="2988" t="s">
        <v>305</v>
      </c>
      <c r="B266" s="2977" t="s">
        <v>2968</v>
      </c>
      <c r="C266" s="2989"/>
      <c r="D266" s="2989"/>
      <c r="E266" s="2989"/>
      <c r="F266" s="2978">
        <v>0.05</v>
      </c>
      <c r="G266" s="2995"/>
    </row>
    <row r="267" spans="1:7">
      <c r="A267" s="2988" t="s">
        <v>305</v>
      </c>
      <c r="B267" s="2977" t="s">
        <v>2973</v>
      </c>
      <c r="C267" s="2989"/>
      <c r="D267" s="2989"/>
      <c r="E267" s="2989"/>
      <c r="F267" s="2978">
        <v>0.05</v>
      </c>
      <c r="G267" s="2995"/>
    </row>
    <row r="268" spans="1:7">
      <c r="A268" s="2988" t="s">
        <v>305</v>
      </c>
      <c r="B268" s="2977" t="s">
        <v>2978</v>
      </c>
      <c r="C268" s="2989"/>
      <c r="D268" s="2989"/>
      <c r="E268" s="2989"/>
      <c r="F268" s="2978">
        <v>0.05</v>
      </c>
      <c r="G268" s="2995"/>
    </row>
    <row r="269" spans="1:7">
      <c r="A269" s="2988" t="s">
        <v>305</v>
      </c>
      <c r="B269" s="2977" t="s">
        <v>2983</v>
      </c>
      <c r="C269" s="2989"/>
      <c r="D269" s="2989"/>
      <c r="E269" s="2989"/>
      <c r="F269" s="2978">
        <v>0.05</v>
      </c>
      <c r="G269" s="2995"/>
    </row>
    <row r="270" spans="1:7">
      <c r="A270" s="2988" t="s">
        <v>305</v>
      </c>
      <c r="B270" s="2977" t="s">
        <v>2988</v>
      </c>
      <c r="C270" s="2989"/>
      <c r="D270" s="2989"/>
      <c r="E270" s="2989"/>
      <c r="F270" s="2978">
        <v>0.05</v>
      </c>
      <c r="G270" s="2995"/>
    </row>
    <row r="271" spans="1:7">
      <c r="A271" s="2988" t="s">
        <v>305</v>
      </c>
      <c r="B271" s="2977" t="s">
        <v>3192</v>
      </c>
      <c r="C271" s="2989"/>
      <c r="D271" s="2989"/>
      <c r="E271" s="2989"/>
      <c r="F271" s="2978">
        <v>0.05</v>
      </c>
      <c r="G271" s="2995"/>
    </row>
    <row r="272" spans="1:7">
      <c r="A272" s="2988" t="s">
        <v>305</v>
      </c>
      <c r="B272" s="2977" t="s">
        <v>3193</v>
      </c>
      <c r="C272" s="2989"/>
      <c r="D272" s="2989"/>
      <c r="E272" s="2989"/>
      <c r="F272" s="2978">
        <v>0.05</v>
      </c>
      <c r="G272" s="2995"/>
    </row>
    <row r="273" spans="1:7">
      <c r="A273" s="2988" t="s">
        <v>305</v>
      </c>
      <c r="B273" s="2977" t="s">
        <v>3194</v>
      </c>
      <c r="C273" s="2989"/>
      <c r="D273" s="2989"/>
      <c r="E273" s="2989"/>
      <c r="F273" s="2978">
        <v>0.05</v>
      </c>
      <c r="G273" s="2995"/>
    </row>
    <row r="274" spans="1:7">
      <c r="A274" s="2988" t="s">
        <v>305</v>
      </c>
      <c r="B274" s="2977" t="s">
        <v>3195</v>
      </c>
      <c r="C274" s="2989"/>
      <c r="D274" s="2989"/>
      <c r="E274" s="2989"/>
      <c r="F274" s="2978">
        <v>0.05</v>
      </c>
      <c r="G274" s="2995"/>
    </row>
    <row r="275" spans="1:7">
      <c r="A275" s="2988" t="s">
        <v>305</v>
      </c>
      <c r="B275" s="2977" t="s">
        <v>3196</v>
      </c>
      <c r="C275" s="2989"/>
      <c r="D275" s="2989"/>
      <c r="E275" s="2989"/>
      <c r="F275" s="2978">
        <v>0.05</v>
      </c>
      <c r="G275" s="2995"/>
    </row>
    <row r="276" spans="1:7" ht="14.25" thickBot="1">
      <c r="A276" s="2991" t="s">
        <v>305</v>
      </c>
      <c r="B276" s="2981" t="s">
        <v>3197</v>
      </c>
      <c r="C276" s="2983"/>
      <c r="D276" s="2983"/>
      <c r="E276" s="2983"/>
      <c r="F276" s="2982">
        <v>0.05</v>
      </c>
      <c r="G276" s="2996"/>
    </row>
    <row r="277" spans="1:7">
      <c r="A277" s="2987" t="s">
        <v>306</v>
      </c>
      <c r="B277" s="2973" t="s">
        <v>2841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2853</v>
      </c>
      <c r="C279" s="2978">
        <v>0.15</v>
      </c>
      <c r="D279" s="2978">
        <v>0.15</v>
      </c>
      <c r="E279" s="2978">
        <v>0.15</v>
      </c>
      <c r="F279" s="2978">
        <v>0.15</v>
      </c>
      <c r="G279" s="2979">
        <v>0.15</v>
      </c>
    </row>
    <row r="280" spans="1:7">
      <c r="A280" s="2988" t="s">
        <v>306</v>
      </c>
      <c r="B280" s="2977" t="s">
        <v>2857</v>
      </c>
      <c r="C280" s="2978">
        <v>0.15</v>
      </c>
      <c r="D280" s="2978">
        <v>0.15</v>
      </c>
      <c r="E280" s="2978">
        <v>0.15</v>
      </c>
      <c r="F280" s="2978">
        <v>0.15</v>
      </c>
      <c r="G280" s="2979">
        <v>0.15</v>
      </c>
    </row>
    <row r="281" spans="1:7">
      <c r="A281" s="2988" t="s">
        <v>306</v>
      </c>
      <c r="B281" s="2977" t="s">
        <v>2861</v>
      </c>
      <c r="C281" s="2978">
        <v>0.15</v>
      </c>
      <c r="D281" s="2978">
        <v>0.15</v>
      </c>
      <c r="E281" s="2978">
        <v>0.15</v>
      </c>
      <c r="F281" s="2978">
        <v>0.15</v>
      </c>
      <c r="G281" s="2979">
        <v>0.15</v>
      </c>
    </row>
    <row r="282" spans="1:7">
      <c r="A282" s="2988" t="s">
        <v>306</v>
      </c>
      <c r="B282" s="2977" t="s">
        <v>2865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2880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2885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2895</v>
      </c>
      <c r="C293" s="2978">
        <v>0.15</v>
      </c>
      <c r="D293" s="2978">
        <v>0.15</v>
      </c>
      <c r="E293" s="2978">
        <v>0.15</v>
      </c>
      <c r="F293" s="2978">
        <v>0.14499999999999999</v>
      </c>
      <c r="G293" s="2979">
        <v>0.15</v>
      </c>
    </row>
    <row r="294" spans="1:7">
      <c r="A294" s="2988" t="s">
        <v>306</v>
      </c>
      <c r="B294" s="2977" t="s">
        <v>2897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2914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2927</v>
      </c>
      <c r="C302" s="2978">
        <v>0.15</v>
      </c>
      <c r="D302" s="2978">
        <v>0.15</v>
      </c>
      <c r="E302" s="2978">
        <v>0.15</v>
      </c>
      <c r="F302" s="2978">
        <v>0.14699999999999999</v>
      </c>
      <c r="G302" s="2979">
        <v>0.15</v>
      </c>
    </row>
    <row r="303" spans="1:7">
      <c r="A303" s="2988" t="s">
        <v>306</v>
      </c>
      <c r="B303" s="2977" t="s">
        <v>2934</v>
      </c>
      <c r="C303" s="2978">
        <v>0.15</v>
      </c>
      <c r="D303" s="2978">
        <v>0.15</v>
      </c>
      <c r="E303" s="2978">
        <v>0.15</v>
      </c>
      <c r="F303" s="2978">
        <v>0.14199999999999999</v>
      </c>
      <c r="G303" s="2979">
        <v>0.15</v>
      </c>
    </row>
    <row r="304" spans="1:7">
      <c r="A304" s="2988" t="s">
        <v>306</v>
      </c>
      <c r="B304" s="2977" t="s">
        <v>2941</v>
      </c>
      <c r="C304" s="2978">
        <v>0.15</v>
      </c>
      <c r="D304" s="2978">
        <v>0.15</v>
      </c>
      <c r="E304" s="2978">
        <v>0.15</v>
      </c>
      <c r="F304" s="2978">
        <v>0.14499999999999999</v>
      </c>
      <c r="G304" s="2979">
        <v>0.15</v>
      </c>
    </row>
    <row r="305" spans="1:7">
      <c r="A305" s="2988" t="s">
        <v>306</v>
      </c>
      <c r="B305" s="2977" t="s">
        <v>2947</v>
      </c>
      <c r="C305" s="2978">
        <v>0.15</v>
      </c>
      <c r="D305" s="2978">
        <v>0.15</v>
      </c>
      <c r="E305" s="2978">
        <v>0.15</v>
      </c>
      <c r="F305" s="2978">
        <v>0.111</v>
      </c>
      <c r="G305" s="2979">
        <v>0.15</v>
      </c>
    </row>
    <row r="306" spans="1:7">
      <c r="A306" s="2988" t="s">
        <v>306</v>
      </c>
      <c r="B306" s="2977" t="s">
        <v>2954</v>
      </c>
      <c r="C306" s="2978">
        <v>0.15</v>
      </c>
      <c r="D306" s="2978">
        <v>0.15</v>
      </c>
      <c r="E306" s="2978">
        <v>0.15</v>
      </c>
      <c r="F306" s="2978">
        <v>0.126</v>
      </c>
      <c r="G306" s="2979">
        <v>0.15</v>
      </c>
    </row>
    <row r="307" spans="1:7">
      <c r="A307" s="2988" t="s">
        <v>306</v>
      </c>
      <c r="B307" s="2977" t="s">
        <v>2959</v>
      </c>
      <c r="C307" s="2978">
        <v>0.15</v>
      </c>
      <c r="D307" s="2978">
        <v>0.15</v>
      </c>
      <c r="E307" s="2978">
        <v>0.15</v>
      </c>
      <c r="F307" s="2978">
        <v>0.12</v>
      </c>
      <c r="G307" s="2979">
        <v>0.15</v>
      </c>
    </row>
    <row r="308" spans="1:7">
      <c r="A308" s="2988" t="s">
        <v>306</v>
      </c>
      <c r="B308" s="2977" t="s">
        <v>2965</v>
      </c>
      <c r="C308" s="2978">
        <v>0.15</v>
      </c>
      <c r="D308" s="2978">
        <v>0.15</v>
      </c>
      <c r="E308" s="2978">
        <v>0.15</v>
      </c>
      <c r="F308" s="2978">
        <v>0.13</v>
      </c>
      <c r="G308" s="2979">
        <v>0.15</v>
      </c>
    </row>
    <row r="309" spans="1:7">
      <c r="A309" s="2988" t="s">
        <v>306</v>
      </c>
      <c r="B309" s="2977" t="s">
        <v>2969</v>
      </c>
      <c r="C309" s="2978">
        <v>0.15</v>
      </c>
      <c r="D309" s="2978">
        <v>0.15</v>
      </c>
      <c r="E309" s="2978">
        <v>0.15</v>
      </c>
      <c r="F309" s="2978">
        <v>0.14099999999999999</v>
      </c>
      <c r="G309" s="2979">
        <v>0.15</v>
      </c>
    </row>
    <row r="310" spans="1:7">
      <c r="A310" s="2988" t="s">
        <v>306</v>
      </c>
      <c r="B310" s="2977" t="s">
        <v>2974</v>
      </c>
      <c r="C310" s="2978">
        <v>0.15</v>
      </c>
      <c r="D310" s="2978">
        <v>0.15</v>
      </c>
      <c r="E310" s="2978">
        <v>0.15</v>
      </c>
      <c r="F310" s="2978">
        <v>0.15</v>
      </c>
      <c r="G310" s="2979">
        <v>0.15</v>
      </c>
    </row>
    <row r="311" spans="1:7">
      <c r="A311" s="2988" t="s">
        <v>306</v>
      </c>
      <c r="B311" s="2977" t="s">
        <v>2979</v>
      </c>
      <c r="C311" s="2978">
        <v>0.13200000000000001</v>
      </c>
      <c r="D311" s="2978">
        <v>0.13300000000000001</v>
      </c>
      <c r="E311" s="2978">
        <v>0.14499999999999999</v>
      </c>
      <c r="F311" s="2978">
        <v>0.14199999999999999</v>
      </c>
      <c r="G311" s="2979">
        <v>0.14000000000000001</v>
      </c>
    </row>
    <row r="312" spans="1:7">
      <c r="A312" s="2988" t="s">
        <v>306</v>
      </c>
      <c r="B312" s="2977" t="s">
        <v>2984</v>
      </c>
      <c r="C312" s="2978">
        <v>0.13800000000000001</v>
      </c>
      <c r="D312" s="2978">
        <v>0.14000000000000001</v>
      </c>
      <c r="E312" s="2978">
        <v>0.14599999999999999</v>
      </c>
      <c r="F312" s="2978">
        <v>0.14899999999999999</v>
      </c>
      <c r="G312" s="2979">
        <v>0.14199999999999999</v>
      </c>
    </row>
    <row r="313" spans="1:7">
      <c r="A313" s="2988" t="s">
        <v>306</v>
      </c>
      <c r="B313" s="2977" t="s">
        <v>2989</v>
      </c>
      <c r="C313" s="2978">
        <v>0.125</v>
      </c>
      <c r="D313" s="2978">
        <v>0.127</v>
      </c>
      <c r="E313" s="2978">
        <v>0.14399999999999999</v>
      </c>
      <c r="F313" s="2978">
        <v>0.115</v>
      </c>
      <c r="G313" s="2979">
        <v>0.13600000000000001</v>
      </c>
    </row>
    <row r="314" spans="1:7">
      <c r="A314" s="2988" t="s">
        <v>306</v>
      </c>
      <c r="B314" s="2977" t="s">
        <v>3198</v>
      </c>
      <c r="C314" s="2994"/>
      <c r="D314" s="2994"/>
      <c r="E314" s="2994"/>
      <c r="F314" s="2978">
        <v>0.05</v>
      </c>
      <c r="G314" s="2995"/>
    </row>
    <row r="315" spans="1:7">
      <c r="A315" s="2988" t="s">
        <v>306</v>
      </c>
      <c r="B315" s="2977" t="s">
        <v>3199</v>
      </c>
      <c r="C315" s="2994"/>
      <c r="D315" s="2994"/>
      <c r="E315" s="2994"/>
      <c r="F315" s="2978">
        <v>0.05</v>
      </c>
      <c r="G315" s="2995"/>
    </row>
    <row r="316" spans="1:7">
      <c r="A316" s="2988" t="s">
        <v>306</v>
      </c>
      <c r="B316" s="2977" t="s">
        <v>3200</v>
      </c>
      <c r="C316" s="2989"/>
      <c r="D316" s="2989"/>
      <c r="E316" s="2989"/>
      <c r="F316" s="2978">
        <v>0.05</v>
      </c>
      <c r="G316" s="2995"/>
    </row>
    <row r="317" spans="1:7">
      <c r="A317" s="2988" t="s">
        <v>306</v>
      </c>
      <c r="B317" s="2977" t="s">
        <v>3201</v>
      </c>
      <c r="C317" s="2989"/>
      <c r="D317" s="2989"/>
      <c r="E317" s="2989"/>
      <c r="F317" s="2978">
        <v>0.05</v>
      </c>
      <c r="G317" s="2995"/>
    </row>
    <row r="318" spans="1:7">
      <c r="A318" s="2988" t="s">
        <v>306</v>
      </c>
      <c r="B318" s="2977" t="s">
        <v>3202</v>
      </c>
      <c r="C318" s="2989"/>
      <c r="D318" s="2989"/>
      <c r="E318" s="2989"/>
      <c r="F318" s="2978">
        <v>0.05</v>
      </c>
      <c r="G318" s="2995"/>
    </row>
    <row r="319" spans="1:7">
      <c r="A319" s="2988" t="s">
        <v>306</v>
      </c>
      <c r="B319" s="2977" t="s">
        <v>3203</v>
      </c>
      <c r="C319" s="2989"/>
      <c r="D319" s="2989"/>
      <c r="E319" s="2989"/>
      <c r="F319" s="2978">
        <v>0.05</v>
      </c>
      <c r="G319" s="2995"/>
    </row>
    <row r="320" spans="1:7">
      <c r="A320" s="2988" t="s">
        <v>306</v>
      </c>
      <c r="B320" s="2977" t="s">
        <v>3204</v>
      </c>
      <c r="C320" s="2989"/>
      <c r="D320" s="2989"/>
      <c r="E320" s="2989"/>
      <c r="F320" s="2978">
        <v>0.05</v>
      </c>
      <c r="G320" s="2995"/>
    </row>
    <row r="321" spans="1:7">
      <c r="A321" s="2988" t="s">
        <v>306</v>
      </c>
      <c r="B321" s="2977" t="s">
        <v>3205</v>
      </c>
      <c r="C321" s="2989"/>
      <c r="D321" s="2989"/>
      <c r="E321" s="2989"/>
      <c r="F321" s="2978">
        <v>0.05</v>
      </c>
      <c r="G321" s="2995"/>
    </row>
    <row r="322" spans="1:7">
      <c r="A322" s="2988" t="s">
        <v>306</v>
      </c>
      <c r="B322" s="2977" t="s">
        <v>3206</v>
      </c>
      <c r="C322" s="2989"/>
      <c r="D322" s="2989"/>
      <c r="E322" s="2989"/>
      <c r="F322" s="2978">
        <v>0.05</v>
      </c>
      <c r="G322" s="2995"/>
    </row>
    <row r="323" spans="1:7">
      <c r="A323" s="2988" t="s">
        <v>306</v>
      </c>
      <c r="B323" s="2977" t="s">
        <v>3207</v>
      </c>
      <c r="C323" s="2989"/>
      <c r="D323" s="2989"/>
      <c r="E323" s="2989"/>
      <c r="F323" s="2978">
        <v>0.05</v>
      </c>
      <c r="G323" s="2995"/>
    </row>
    <row r="324" spans="1:7">
      <c r="A324" s="2988" t="s">
        <v>306</v>
      </c>
      <c r="B324" s="2977" t="s">
        <v>3208</v>
      </c>
      <c r="C324" s="2989"/>
      <c r="D324" s="2989"/>
      <c r="E324" s="2989"/>
      <c r="F324" s="2978">
        <v>0.05</v>
      </c>
      <c r="G324" s="2995"/>
    </row>
    <row r="325" spans="1:7">
      <c r="A325" s="2988" t="s">
        <v>306</v>
      </c>
      <c r="B325" s="2977" t="s">
        <v>3209</v>
      </c>
      <c r="C325" s="2989"/>
      <c r="D325" s="2989"/>
      <c r="E325" s="2989"/>
      <c r="F325" s="2978">
        <v>0.05</v>
      </c>
      <c r="G325" s="2995"/>
    </row>
    <row r="326" spans="1:7" ht="14.25" thickBot="1">
      <c r="A326" s="2991" t="s">
        <v>306</v>
      </c>
      <c r="B326" s="2981" t="s">
        <v>3210</v>
      </c>
      <c r="C326" s="2983"/>
      <c r="D326" s="2983"/>
      <c r="E326" s="2983"/>
      <c r="F326" s="2982">
        <v>0.05</v>
      </c>
      <c r="G326" s="2996"/>
    </row>
    <row r="327" spans="1:7">
      <c r="A327" s="2987" t="s">
        <v>307</v>
      </c>
      <c r="B327" s="2973" t="s">
        <v>2842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2854</v>
      </c>
      <c r="C329" s="2978">
        <v>0.15</v>
      </c>
      <c r="D329" s="2978">
        <v>0.15</v>
      </c>
      <c r="E329" s="2978">
        <v>0.15</v>
      </c>
      <c r="F329" s="2978">
        <v>0.15</v>
      </c>
      <c r="G329" s="2979">
        <v>0.15</v>
      </c>
    </row>
    <row r="330" spans="1:7">
      <c r="A330" s="2988" t="s">
        <v>307</v>
      </c>
      <c r="B330" s="2977" t="s">
        <v>2858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2866</v>
      </c>
      <c r="C332" s="2978">
        <v>0.15</v>
      </c>
      <c r="D332" s="2978">
        <v>0.15</v>
      </c>
      <c r="E332" s="2978">
        <v>0.15</v>
      </c>
      <c r="F332" s="2978">
        <v>0.15</v>
      </c>
      <c r="G332" s="2979">
        <v>0.15</v>
      </c>
    </row>
    <row r="333" spans="1:7">
      <c r="A333" s="2988" t="s">
        <v>307</v>
      </c>
      <c r="B333" s="2977" t="s">
        <v>2870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2876</v>
      </c>
      <c r="C336" s="2978">
        <v>0.15</v>
      </c>
      <c r="D336" s="2978">
        <v>0.15</v>
      </c>
      <c r="E336" s="2978">
        <v>0.15</v>
      </c>
      <c r="F336" s="2978">
        <v>0.14199999999999999</v>
      </c>
      <c r="G336" s="2979">
        <v>0.15</v>
      </c>
    </row>
    <row r="337" spans="1:7">
      <c r="A337" s="2988" t="s">
        <v>307</v>
      </c>
      <c r="B337" s="2977" t="s">
        <v>2881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2888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2893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2901</v>
      </c>
      <c r="C345" s="2978">
        <v>0.15</v>
      </c>
      <c r="D345" s="2978">
        <v>0.15</v>
      </c>
      <c r="E345" s="2978">
        <v>0.15</v>
      </c>
      <c r="F345" s="2978">
        <v>0.13800000000000001</v>
      </c>
      <c r="G345" s="2979">
        <v>0.15</v>
      </c>
    </row>
    <row r="346" spans="1:7">
      <c r="A346" s="2988" t="s">
        <v>307</v>
      </c>
      <c r="B346" s="2977" t="s">
        <v>2903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2910</v>
      </c>
      <c r="C348" s="2978">
        <v>0.15</v>
      </c>
      <c r="D348" s="2978">
        <v>0.15</v>
      </c>
      <c r="E348" s="2978">
        <v>0.15</v>
      </c>
      <c r="F348" s="2978">
        <v>0.14399999999999999</v>
      </c>
      <c r="G348" s="2979">
        <v>0.15</v>
      </c>
    </row>
    <row r="349" spans="1:7">
      <c r="A349" s="2988" t="s">
        <v>307</v>
      </c>
      <c r="B349" s="2977" t="s">
        <v>2915</v>
      </c>
      <c r="C349" s="2978">
        <v>0.15</v>
      </c>
      <c r="D349" s="2978">
        <v>0.15</v>
      </c>
      <c r="E349" s="2978">
        <v>0.15</v>
      </c>
      <c r="F349" s="2978">
        <v>0.15</v>
      </c>
      <c r="G349" s="2979">
        <v>0.15</v>
      </c>
    </row>
    <row r="350" spans="1:7">
      <c r="A350" s="2988" t="s">
        <v>307</v>
      </c>
      <c r="B350" s="2977" t="s">
        <v>2918</v>
      </c>
      <c r="C350" s="2978">
        <v>0.15</v>
      </c>
      <c r="D350" s="2978">
        <v>0.15</v>
      </c>
      <c r="E350" s="2978">
        <v>0.15</v>
      </c>
      <c r="F350" s="2978">
        <v>0.14699999999999999</v>
      </c>
      <c r="G350" s="2979">
        <v>0.15</v>
      </c>
    </row>
    <row r="351" spans="1:7">
      <c r="A351" s="2988" t="s">
        <v>307</v>
      </c>
      <c r="B351" s="2977" t="s">
        <v>2923</v>
      </c>
      <c r="C351" s="2978">
        <v>0.15</v>
      </c>
      <c r="D351" s="2978">
        <v>0.15</v>
      </c>
      <c r="E351" s="2978">
        <v>0.15</v>
      </c>
      <c r="F351" s="2978">
        <v>0.13</v>
      </c>
      <c r="G351" s="2979">
        <v>0.15</v>
      </c>
    </row>
    <row r="352" spans="1:7">
      <c r="A352" s="2988" t="s">
        <v>307</v>
      </c>
      <c r="B352" s="2977" t="s">
        <v>2928</v>
      </c>
      <c r="C352" s="2978">
        <v>0.15</v>
      </c>
      <c r="D352" s="2978">
        <v>0.15</v>
      </c>
      <c r="E352" s="2978">
        <v>0.15</v>
      </c>
      <c r="F352" s="2978">
        <v>0.14599999999999999</v>
      </c>
      <c r="G352" s="2979">
        <v>0.15</v>
      </c>
    </row>
    <row r="353" spans="1:7">
      <c r="A353" s="2988" t="s">
        <v>307</v>
      </c>
      <c r="B353" s="2977" t="s">
        <v>2935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2948</v>
      </c>
      <c r="C355" s="2978">
        <v>0.15</v>
      </c>
      <c r="D355" s="2978">
        <v>0.15</v>
      </c>
      <c r="E355" s="2978">
        <v>0.15</v>
      </c>
      <c r="F355" s="2978">
        <v>0.15</v>
      </c>
      <c r="G355" s="2979">
        <v>0.15</v>
      </c>
    </row>
    <row r="356" spans="1:7">
      <c r="A356" s="2988" t="s">
        <v>307</v>
      </c>
      <c r="B356" s="2977" t="s">
        <v>2955</v>
      </c>
      <c r="C356" s="2978">
        <v>0.15</v>
      </c>
      <c r="D356" s="2978">
        <v>0.15</v>
      </c>
      <c r="E356" s="2978">
        <v>0.15</v>
      </c>
      <c r="F356" s="2978">
        <v>0.15</v>
      </c>
      <c r="G356" s="2979">
        <v>0.15</v>
      </c>
    </row>
    <row r="357" spans="1:7" ht="14.25" thickBot="1">
      <c r="A357" s="2991" t="s">
        <v>307</v>
      </c>
      <c r="B357" s="2981" t="s">
        <v>2960</v>
      </c>
      <c r="C357" s="2982">
        <v>0.126</v>
      </c>
      <c r="D357" s="2982">
        <v>0.127</v>
      </c>
      <c r="E357" s="2982">
        <v>0.14299999999999999</v>
      </c>
      <c r="F357" s="2982">
        <v>0.125</v>
      </c>
      <c r="G357" s="2984">
        <v>0.129</v>
      </c>
    </row>
    <row r="358" spans="1:7">
      <c r="A358" s="2987" t="s">
        <v>2829</v>
      </c>
      <c r="B358" s="2973" t="s">
        <v>2843</v>
      </c>
      <c r="C358" s="2974">
        <v>0.15</v>
      </c>
      <c r="D358" s="2974">
        <v>0.15</v>
      </c>
      <c r="E358" s="2974">
        <v>0.15</v>
      </c>
      <c r="F358" s="2974">
        <v>0.15</v>
      </c>
      <c r="G358" s="2975">
        <v>0.15</v>
      </c>
    </row>
    <row r="359" spans="1:7">
      <c r="A359" s="2988" t="s">
        <v>2829</v>
      </c>
      <c r="B359" s="2977" t="s">
        <v>2849</v>
      </c>
      <c r="C359" s="2978">
        <v>0.1</v>
      </c>
      <c r="D359" s="2978">
        <v>0.1</v>
      </c>
      <c r="E359" s="2978">
        <v>0.1</v>
      </c>
      <c r="F359" s="2978">
        <v>0.1</v>
      </c>
      <c r="G359" s="2979">
        <v>0.1</v>
      </c>
    </row>
    <row r="360" spans="1:7">
      <c r="A360" s="2988" t="s">
        <v>2829</v>
      </c>
      <c r="B360" s="2977" t="s">
        <v>2855</v>
      </c>
      <c r="C360" s="2978">
        <v>0.15</v>
      </c>
      <c r="D360" s="2978">
        <v>0.15</v>
      </c>
      <c r="E360" s="2978">
        <v>0.15</v>
      </c>
      <c r="F360" s="2978">
        <v>0.14899999999999999</v>
      </c>
      <c r="G360" s="2979">
        <v>0.15</v>
      </c>
    </row>
    <row r="361" spans="1:7">
      <c r="A361" s="2988" t="s">
        <v>2829</v>
      </c>
      <c r="B361" s="2977" t="s">
        <v>153</v>
      </c>
      <c r="C361" s="2978">
        <v>0.15</v>
      </c>
      <c r="D361" s="2978">
        <v>0.15</v>
      </c>
      <c r="E361" s="2978">
        <v>0.15</v>
      </c>
      <c r="F361" s="2978">
        <v>0.115</v>
      </c>
      <c r="G361" s="2979">
        <v>0.15</v>
      </c>
    </row>
    <row r="362" spans="1:7">
      <c r="A362" s="2988" t="s">
        <v>2829</v>
      </c>
      <c r="B362" s="2977" t="s">
        <v>2862</v>
      </c>
      <c r="C362" s="2978">
        <v>0.15</v>
      </c>
      <c r="D362" s="2978">
        <v>0.15</v>
      </c>
      <c r="E362" s="2978">
        <v>0.15</v>
      </c>
      <c r="F362" s="2978">
        <v>0.106</v>
      </c>
      <c r="G362" s="2979">
        <v>0.15</v>
      </c>
    </row>
    <row r="363" spans="1:7">
      <c r="A363" s="2988" t="s">
        <v>2829</v>
      </c>
      <c r="B363" s="2977" t="s">
        <v>2867</v>
      </c>
      <c r="C363" s="2978">
        <v>0.15</v>
      </c>
      <c r="D363" s="2978">
        <v>0.15</v>
      </c>
      <c r="E363" s="2978">
        <v>0.15</v>
      </c>
      <c r="F363" s="2978">
        <v>0.14699999999999999</v>
      </c>
      <c r="G363" s="2979">
        <v>0.15</v>
      </c>
    </row>
    <row r="364" spans="1:7">
      <c r="A364" s="2988" t="s">
        <v>2829</v>
      </c>
      <c r="B364" s="2977" t="s">
        <v>2871</v>
      </c>
      <c r="C364" s="2978">
        <v>0.15</v>
      </c>
      <c r="D364" s="2978">
        <v>0.15</v>
      </c>
      <c r="E364" s="2978">
        <v>0.15</v>
      </c>
      <c r="F364" s="2978">
        <v>0.14799999999999999</v>
      </c>
      <c r="G364" s="2979">
        <v>0.15</v>
      </c>
    </row>
    <row r="365" spans="1:7">
      <c r="A365" s="2988" t="s">
        <v>2829</v>
      </c>
      <c r="B365" s="2977" t="s">
        <v>200</v>
      </c>
      <c r="C365" s="2978">
        <v>0.15</v>
      </c>
      <c r="D365" s="2978">
        <v>0.15</v>
      </c>
      <c r="E365" s="2978">
        <v>0.15</v>
      </c>
      <c r="F365" s="2978">
        <v>0.15</v>
      </c>
      <c r="G365" s="2979">
        <v>0.15</v>
      </c>
    </row>
    <row r="366" spans="1:7">
      <c r="A366" s="2988" t="s">
        <v>2829</v>
      </c>
      <c r="B366" s="2977" t="s">
        <v>2874</v>
      </c>
      <c r="C366" s="2978">
        <v>0.15</v>
      </c>
      <c r="D366" s="2978">
        <v>0.15</v>
      </c>
      <c r="E366" s="2978">
        <v>0.15</v>
      </c>
      <c r="F366" s="2978">
        <v>0.15</v>
      </c>
      <c r="G366" s="2979">
        <v>0.15</v>
      </c>
    </row>
    <row r="367" spans="1:7">
      <c r="A367" s="2988" t="s">
        <v>2829</v>
      </c>
      <c r="B367" s="2977" t="s">
        <v>2877</v>
      </c>
      <c r="C367" s="2978">
        <v>0.15</v>
      </c>
      <c r="D367" s="2978">
        <v>0.15</v>
      </c>
      <c r="E367" s="2978">
        <v>0.15</v>
      </c>
      <c r="F367" s="2978">
        <v>0.14699999999999999</v>
      </c>
      <c r="G367" s="2979">
        <v>0.15</v>
      </c>
    </row>
    <row r="368" spans="1:7">
      <c r="A368" s="2988" t="s">
        <v>2829</v>
      </c>
      <c r="B368" s="2977" t="s">
        <v>2882</v>
      </c>
      <c r="C368" s="2978">
        <v>0.15</v>
      </c>
      <c r="D368" s="2978">
        <v>0.15</v>
      </c>
      <c r="E368" s="2978">
        <v>0.15</v>
      </c>
      <c r="F368" s="2978">
        <v>0.13600000000000001</v>
      </c>
      <c r="G368" s="2979">
        <v>0.15</v>
      </c>
    </row>
    <row r="369" spans="1:7">
      <c r="A369" s="2988" t="s">
        <v>2829</v>
      </c>
      <c r="B369" s="2977" t="s">
        <v>214</v>
      </c>
      <c r="C369" s="2978">
        <v>0.15</v>
      </c>
      <c r="D369" s="2978">
        <v>0.15</v>
      </c>
      <c r="E369" s="2978">
        <v>0.15</v>
      </c>
      <c r="F369" s="2978">
        <v>0.14399999999999999</v>
      </c>
      <c r="G369" s="2979">
        <v>0.15</v>
      </c>
    </row>
    <row r="370" spans="1:7">
      <c r="A370" s="2988" t="s">
        <v>2829</v>
      </c>
      <c r="B370" s="2977" t="s">
        <v>221</v>
      </c>
      <c r="C370" s="2978">
        <v>0.15</v>
      </c>
      <c r="D370" s="2978">
        <v>0.15</v>
      </c>
      <c r="E370" s="2978">
        <v>0.15</v>
      </c>
      <c r="F370" s="2978">
        <v>0.14599999999999999</v>
      </c>
      <c r="G370" s="2979">
        <v>0.15</v>
      </c>
    </row>
    <row r="371" spans="1:7">
      <c r="A371" s="2988" t="s">
        <v>2829</v>
      </c>
      <c r="B371" s="2977" t="s">
        <v>229</v>
      </c>
      <c r="C371" s="2978">
        <v>0.15</v>
      </c>
      <c r="D371" s="2978">
        <v>0.15</v>
      </c>
      <c r="E371" s="2978">
        <v>0.15</v>
      </c>
      <c r="F371" s="2978">
        <v>0.12</v>
      </c>
      <c r="G371" s="2979">
        <v>0.15</v>
      </c>
    </row>
    <row r="372" spans="1:7">
      <c r="A372" s="2988" t="s">
        <v>2829</v>
      </c>
      <c r="B372" s="2977" t="s">
        <v>2890</v>
      </c>
      <c r="C372" s="2978">
        <v>0.15</v>
      </c>
      <c r="D372" s="2978">
        <v>0.15</v>
      </c>
      <c r="E372" s="2978">
        <v>0.15</v>
      </c>
      <c r="F372" s="2978">
        <v>0.14299999999999999</v>
      </c>
      <c r="G372" s="2979">
        <v>0.15</v>
      </c>
    </row>
    <row r="373" spans="1:7">
      <c r="A373" s="2988" t="s">
        <v>2829</v>
      </c>
      <c r="B373" s="2977" t="s">
        <v>258</v>
      </c>
      <c r="C373" s="2978">
        <v>0.15</v>
      </c>
      <c r="D373" s="2978">
        <v>0.15</v>
      </c>
      <c r="E373" s="2978">
        <v>0.15</v>
      </c>
      <c r="F373" s="2978">
        <v>0.14599999999999999</v>
      </c>
      <c r="G373" s="2979">
        <v>0.15</v>
      </c>
    </row>
    <row r="374" spans="1:7">
      <c r="A374" s="2988" t="s">
        <v>2829</v>
      </c>
      <c r="B374" s="2977" t="s">
        <v>266</v>
      </c>
      <c r="C374" s="2978">
        <v>0.15</v>
      </c>
      <c r="D374" s="2978">
        <v>0.15</v>
      </c>
      <c r="E374" s="2978">
        <v>0.15</v>
      </c>
      <c r="F374" s="2978">
        <v>0.14399999999999999</v>
      </c>
      <c r="G374" s="2979">
        <v>0.15</v>
      </c>
    </row>
    <row r="375" spans="1:7">
      <c r="A375" s="2988" t="s">
        <v>2829</v>
      </c>
      <c r="B375" s="2977" t="s">
        <v>2898</v>
      </c>
      <c r="C375" s="2978">
        <v>0.15</v>
      </c>
      <c r="D375" s="2978">
        <v>0.15</v>
      </c>
      <c r="E375" s="2978">
        <v>0.15</v>
      </c>
      <c r="F375" s="2978">
        <v>0.13</v>
      </c>
      <c r="G375" s="2979">
        <v>0.15</v>
      </c>
    </row>
    <row r="376" spans="1:7">
      <c r="A376" s="2988" t="s">
        <v>2829</v>
      </c>
      <c r="B376" s="2977" t="s">
        <v>277</v>
      </c>
      <c r="C376" s="2978">
        <v>0.15</v>
      </c>
      <c r="D376" s="2978">
        <v>0.15</v>
      </c>
      <c r="E376" s="2978">
        <v>0.15</v>
      </c>
      <c r="F376" s="2978">
        <v>0.14199999999999999</v>
      </c>
      <c r="G376" s="2979">
        <v>0.15</v>
      </c>
    </row>
    <row r="377" spans="1:7" ht="14.25" thickBot="1">
      <c r="A377" s="2991" t="s">
        <v>2829</v>
      </c>
      <c r="B377" s="2981" t="s">
        <v>2904</v>
      </c>
      <c r="C377" s="2982">
        <v>0.15</v>
      </c>
      <c r="D377" s="2982">
        <v>0.15</v>
      </c>
      <c r="E377" s="2982">
        <v>0.15</v>
      </c>
      <c r="F377" s="2982">
        <v>0.14000000000000001</v>
      </c>
      <c r="G377" s="2984">
        <v>0.15</v>
      </c>
    </row>
    <row r="378" spans="1:7">
      <c r="A378" s="2987" t="s">
        <v>2830</v>
      </c>
      <c r="B378" s="2973" t="s">
        <v>2844</v>
      </c>
      <c r="C378" s="2974">
        <v>0.15</v>
      </c>
      <c r="D378" s="2974">
        <v>0.15</v>
      </c>
      <c r="E378" s="2974">
        <v>0.15</v>
      </c>
      <c r="F378" s="2974">
        <v>0.107</v>
      </c>
      <c r="G378" s="2975">
        <v>0.15</v>
      </c>
    </row>
    <row r="379" spans="1:7">
      <c r="A379" s="2988" t="s">
        <v>2830</v>
      </c>
      <c r="B379" s="2977" t="s">
        <v>2850</v>
      </c>
      <c r="C379" s="2978">
        <v>0.15</v>
      </c>
      <c r="D379" s="2978">
        <v>0.15</v>
      </c>
      <c r="E379" s="2978">
        <v>0.15</v>
      </c>
      <c r="F379" s="2978">
        <v>0.115</v>
      </c>
      <c r="G379" s="2979">
        <v>0.14899999999999999</v>
      </c>
    </row>
    <row r="380" spans="1:7">
      <c r="A380" s="2988" t="s">
        <v>2830</v>
      </c>
      <c r="B380" s="2977" t="s">
        <v>2856</v>
      </c>
      <c r="C380" s="2978">
        <v>0.15</v>
      </c>
      <c r="D380" s="2978">
        <v>0.15</v>
      </c>
      <c r="E380" s="2978">
        <v>0.15</v>
      </c>
      <c r="F380" s="2978">
        <v>0.1</v>
      </c>
      <c r="G380" s="2979">
        <v>0.14799999999999999</v>
      </c>
    </row>
    <row r="381" spans="1:7">
      <c r="A381" s="2988" t="s">
        <v>2830</v>
      </c>
      <c r="B381" s="2977" t="s">
        <v>2859</v>
      </c>
      <c r="C381" s="2978">
        <v>0.15</v>
      </c>
      <c r="D381" s="2978">
        <v>0.15</v>
      </c>
      <c r="E381" s="2978">
        <v>0.15</v>
      </c>
      <c r="F381" s="2978">
        <v>0.126</v>
      </c>
      <c r="G381" s="2979">
        <v>0.15</v>
      </c>
    </row>
    <row r="382" spans="1:7">
      <c r="A382" s="2988" t="s">
        <v>2830</v>
      </c>
      <c r="B382" s="2977" t="s">
        <v>2863</v>
      </c>
      <c r="C382" s="2978">
        <v>0.15</v>
      </c>
      <c r="D382" s="2978">
        <v>0.15</v>
      </c>
      <c r="E382" s="2978">
        <v>0.15</v>
      </c>
      <c r="F382" s="2978">
        <v>0.15</v>
      </c>
      <c r="G382" s="2979">
        <v>0.15</v>
      </c>
    </row>
    <row r="383" spans="1:7">
      <c r="A383" s="2988" t="s">
        <v>2830</v>
      </c>
      <c r="B383" s="2977" t="s">
        <v>2868</v>
      </c>
      <c r="C383" s="2978">
        <v>0.15</v>
      </c>
      <c r="D383" s="2978">
        <v>0.15</v>
      </c>
      <c r="E383" s="2978">
        <v>0.15</v>
      </c>
      <c r="F383" s="2978">
        <v>0.14699999999999999</v>
      </c>
      <c r="G383" s="2979">
        <v>0.15</v>
      </c>
    </row>
    <row r="384" spans="1:7" ht="14.25" thickBot="1">
      <c r="A384" s="2998" t="s">
        <v>2830</v>
      </c>
      <c r="B384" s="2999" t="s">
        <v>2872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555" t="s">
        <v>3211</v>
      </c>
      <c r="B1" s="3555"/>
      <c r="C1" s="3555"/>
      <c r="D1" s="3555"/>
      <c r="E1" s="3555"/>
      <c r="F1" s="3556"/>
    </row>
    <row r="2" spans="1:6">
      <c r="A2" s="3002" t="s">
        <v>3212</v>
      </c>
    </row>
    <row r="3" spans="1:6">
      <c r="A3" s="3002" t="s">
        <v>3213</v>
      </c>
      <c r="F3" s="3003" t="s">
        <v>3214</v>
      </c>
    </row>
    <row r="4" spans="1:6">
      <c r="A4" s="3004" t="s">
        <v>672</v>
      </c>
      <c r="B4" s="3004" t="s">
        <v>673</v>
      </c>
      <c r="C4" s="3004" t="s">
        <v>21</v>
      </c>
      <c r="D4" s="3004" t="s">
        <v>674</v>
      </c>
      <c r="E4" s="3004" t="s">
        <v>3</v>
      </c>
      <c r="F4" s="3004" t="s">
        <v>3215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7">
        <f>基准地价修正!G23</f>
        <v>45862</v>
      </c>
      <c r="B1" s="2929" t="s">
        <v>3357</v>
      </c>
      <c r="C1" s="2930"/>
      <c r="D1" s="2930"/>
      <c r="E1" s="2930"/>
      <c r="F1" s="2930"/>
      <c r="G1" s="2930"/>
      <c r="H1" s="2930"/>
      <c r="I1" s="2930"/>
      <c r="J1" s="2896"/>
      <c r="K1" s="2930" t="s">
        <v>454</v>
      </c>
      <c r="L1" s="2930"/>
      <c r="M1" s="2930"/>
      <c r="N1" s="2930"/>
      <c r="O1" s="2930"/>
      <c r="P1" s="2930"/>
      <c r="Q1" s="2896"/>
      <c r="R1" s="3557" t="s">
        <v>456</v>
      </c>
      <c r="S1" s="3558"/>
      <c r="T1" s="3558"/>
      <c r="U1" s="3558"/>
      <c r="V1" s="3558"/>
      <c r="W1" s="3558"/>
      <c r="X1" s="2896"/>
      <c r="Y1" s="3557" t="s">
        <v>457</v>
      </c>
      <c r="Z1" s="3558"/>
      <c r="AA1" s="3558"/>
      <c r="AB1" s="3558"/>
      <c r="AC1" s="3558"/>
      <c r="AD1" s="3558"/>
    </row>
    <row r="2" spans="1:44" s="2009" customFormat="1" ht="14.25" thickBot="1">
      <c r="B2" s="2881"/>
      <c r="C2" s="2882"/>
      <c r="D2" s="2010" t="s">
        <v>2789</v>
      </c>
      <c r="E2" s="2011" t="s">
        <v>2790</v>
      </c>
      <c r="F2" s="2011" t="s">
        <v>2791</v>
      </c>
      <c r="G2" s="2011" t="s">
        <v>2792</v>
      </c>
      <c r="H2" s="2011" t="s">
        <v>2793</v>
      </c>
      <c r="I2" s="2011" t="s">
        <v>2610</v>
      </c>
      <c r="J2" s="2883"/>
      <c r="K2" s="2010" t="s">
        <v>2789</v>
      </c>
      <c r="L2" s="2011" t="s">
        <v>2790</v>
      </c>
      <c r="M2" s="2011" t="s">
        <v>2791</v>
      </c>
      <c r="N2" s="2011" t="s">
        <v>2792</v>
      </c>
      <c r="O2" s="2011" t="s">
        <v>2794</v>
      </c>
      <c r="P2" s="2011" t="s">
        <v>2610</v>
      </c>
      <c r="Q2" s="2883"/>
      <c r="R2" s="2010" t="s">
        <v>2789</v>
      </c>
      <c r="S2" s="2011" t="s">
        <v>2790</v>
      </c>
      <c r="T2" s="2011" t="s">
        <v>2791</v>
      </c>
      <c r="U2" s="2011" t="s">
        <v>2795</v>
      </c>
      <c r="V2" s="2011" t="s">
        <v>2796</v>
      </c>
      <c r="W2" s="2011" t="s">
        <v>2610</v>
      </c>
      <c r="X2" s="2883"/>
      <c r="Y2" s="2010" t="s">
        <v>2789</v>
      </c>
      <c r="Z2" s="2011" t="s">
        <v>2790</v>
      </c>
      <c r="AA2" s="2011" t="s">
        <v>2791</v>
      </c>
      <c r="AB2" s="2011" t="s">
        <v>2797</v>
      </c>
      <c r="AC2" s="2011" t="s">
        <v>2796</v>
      </c>
      <c r="AD2" s="2011" t="s">
        <v>2610</v>
      </c>
      <c r="AF2" t="s">
        <v>3384</v>
      </c>
      <c r="AG2" t="s">
        <v>673</v>
      </c>
      <c r="AH2" t="s">
        <v>21</v>
      </c>
      <c r="AI2" t="s">
        <v>3385</v>
      </c>
      <c r="AJ2" t="s">
        <v>3</v>
      </c>
      <c r="AK2" t="s">
        <v>3386</v>
      </c>
      <c r="AM2" t="s">
        <v>3384</v>
      </c>
      <c r="AN2" t="s">
        <v>673</v>
      </c>
      <c r="AO2" t="s">
        <v>21</v>
      </c>
      <c r="AP2" t="s">
        <v>3385</v>
      </c>
      <c r="AQ2" t="s">
        <v>3</v>
      </c>
      <c r="AR2" t="s">
        <v>3386</v>
      </c>
    </row>
    <row r="3" spans="1:44" s="2886" customFormat="1" ht="12.75">
      <c r="A3" s="2884" t="s">
        <v>2798</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3383</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4" customFormat="1" ht="12.75">
      <c r="A6" s="2039" t="s">
        <v>3382</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3381</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3389</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4" customFormat="1" ht="12.75">
      <c r="A9" s="2039" t="s">
        <v>3388</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4" customFormat="1" ht="12.75">
      <c r="A10" s="2039" t="s">
        <v>3361</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4" customFormat="1" ht="12.75">
      <c r="A11" s="2905" t="s">
        <v>3355</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4" customFormat="1" ht="12.75">
      <c r="A12" s="2905" t="s">
        <v>3354</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4" customFormat="1" ht="12.75">
      <c r="A13" s="2905" t="s">
        <v>3350</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4" customFormat="1" ht="12.75">
      <c r="A14" s="2905" t="s">
        <v>3349</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4" customFormat="1" ht="12.75">
      <c r="A15" s="2905" t="s">
        <v>3347</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4" customFormat="1" ht="12.75">
      <c r="A16" s="2905" t="s">
        <v>3346</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4" customFormat="1" ht="12.75">
      <c r="A17" s="2905" t="s">
        <v>3345</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4" customFormat="1" ht="12.75">
      <c r="A18" s="2905" t="s">
        <v>3343</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4" customFormat="1" ht="12.75">
      <c r="A19" s="2905" t="s">
        <v>3334</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4" customFormat="1" ht="12.75">
      <c r="A20" s="2905" t="s">
        <v>2799</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4" customFormat="1" ht="12.75">
      <c r="A21" s="2905" t="s">
        <v>2800</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4" customFormat="1" ht="12.75">
      <c r="A22" s="2905" t="s">
        <v>2801</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4" customFormat="1" ht="12.75">
      <c r="A23" s="2905" t="s">
        <v>2802</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25" thickBot="1">
      <c r="A24" s="2918" t="s">
        <v>2803</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25" thickTop="1"/>
    <row r="26" spans="1:44">
      <c r="A26" s="3143" t="s">
        <v>3360</v>
      </c>
    </row>
    <row r="27" spans="1:44">
      <c r="I27" s="1404" t="s">
        <v>2804</v>
      </c>
    </row>
    <row r="29" spans="1:44" s="2008" customFormat="1" ht="12.75">
      <c r="B29" s="2929" t="s">
        <v>3358</v>
      </c>
      <c r="C29" s="2930"/>
      <c r="D29" s="2930"/>
      <c r="E29" s="2930"/>
      <c r="F29" s="2930"/>
      <c r="G29" s="2930"/>
      <c r="H29" s="2930"/>
      <c r="I29" s="2930"/>
      <c r="J29" s="2896"/>
      <c r="K29" s="2930" t="s">
        <v>2805</v>
      </c>
      <c r="L29" s="2930"/>
      <c r="M29" s="2930"/>
      <c r="N29" s="2930"/>
      <c r="O29" s="2930"/>
      <c r="P29" s="2930"/>
      <c r="Q29" s="2896"/>
      <c r="R29" s="3557" t="s">
        <v>2806</v>
      </c>
      <c r="S29" s="3558"/>
      <c r="T29" s="3558"/>
      <c r="U29" s="3558"/>
      <c r="V29" s="3558"/>
      <c r="W29" s="3558"/>
      <c r="X29" s="2896"/>
      <c r="Y29" s="3557" t="s">
        <v>2807</v>
      </c>
      <c r="Z29" s="3558"/>
      <c r="AA29" s="3558"/>
      <c r="AB29" s="3558"/>
      <c r="AC29" s="3558"/>
      <c r="AD29" s="3558"/>
    </row>
    <row r="30" spans="1:44" s="2009" customFormat="1" ht="14.25" thickBot="1">
      <c r="B30" s="2881"/>
      <c r="C30" s="2882"/>
      <c r="D30" s="2010" t="s">
        <v>2808</v>
      </c>
      <c r="E30" s="2011" t="s">
        <v>2809</v>
      </c>
      <c r="F30" s="2011" t="s">
        <v>2810</v>
      </c>
      <c r="G30" s="2011" t="s">
        <v>2811</v>
      </c>
      <c r="H30" s="2011"/>
      <c r="I30" s="2011" t="s">
        <v>2812</v>
      </c>
      <c r="J30" s="2883"/>
      <c r="K30" s="2010" t="s">
        <v>2808</v>
      </c>
      <c r="L30" s="2011" t="s">
        <v>2809</v>
      </c>
      <c r="M30" s="2011" t="s">
        <v>2810</v>
      </c>
      <c r="N30" s="2011" t="s">
        <v>2811</v>
      </c>
      <c r="O30" s="2011"/>
      <c r="P30" s="2011" t="s">
        <v>2812</v>
      </c>
      <c r="Q30" s="2883"/>
      <c r="R30" s="2010" t="s">
        <v>2808</v>
      </c>
      <c r="S30" s="2011" t="s">
        <v>2809</v>
      </c>
      <c r="T30" s="2011" t="s">
        <v>2810</v>
      </c>
      <c r="U30" s="2011" t="s">
        <v>2811</v>
      </c>
      <c r="V30" s="2011"/>
      <c r="W30" s="2011" t="s">
        <v>2812</v>
      </c>
      <c r="X30" s="2883"/>
      <c r="Y30" s="2010" t="s">
        <v>2808</v>
      </c>
      <c r="Z30" s="2011" t="s">
        <v>2809</v>
      </c>
      <c r="AA30" s="2011" t="s">
        <v>2810</v>
      </c>
      <c r="AB30" s="2011" t="s">
        <v>2811</v>
      </c>
      <c r="AC30" s="2011"/>
      <c r="AD30" s="2011" t="s">
        <v>2812</v>
      </c>
      <c r="AG30" t="s">
        <v>673</v>
      </c>
      <c r="AH30" t="s">
        <v>21</v>
      </c>
      <c r="AI30" t="s">
        <v>3385</v>
      </c>
      <c r="AJ30"/>
      <c r="AK30" t="s">
        <v>3386</v>
      </c>
      <c r="AN30" t="s">
        <v>673</v>
      </c>
      <c r="AO30" t="s">
        <v>21</v>
      </c>
      <c r="AP30" t="s">
        <v>3385</v>
      </c>
      <c r="AQ30"/>
      <c r="AR30" t="s">
        <v>3386</v>
      </c>
    </row>
    <row r="31" spans="1:44" s="2886" customFormat="1" ht="12.75">
      <c r="A31" s="2884" t="s">
        <v>2813</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3383</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4" customFormat="1" ht="12.75">
      <c r="A34" s="2039" t="s">
        <v>3382</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2.75">
      <c r="A35" s="2907" t="s">
        <v>3390</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3387</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4" customFormat="1" ht="12.75">
      <c r="A37" s="2039" t="s">
        <v>3388</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4" customFormat="1" ht="12.75">
      <c r="A38" s="2039" t="s">
        <v>3352</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4" customFormat="1" ht="12.75">
      <c r="A39" s="2905" t="s">
        <v>3356</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4" customFormat="1" ht="12.75">
      <c r="A40" s="2905" t="s">
        <v>3353</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4" customFormat="1" ht="12.75">
      <c r="A41" s="2905" t="s">
        <v>3351</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4" customFormat="1" ht="12.75">
      <c r="A42" s="2905" t="s">
        <v>3349</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4" customFormat="1" ht="12.75">
      <c r="A43" s="2905" t="s">
        <v>3348</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4" customFormat="1" ht="12.75">
      <c r="A44" s="2905" t="s">
        <v>3346</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4" customFormat="1" ht="12.75">
      <c r="A45" s="2905" t="s">
        <v>3345</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4" customFormat="1" ht="12.75">
      <c r="A46" s="2905" t="s">
        <v>3344</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4" customFormat="1" ht="12.75">
      <c r="A47" s="2905" t="s">
        <v>3334</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4" customFormat="1" ht="12.75">
      <c r="A48" s="2905" t="s">
        <v>2814</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4" customFormat="1" ht="12.75">
      <c r="A49" s="2905" t="s">
        <v>2815</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4" customFormat="1" ht="12.75">
      <c r="A50" s="2905" t="s">
        <v>2816</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4" customFormat="1" ht="12.75">
      <c r="A51" s="2905" t="s">
        <v>2817</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25" thickBot="1">
      <c r="A52" s="2918" t="s">
        <v>2803</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25" thickTop="1"/>
    <row r="54" spans="1:44">
      <c r="A54" s="3143" t="s">
        <v>3359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62" t="s">
        <v>452</v>
      </c>
      <c r="C1" s="3562"/>
      <c r="D1" s="3562"/>
      <c r="E1" s="3562"/>
      <c r="F1" s="3562"/>
      <c r="G1" s="3558" t="s">
        <v>453</v>
      </c>
      <c r="H1" s="3558"/>
      <c r="I1" s="3558"/>
      <c r="J1" s="3558"/>
      <c r="K1" s="3558"/>
      <c r="L1" s="3558"/>
      <c r="N1" s="3558" t="s">
        <v>454</v>
      </c>
      <c r="O1" s="3558"/>
      <c r="P1" s="3558"/>
      <c r="Q1" s="3558"/>
      <c r="S1" s="3558" t="s">
        <v>455</v>
      </c>
      <c r="T1" s="3558"/>
      <c r="U1" s="3558"/>
      <c r="V1" s="3558"/>
      <c r="X1" s="3557" t="s">
        <v>456</v>
      </c>
      <c r="Y1" s="3558"/>
      <c r="Z1" s="3558"/>
      <c r="AA1" s="3558"/>
      <c r="AB1" s="3558"/>
      <c r="AD1" s="3557" t="s">
        <v>457</v>
      </c>
      <c r="AE1" s="3558"/>
      <c r="AF1" s="3558"/>
      <c r="AG1" s="3558"/>
      <c r="AH1" s="3558"/>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3342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3339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3341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2415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6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6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6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6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6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6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6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6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6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6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6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6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5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6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6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6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5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6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6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6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6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6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6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6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5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6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6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6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5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6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6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6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5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6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6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6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5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6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6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6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5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6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6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6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5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6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6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6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5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6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6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6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5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6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6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6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5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6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6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6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5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6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6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6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5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6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6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6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27" t="str">
        <f>IF(项目基本情况!B9="房地产市场价值","估价结果一览表","结果表-2")</f>
        <v>结果表-2</v>
      </c>
      <c r="B1" s="3227"/>
      <c r="C1" s="3227"/>
      <c r="D1" s="3227"/>
      <c r="E1" s="3227"/>
      <c r="F1" s="3227"/>
      <c r="G1" s="3227"/>
      <c r="H1" s="3227"/>
      <c r="I1" s="3227"/>
    </row>
    <row r="2" spans="1:9" ht="30" customHeight="1" thickTop="1">
      <c r="A2" s="3228" t="s">
        <v>928</v>
      </c>
      <c r="B2" s="3228" t="s">
        <v>929</v>
      </c>
      <c r="C2" s="3228" t="s">
        <v>930</v>
      </c>
      <c r="D2" s="3228" t="str">
        <f>结果表!D116</f>
        <v>出让国有建设用地使用权价值</v>
      </c>
      <c r="E2" s="3228"/>
      <c r="F2" s="3228" t="str">
        <f>结果表!F116</f>
        <v>在建建筑物价值</v>
      </c>
      <c r="G2" s="3228"/>
      <c r="H2" s="3228" t="str">
        <f>IF(项目基本情况!B9="房地产市场价值","房地产市场价值","房地产价值")</f>
        <v>房地产价值</v>
      </c>
      <c r="I2" s="3228"/>
    </row>
    <row r="3" spans="1:9" ht="15">
      <c r="A3" s="3229"/>
      <c r="B3" s="3229"/>
      <c r="C3" s="3229"/>
      <c r="D3" s="800" t="s">
        <v>925</v>
      </c>
      <c r="E3" s="800" t="s">
        <v>931</v>
      </c>
      <c r="F3" s="800" t="s">
        <v>925</v>
      </c>
      <c r="G3" s="800" t="s">
        <v>926</v>
      </c>
      <c r="H3" s="800" t="s">
        <v>925</v>
      </c>
      <c r="I3" s="800" t="s">
        <v>926</v>
      </c>
    </row>
    <row r="4" spans="1:9" ht="15">
      <c r="A4" s="1402" t="str">
        <f>项目基本情况!S2</f>
        <v>北京市房地产</v>
      </c>
      <c r="B4" s="800">
        <f>项目基本情况!C17</f>
        <v>52990.34</v>
      </c>
      <c r="C4" s="800">
        <f>项目基本情况!C18</f>
        <v>0</v>
      </c>
      <c r="D4" s="800">
        <f ca="1">结果表!D118</f>
        <v>136815</v>
      </c>
      <c r="E4" s="800">
        <f ca="1">结果表!E118</f>
        <v>25819</v>
      </c>
      <c r="F4" s="800">
        <f ca="1">结果表!F118</f>
        <v>43680</v>
      </c>
      <c r="G4" s="800">
        <f ca="1">结果表!G118</f>
        <v>8243</v>
      </c>
      <c r="H4" s="800">
        <f ca="1">结果表!H118</f>
        <v>180495</v>
      </c>
      <c r="I4" s="800">
        <f ca="1">结果表!I118</f>
        <v>34062</v>
      </c>
    </row>
    <row r="5" spans="1:9" ht="30" customHeight="1">
      <c r="A5" s="3229" t="s">
        <v>927</v>
      </c>
      <c r="B5" s="3229"/>
      <c r="C5" s="3229"/>
      <c r="D5" s="3229" t="str">
        <f ca="1">结果表!D119</f>
        <v>壹拾叁亿陆仟捌佰壹拾伍万元整</v>
      </c>
      <c r="E5" s="3229"/>
      <c r="F5" s="3229" t="str">
        <f ca="1">结果表!F119</f>
        <v>肆亿叁仟陆佰捌拾万元整</v>
      </c>
      <c r="G5" s="3229"/>
      <c r="H5" s="3229" t="str">
        <f ca="1">结果表!H119</f>
        <v>壹拾捌亿零肆佰玖拾伍万元整</v>
      </c>
      <c r="I5" s="3229"/>
    </row>
    <row r="6" spans="1:9" ht="15.75">
      <c r="A6" s="3230" t="str">
        <f>结果表!A120</f>
        <v>估价师知悉的法定优先受偿款</v>
      </c>
      <c r="B6" s="3230"/>
      <c r="C6" s="3230"/>
      <c r="D6" s="3230">
        <f>结果表!D120</f>
        <v>0</v>
      </c>
      <c r="E6" s="3230"/>
      <c r="F6" s="3230"/>
      <c r="G6" s="3230"/>
      <c r="H6" s="3230"/>
      <c r="I6" s="3230"/>
    </row>
    <row r="7" spans="1:9" ht="15">
      <c r="A7" s="3229" t="s">
        <v>927</v>
      </c>
      <c r="B7" s="3229"/>
      <c r="C7" s="3229"/>
      <c r="D7" s="3231" t="str">
        <f>结果表!D121</f>
        <v>零元整</v>
      </c>
      <c r="E7" s="3232"/>
      <c r="F7" s="3232"/>
      <c r="G7" s="3232"/>
      <c r="H7" s="3232"/>
      <c r="I7" s="3233"/>
    </row>
    <row r="8" spans="1:9" ht="15.75">
      <c r="A8" s="3230" t="str">
        <f>结果表!A122</f>
        <v>房地产抵押价值</v>
      </c>
      <c r="B8" s="3230"/>
      <c r="C8" s="3230"/>
      <c r="D8" s="3230">
        <f ca="1">结果表!D122</f>
        <v>180495</v>
      </c>
      <c r="E8" s="3230"/>
      <c r="F8" s="3230"/>
      <c r="G8" s="3230"/>
      <c r="H8" s="3230"/>
      <c r="I8" s="3230"/>
    </row>
    <row r="9" spans="1:9" ht="15">
      <c r="A9" s="3229" t="s">
        <v>927</v>
      </c>
      <c r="B9" s="3229"/>
      <c r="C9" s="3229"/>
      <c r="D9" s="3229" t="str">
        <f ca="1">结果表!D123</f>
        <v>壹拾捌亿零肆佰玖拾伍万元整</v>
      </c>
      <c r="E9" s="3229"/>
      <c r="F9" s="3229"/>
      <c r="G9" s="3229"/>
      <c r="H9" s="3229"/>
      <c r="I9" s="3229"/>
    </row>
    <row r="10" spans="1:9" ht="15.75">
      <c r="A10" s="3230" t="str">
        <f>结果表!A124</f>
        <v/>
      </c>
      <c r="B10" s="3230"/>
      <c r="C10" s="3230"/>
      <c r="D10" s="3230" t="str">
        <f>结果表!D124</f>
        <v>——</v>
      </c>
      <c r="E10" s="3230"/>
      <c r="F10" s="3230"/>
      <c r="G10" s="3230"/>
      <c r="H10" s="3230"/>
      <c r="I10" s="3230"/>
    </row>
    <row r="11" spans="1:9" ht="15">
      <c r="A11" s="3229" t="s">
        <v>927</v>
      </c>
      <c r="B11" s="3229"/>
      <c r="C11" s="3229"/>
      <c r="D11" s="3229" t="e">
        <f>结果表!D125</f>
        <v>#VALUE!</v>
      </c>
      <c r="E11" s="3229"/>
      <c r="F11" s="3229"/>
      <c r="G11" s="3229"/>
      <c r="H11" s="3229"/>
      <c r="I11" s="3229"/>
    </row>
    <row r="12" spans="1:9" ht="15.75">
      <c r="A12" s="3230" t="str">
        <f>结果表!A126</f>
        <v/>
      </c>
      <c r="B12" s="3230"/>
      <c r="C12" s="3230"/>
      <c r="D12" s="3230" t="str">
        <f>结果表!D126</f>
        <v>——</v>
      </c>
      <c r="E12" s="3230"/>
      <c r="F12" s="3230"/>
      <c r="G12" s="3230"/>
      <c r="H12" s="3230"/>
      <c r="I12" s="3230"/>
    </row>
    <row r="13" spans="1:9" ht="15.75" thickBot="1">
      <c r="A13" s="3234" t="s">
        <v>927</v>
      </c>
      <c r="B13" s="3234"/>
      <c r="C13" s="3234"/>
      <c r="D13" s="3234" t="e">
        <f>结果表!D127</f>
        <v>#VALUE!</v>
      </c>
      <c r="E13" s="3234"/>
      <c r="F13" s="3234"/>
      <c r="G13" s="3234"/>
      <c r="H13" s="3234"/>
      <c r="I13" s="3234"/>
    </row>
    <row r="14" spans="1:9" ht="15" thickTop="1">
      <c r="A14" s="3235" t="s">
        <v>932</v>
      </c>
      <c r="B14" s="3235"/>
      <c r="C14" s="3235"/>
      <c r="D14" s="3235"/>
      <c r="E14" s="3235"/>
      <c r="F14" s="3235"/>
      <c r="G14" s="3235"/>
      <c r="H14" s="3235"/>
      <c r="I14" s="3235"/>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70" t="s">
        <v>2818</v>
      </c>
      <c r="B1" s="3570"/>
      <c r="C1" s="3570"/>
      <c r="D1" s="3570"/>
      <c r="E1" s="3570"/>
      <c r="F1" s="3570"/>
      <c r="G1" s="3571"/>
      <c r="I1" s="2938" t="s">
        <v>2819</v>
      </c>
      <c r="J1" s="2939" t="s">
        <v>2820</v>
      </c>
      <c r="K1" s="2939" t="s">
        <v>2821</v>
      </c>
      <c r="L1" s="2939" t="s">
        <v>2822</v>
      </c>
      <c r="M1" s="2939" t="s">
        <v>2823</v>
      </c>
      <c r="N1" s="2939" t="s">
        <v>2824</v>
      </c>
      <c r="O1" s="2939" t="s">
        <v>2825</v>
      </c>
      <c r="P1" s="2939" t="s">
        <v>2826</v>
      </c>
      <c r="Q1" s="2939" t="s">
        <v>2827</v>
      </c>
      <c r="R1" s="2939" t="s">
        <v>2828</v>
      </c>
      <c r="S1" s="2939" t="s">
        <v>2829</v>
      </c>
      <c r="T1" s="2940" t="s">
        <v>2830</v>
      </c>
    </row>
    <row r="2" spans="1:20" ht="12" thickBot="1">
      <c r="A2" s="2941" t="s">
        <v>2831</v>
      </c>
      <c r="B2" s="2941"/>
      <c r="C2" s="2941"/>
      <c r="D2" s="2941"/>
      <c r="E2" s="2941"/>
      <c r="F2" s="2941"/>
      <c r="G2" s="2942" t="s">
        <v>2832</v>
      </c>
      <c r="I2" s="2943" t="s">
        <v>2833</v>
      </c>
      <c r="J2" s="2943" t="s">
        <v>2834</v>
      </c>
      <c r="K2" s="2943" t="s">
        <v>2835</v>
      </c>
      <c r="L2" s="2943" t="s">
        <v>2836</v>
      </c>
      <c r="M2" s="2943" t="s">
        <v>2837</v>
      </c>
      <c r="N2" s="2943" t="s">
        <v>2838</v>
      </c>
      <c r="O2" s="2943" t="s">
        <v>2839</v>
      </c>
      <c r="P2" s="2943" t="s">
        <v>2840</v>
      </c>
      <c r="Q2" s="2943" t="s">
        <v>2841</v>
      </c>
      <c r="R2" s="2943" t="s">
        <v>2842</v>
      </c>
      <c r="S2" s="2943" t="s">
        <v>2843</v>
      </c>
      <c r="T2" s="2943" t="s">
        <v>2844</v>
      </c>
    </row>
    <row r="3" spans="1:20" s="2949" customFormat="1">
      <c r="A3" s="3568" t="s">
        <v>2845</v>
      </c>
      <c r="B3" s="2944"/>
      <c r="C3" s="2945" t="s">
        <v>2790</v>
      </c>
      <c r="D3" s="2945" t="s">
        <v>2846</v>
      </c>
      <c r="E3" s="2945" t="s">
        <v>2792</v>
      </c>
      <c r="F3" s="2945" t="s">
        <v>2847</v>
      </c>
      <c r="G3" s="2945" t="s">
        <v>2610</v>
      </c>
      <c r="H3" s="2946"/>
      <c r="I3" s="2947" t="s">
        <v>2848</v>
      </c>
      <c r="J3" s="2948" t="s">
        <v>128</v>
      </c>
      <c r="K3" s="2948" t="s">
        <v>129</v>
      </c>
      <c r="L3" s="2947" t="s">
        <v>130</v>
      </c>
      <c r="M3" s="2947" t="s">
        <v>131</v>
      </c>
      <c r="N3" s="2947" t="s">
        <v>132</v>
      </c>
      <c r="O3" s="2947" t="s">
        <v>133</v>
      </c>
      <c r="P3" s="2947" t="s">
        <v>134</v>
      </c>
      <c r="Q3" s="2947" t="s">
        <v>135</v>
      </c>
      <c r="R3" s="2947" t="s">
        <v>136</v>
      </c>
      <c r="S3" s="2947" t="s">
        <v>2849</v>
      </c>
      <c r="T3" s="2947" t="s">
        <v>2850</v>
      </c>
    </row>
    <row r="4" spans="1:20" s="2949" customFormat="1" ht="12" thickBot="1">
      <c r="A4" s="3569"/>
      <c r="B4" s="2950" t="s">
        <v>2851</v>
      </c>
      <c r="C4" s="2950" t="s">
        <v>2852</v>
      </c>
      <c r="D4" s="2950" t="s">
        <v>2852</v>
      </c>
      <c r="E4" s="2950" t="s">
        <v>2852</v>
      </c>
      <c r="F4" s="2951" t="s">
        <v>2852</v>
      </c>
      <c r="G4" s="2951" t="s">
        <v>2852</v>
      </c>
      <c r="H4" s="2946"/>
      <c r="I4" s="2948" t="s">
        <v>137</v>
      </c>
      <c r="J4" s="2948" t="s">
        <v>111</v>
      </c>
      <c r="K4" s="2948" t="s">
        <v>138</v>
      </c>
      <c r="L4" s="2947" t="s">
        <v>139</v>
      </c>
      <c r="M4" s="2947" t="s">
        <v>140</v>
      </c>
      <c r="N4" s="2947" t="s">
        <v>141</v>
      </c>
      <c r="O4" s="2947" t="s">
        <v>142</v>
      </c>
      <c r="P4" s="2947" t="s">
        <v>143</v>
      </c>
      <c r="Q4" s="2947" t="s">
        <v>2853</v>
      </c>
      <c r="R4" s="2947" t="s">
        <v>2854</v>
      </c>
      <c r="S4" s="2947" t="s">
        <v>2855</v>
      </c>
      <c r="T4" s="2947" t="s">
        <v>2856</v>
      </c>
    </row>
    <row r="5" spans="1:20">
      <c r="A5" s="2952" t="s">
        <v>2819</v>
      </c>
      <c r="B5" s="2943" t="s">
        <v>2833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2857</v>
      </c>
      <c r="R5" s="2947" t="s">
        <v>2858</v>
      </c>
      <c r="S5" s="2947" t="s">
        <v>153</v>
      </c>
      <c r="T5" s="2947" t="s">
        <v>2859</v>
      </c>
    </row>
    <row r="6" spans="1:20" ht="12" thickBot="1">
      <c r="A6" s="2947" t="s">
        <v>144</v>
      </c>
      <c r="B6" s="2947" t="s">
        <v>2848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2860</v>
      </c>
      <c r="Q6" s="2947" t="s">
        <v>2861</v>
      </c>
      <c r="R6" s="2947" t="s">
        <v>161</v>
      </c>
      <c r="S6" s="2947" t="s">
        <v>2862</v>
      </c>
      <c r="T6" s="2947" t="s">
        <v>2863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2864</v>
      </c>
      <c r="Q7" s="2947" t="s">
        <v>2865</v>
      </c>
      <c r="R7" s="2947" t="s">
        <v>2866</v>
      </c>
      <c r="S7" s="2947" t="s">
        <v>2867</v>
      </c>
      <c r="T7" s="2947" t="s">
        <v>2868</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2869</v>
      </c>
      <c r="Q8" s="2947" t="s">
        <v>174</v>
      </c>
      <c r="R8" s="2947" t="s">
        <v>2870</v>
      </c>
      <c r="S8" s="2947" t="s">
        <v>2871</v>
      </c>
      <c r="T8" s="2954" t="s">
        <v>2872</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2873</v>
      </c>
      <c r="Q9" s="2947" t="s">
        <v>182</v>
      </c>
      <c r="R9" s="2947" t="s">
        <v>183</v>
      </c>
      <c r="S9" s="2947" t="s">
        <v>200</v>
      </c>
    </row>
    <row r="10" spans="1:20">
      <c r="A10" s="2952" t="s">
        <v>184</v>
      </c>
      <c r="B10" s="2943" t="s">
        <v>2834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2874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2875</v>
      </c>
      <c r="P11" s="2947" t="s">
        <v>191</v>
      </c>
      <c r="Q11" s="2947" t="s">
        <v>199</v>
      </c>
      <c r="R11" s="2947" t="s">
        <v>2876</v>
      </c>
      <c r="S11" s="2947" t="s">
        <v>2877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2878</v>
      </c>
      <c r="P12" s="2947" t="s">
        <v>2879</v>
      </c>
      <c r="Q12" s="2947" t="s">
        <v>2880</v>
      </c>
      <c r="R12" s="2947" t="s">
        <v>2881</v>
      </c>
      <c r="S12" s="2947" t="s">
        <v>2882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2883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2884</v>
      </c>
      <c r="K14" s="2948" t="s">
        <v>215</v>
      </c>
      <c r="L14" s="2947" t="s">
        <v>216</v>
      </c>
      <c r="M14" s="2947" t="s">
        <v>217</v>
      </c>
      <c r="N14" s="2947" t="s">
        <v>218</v>
      </c>
      <c r="O14" s="2947" t="s">
        <v>240</v>
      </c>
      <c r="P14" s="2947" t="s">
        <v>213</v>
      </c>
      <c r="Q14" s="2947" t="s">
        <v>2885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2886</v>
      </c>
      <c r="P15" s="2947" t="s">
        <v>2887</v>
      </c>
      <c r="Q15" s="2947" t="s">
        <v>242</v>
      </c>
      <c r="R15" s="2947" t="s">
        <v>2888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2889</v>
      </c>
      <c r="P16" s="2947" t="s">
        <v>227</v>
      </c>
      <c r="Q16" s="2947" t="s">
        <v>250</v>
      </c>
      <c r="R16" s="2947" t="s">
        <v>207</v>
      </c>
      <c r="S16" s="2947" t="s">
        <v>2890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2891</v>
      </c>
      <c r="P17" s="2947" t="s">
        <v>2892</v>
      </c>
      <c r="Q17" s="2947" t="s">
        <v>256</v>
      </c>
      <c r="R17" s="2947" t="s">
        <v>2893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2894</v>
      </c>
      <c r="P18" s="2947" t="s">
        <v>241</v>
      </c>
      <c r="Q18" s="2947" t="s">
        <v>2895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2896</v>
      </c>
      <c r="P19" s="2947" t="s">
        <v>249</v>
      </c>
      <c r="Q19" s="2947" t="s">
        <v>2897</v>
      </c>
      <c r="R19" s="2947" t="s">
        <v>265</v>
      </c>
      <c r="S19" s="2947" t="s">
        <v>2898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2899</v>
      </c>
      <c r="P20" s="2947" t="s">
        <v>2900</v>
      </c>
      <c r="Q20" s="2947" t="s">
        <v>290</v>
      </c>
      <c r="R20" s="2947" t="s">
        <v>2901</v>
      </c>
      <c r="S20" s="2947" t="s">
        <v>277</v>
      </c>
    </row>
    <row r="21" spans="1:19" ht="14.25" customHeight="1" thickBot="1">
      <c r="A21" s="2947" t="s">
        <v>184</v>
      </c>
      <c r="B21" s="2948" t="s">
        <v>208</v>
      </c>
      <c r="C21" s="2947">
        <v>32370</v>
      </c>
      <c r="D21" s="2947">
        <v>26730</v>
      </c>
      <c r="E21" s="2947">
        <v>26640</v>
      </c>
      <c r="F21" s="2947"/>
      <c r="G21" s="2947">
        <v>19440</v>
      </c>
      <c r="J21" s="2954" t="s">
        <v>2902</v>
      </c>
      <c r="K21" s="2948" t="s">
        <v>267</v>
      </c>
      <c r="L21" s="2947" t="s">
        <v>268</v>
      </c>
      <c r="M21" s="2947" t="s">
        <v>269</v>
      </c>
      <c r="N21" s="2947" t="s">
        <v>270</v>
      </c>
      <c r="O21" s="2947" t="s">
        <v>264</v>
      </c>
      <c r="P21" s="2947" t="s">
        <v>283</v>
      </c>
      <c r="Q21" s="2947" t="s">
        <v>293</v>
      </c>
      <c r="R21" s="2947" t="s">
        <v>2903</v>
      </c>
      <c r="S21" s="2954" t="s">
        <v>2904</v>
      </c>
    </row>
    <row r="22" spans="1:19" ht="14.25" customHeight="1">
      <c r="A22" s="2947" t="s">
        <v>184</v>
      </c>
      <c r="B22" s="2948" t="s">
        <v>2884</v>
      </c>
      <c r="C22" s="2947">
        <v>29830</v>
      </c>
      <c r="D22" s="2947">
        <v>27600</v>
      </c>
      <c r="E22" s="2947">
        <v>28150</v>
      </c>
      <c r="F22" s="2947"/>
      <c r="G22" s="2947">
        <v>20080</v>
      </c>
      <c r="K22" s="2948" t="s">
        <v>2905</v>
      </c>
      <c r="L22" s="2947" t="s">
        <v>272</v>
      </c>
      <c r="M22" s="2947" t="s">
        <v>273</v>
      </c>
      <c r="N22" s="2947" t="s">
        <v>274</v>
      </c>
      <c r="O22" s="2947" t="s">
        <v>2906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2907</v>
      </c>
      <c r="L23" s="2947" t="s">
        <v>278</v>
      </c>
      <c r="M23" s="2947" t="s">
        <v>279</v>
      </c>
      <c r="N23" s="2947" t="s">
        <v>2908</v>
      </c>
      <c r="O23" s="2947" t="s">
        <v>2909</v>
      </c>
      <c r="P23" s="2947" t="s">
        <v>289</v>
      </c>
      <c r="Q23" s="2947" t="s">
        <v>298</v>
      </c>
      <c r="R23" s="2947" t="s">
        <v>2910</v>
      </c>
    </row>
    <row r="24" spans="1:19" ht="14.25" customHeight="1">
      <c r="A24" s="2947" t="s">
        <v>184</v>
      </c>
      <c r="B24" s="2948" t="s">
        <v>230</v>
      </c>
      <c r="C24" s="2947">
        <v>27930</v>
      </c>
      <c r="D24" s="2947">
        <v>32260</v>
      </c>
      <c r="E24" s="2947">
        <v>32120</v>
      </c>
      <c r="F24" s="2947"/>
      <c r="G24" s="2947">
        <v>23470</v>
      </c>
      <c r="K24" s="2948" t="s">
        <v>2911</v>
      </c>
      <c r="L24" s="2947" t="s">
        <v>281</v>
      </c>
      <c r="M24" s="2947" t="s">
        <v>282</v>
      </c>
      <c r="N24" s="2947" t="s">
        <v>2912</v>
      </c>
      <c r="O24" s="2947" t="s">
        <v>285</v>
      </c>
      <c r="P24" s="2947" t="s">
        <v>2913</v>
      </c>
      <c r="Q24" s="2956" t="s">
        <v>2914</v>
      </c>
      <c r="R24" s="2947" t="s">
        <v>2915</v>
      </c>
    </row>
    <row r="25" spans="1:19" ht="14.25" customHeight="1">
      <c r="A25" s="2947" t="s">
        <v>184</v>
      </c>
      <c r="B25" s="2948" t="s">
        <v>235</v>
      </c>
      <c r="C25" s="2947">
        <v>32230</v>
      </c>
      <c r="D25" s="2947">
        <v>29640</v>
      </c>
      <c r="E25" s="2947">
        <v>29510</v>
      </c>
      <c r="F25" s="2947"/>
      <c r="G25" s="2947">
        <v>21560</v>
      </c>
      <c r="K25" s="2948" t="s">
        <v>2916</v>
      </c>
      <c r="L25" s="2947" t="s">
        <v>2917</v>
      </c>
      <c r="M25" s="2947" t="s">
        <v>284</v>
      </c>
      <c r="N25" s="2947" t="s">
        <v>292</v>
      </c>
      <c r="O25" s="2947" t="s">
        <v>288</v>
      </c>
      <c r="P25" s="2947" t="s">
        <v>275</v>
      </c>
      <c r="Q25" s="2956" t="s">
        <v>271</v>
      </c>
      <c r="R25" s="2947" t="s">
        <v>2918</v>
      </c>
    </row>
    <row r="26" spans="1:19" ht="14.25" customHeight="1" thickBot="1">
      <c r="A26" s="2947" t="s">
        <v>184</v>
      </c>
      <c r="B26" s="2948" t="s">
        <v>244</v>
      </c>
      <c r="C26" s="2947">
        <v>31690</v>
      </c>
      <c r="D26" s="2947">
        <v>27650</v>
      </c>
      <c r="E26" s="2947">
        <v>28200</v>
      </c>
      <c r="F26" s="2947"/>
      <c r="G26" s="2947">
        <v>20110</v>
      </c>
      <c r="K26" s="2953" t="s">
        <v>2919</v>
      </c>
      <c r="L26" s="2947" t="s">
        <v>2920</v>
      </c>
      <c r="M26" s="2947" t="s">
        <v>287</v>
      </c>
      <c r="N26" s="2947" t="s">
        <v>294</v>
      </c>
      <c r="O26" s="2947" t="s">
        <v>2921</v>
      </c>
      <c r="P26" s="2947" t="s">
        <v>2922</v>
      </c>
      <c r="Q26" s="2956" t="s">
        <v>276</v>
      </c>
      <c r="R26" s="2947" t="s">
        <v>2923</v>
      </c>
    </row>
    <row r="27" spans="1:19" ht="14.25" customHeight="1">
      <c r="A27" s="2947" t="s">
        <v>184</v>
      </c>
      <c r="B27" s="2948" t="s">
        <v>251</v>
      </c>
      <c r="C27" s="2947">
        <v>29610</v>
      </c>
      <c r="D27" s="2947">
        <v>27770</v>
      </c>
      <c r="E27" s="2947">
        <v>28300</v>
      </c>
      <c r="F27" s="2947"/>
      <c r="G27" s="2947">
        <v>20210</v>
      </c>
      <c r="L27" s="2947" t="s">
        <v>2924</v>
      </c>
      <c r="M27" s="2947" t="s">
        <v>291</v>
      </c>
      <c r="N27" s="2947" t="s">
        <v>297</v>
      </c>
      <c r="O27" s="2947" t="s">
        <v>2925</v>
      </c>
      <c r="P27" s="2947" t="s">
        <v>2926</v>
      </c>
      <c r="Q27" s="2947" t="s">
        <v>2927</v>
      </c>
      <c r="R27" s="2947" t="s">
        <v>2928</v>
      </c>
    </row>
    <row r="28" spans="1:19" ht="14.25" customHeight="1">
      <c r="A28" s="2947" t="s">
        <v>184</v>
      </c>
      <c r="B28" s="2948" t="s">
        <v>259</v>
      </c>
      <c r="C28" s="2947"/>
      <c r="D28" s="2947">
        <v>31520</v>
      </c>
      <c r="E28" s="2947">
        <v>31410</v>
      </c>
      <c r="F28" s="2947"/>
      <c r="G28" s="2947">
        <v>22940</v>
      </c>
      <c r="L28" s="2947" t="s">
        <v>2929</v>
      </c>
      <c r="M28" s="2947" t="s">
        <v>2930</v>
      </c>
      <c r="N28" s="2947" t="s">
        <v>2931</v>
      </c>
      <c r="O28" s="2947" t="s">
        <v>2932</v>
      </c>
      <c r="P28" s="2947" t="s">
        <v>2933</v>
      </c>
      <c r="Q28" s="2947" t="s">
        <v>2934</v>
      </c>
      <c r="R28" s="2947" t="s">
        <v>2935</v>
      </c>
    </row>
    <row r="29" spans="1:19" ht="14.25" customHeight="1" thickBot="1">
      <c r="A29" s="2955" t="s">
        <v>184</v>
      </c>
      <c r="B29" s="2957" t="s">
        <v>2902</v>
      </c>
      <c r="C29" s="2958"/>
      <c r="D29" s="2958">
        <v>29460</v>
      </c>
      <c r="E29" s="2958">
        <v>28640</v>
      </c>
      <c r="F29" s="2958"/>
      <c r="G29" s="2958">
        <v>21430</v>
      </c>
      <c r="L29" s="2947" t="s">
        <v>2936</v>
      </c>
      <c r="M29" s="2947" t="s">
        <v>2937</v>
      </c>
      <c r="N29" s="2947" t="s">
        <v>2938</v>
      </c>
      <c r="O29" s="2947" t="s">
        <v>2939</v>
      </c>
      <c r="P29" s="2947" t="s">
        <v>2940</v>
      </c>
      <c r="Q29" s="2947" t="s">
        <v>2941</v>
      </c>
      <c r="R29" s="2947" t="s">
        <v>280</v>
      </c>
    </row>
    <row r="30" spans="1:19" ht="14.25" customHeight="1">
      <c r="A30" s="2952" t="s">
        <v>296</v>
      </c>
      <c r="B30" s="2943" t="s">
        <v>2835</v>
      </c>
      <c r="C30" s="2943">
        <v>26890</v>
      </c>
      <c r="D30" s="2943">
        <v>26770</v>
      </c>
      <c r="E30" s="2943">
        <v>25700</v>
      </c>
      <c r="F30" s="2943">
        <v>8180</v>
      </c>
      <c r="G30" s="2959">
        <v>18740</v>
      </c>
      <c r="L30" s="2947" t="s">
        <v>2942</v>
      </c>
      <c r="M30" s="2947" t="s">
        <v>2943</v>
      </c>
      <c r="N30" s="2947" t="s">
        <v>2944</v>
      </c>
      <c r="O30" s="2947" t="s">
        <v>2945</v>
      </c>
      <c r="P30" s="2947" t="s">
        <v>2946</v>
      </c>
      <c r="Q30" s="2947" t="s">
        <v>2947</v>
      </c>
      <c r="R30" s="2947" t="s">
        <v>2948</v>
      </c>
    </row>
    <row r="31" spans="1:19" ht="14.25" customHeight="1">
      <c r="A31" s="2947" t="s">
        <v>296</v>
      </c>
      <c r="B31" s="2948" t="s">
        <v>129</v>
      </c>
      <c r="C31" s="2947">
        <v>24550</v>
      </c>
      <c r="D31" s="2947">
        <v>23990</v>
      </c>
      <c r="E31" s="2947">
        <v>22930</v>
      </c>
      <c r="F31" s="2947">
        <v>7470</v>
      </c>
      <c r="G31" s="2960">
        <v>16790</v>
      </c>
      <c r="L31" s="2947" t="s">
        <v>2949</v>
      </c>
      <c r="M31" s="2947" t="s">
        <v>2950</v>
      </c>
      <c r="N31" s="2947" t="s">
        <v>2951</v>
      </c>
      <c r="O31" s="2947" t="s">
        <v>2952</v>
      </c>
      <c r="P31" s="2947" t="s">
        <v>2953</v>
      </c>
      <c r="Q31" s="2947" t="s">
        <v>2954</v>
      </c>
      <c r="R31" s="2947" t="s">
        <v>2955</v>
      </c>
    </row>
    <row r="32" spans="1:19" ht="14.25" customHeight="1" thickBot="1">
      <c r="A32" s="2947" t="s">
        <v>296</v>
      </c>
      <c r="B32" s="2948" t="s">
        <v>138</v>
      </c>
      <c r="C32" s="2947">
        <v>27210</v>
      </c>
      <c r="D32" s="2947">
        <v>23240</v>
      </c>
      <c r="E32" s="2947">
        <v>23260</v>
      </c>
      <c r="F32" s="2947">
        <v>7130</v>
      </c>
      <c r="G32" s="2960">
        <v>16270</v>
      </c>
      <c r="L32" s="2947" t="s">
        <v>2956</v>
      </c>
      <c r="M32" s="2947" t="s">
        <v>2957</v>
      </c>
      <c r="N32" s="2947" t="s">
        <v>300</v>
      </c>
      <c r="O32" s="2947" t="s">
        <v>2958</v>
      </c>
      <c r="P32" s="2947" t="s">
        <v>299</v>
      </c>
      <c r="Q32" s="2947" t="s">
        <v>2959</v>
      </c>
      <c r="R32" s="2954" t="s">
        <v>2960</v>
      </c>
    </row>
    <row r="33" spans="1:17" ht="14.25" customHeight="1" thickBot="1">
      <c r="A33" s="2947" t="s">
        <v>296</v>
      </c>
      <c r="B33" s="2948" t="s">
        <v>147</v>
      </c>
      <c r="C33" s="2947">
        <v>27300</v>
      </c>
      <c r="D33" s="2947">
        <v>22980</v>
      </c>
      <c r="E33" s="2947">
        <v>24260</v>
      </c>
      <c r="F33" s="2947">
        <v>5860</v>
      </c>
      <c r="G33" s="2960">
        <v>16090</v>
      </c>
      <c r="L33" s="2954" t="s">
        <v>2961</v>
      </c>
      <c r="M33" s="2947" t="s">
        <v>2962</v>
      </c>
      <c r="N33" s="2947" t="s">
        <v>301</v>
      </c>
      <c r="O33" s="2947" t="s">
        <v>2963</v>
      </c>
      <c r="P33" s="2947" t="s">
        <v>2964</v>
      </c>
      <c r="Q33" s="2947" t="s">
        <v>2965</v>
      </c>
    </row>
    <row r="34" spans="1:17" ht="14.25" customHeight="1">
      <c r="A34" s="2947" t="s">
        <v>296</v>
      </c>
      <c r="B34" s="2948" t="s">
        <v>156</v>
      </c>
      <c r="C34" s="2947">
        <v>23090</v>
      </c>
      <c r="D34" s="2947">
        <v>23390</v>
      </c>
      <c r="E34" s="2947">
        <v>23510</v>
      </c>
      <c r="F34" s="2947">
        <v>6700</v>
      </c>
      <c r="G34" s="2960">
        <v>16370</v>
      </c>
      <c r="M34" s="2947" t="s">
        <v>2966</v>
      </c>
      <c r="N34" s="2947" t="s">
        <v>302</v>
      </c>
      <c r="O34" s="2947" t="s">
        <v>2967</v>
      </c>
      <c r="P34" s="2947" t="s">
        <v>2968</v>
      </c>
      <c r="Q34" s="2947" t="s">
        <v>2969</v>
      </c>
    </row>
    <row r="35" spans="1:17" ht="14.25" customHeight="1">
      <c r="A35" s="2947" t="s">
        <v>296</v>
      </c>
      <c r="B35" s="2948" t="s">
        <v>163</v>
      </c>
      <c r="C35" s="2947">
        <v>27270</v>
      </c>
      <c r="D35" s="2947">
        <v>24270</v>
      </c>
      <c r="E35" s="2947">
        <v>24950</v>
      </c>
      <c r="F35" s="2947">
        <v>6600</v>
      </c>
      <c r="G35" s="2960">
        <v>16990</v>
      </c>
      <c r="M35" s="2947" t="s">
        <v>2970</v>
      </c>
      <c r="N35" s="2947" t="s">
        <v>2971</v>
      </c>
      <c r="O35" s="2947" t="s">
        <v>2972</v>
      </c>
      <c r="P35" s="2947" t="s">
        <v>2973</v>
      </c>
      <c r="Q35" s="2947" t="s">
        <v>2974</v>
      </c>
    </row>
    <row r="36" spans="1:17" ht="14.25" customHeight="1">
      <c r="A36" s="2947" t="s">
        <v>296</v>
      </c>
      <c r="B36" s="2948" t="s">
        <v>169</v>
      </c>
      <c r="C36" s="2947">
        <v>23490</v>
      </c>
      <c r="D36" s="2947">
        <v>23020</v>
      </c>
      <c r="E36" s="2947">
        <v>25230</v>
      </c>
      <c r="F36" s="2947">
        <v>6780</v>
      </c>
      <c r="G36" s="2960">
        <v>16120</v>
      </c>
      <c r="M36" s="2947" t="s">
        <v>2975</v>
      </c>
      <c r="N36" s="2947" t="s">
        <v>2976</v>
      </c>
      <c r="O36" s="2947" t="s">
        <v>2977</v>
      </c>
      <c r="P36" s="2947" t="s">
        <v>2978</v>
      </c>
      <c r="Q36" s="2947" t="s">
        <v>2979</v>
      </c>
    </row>
    <row r="37" spans="1:17" ht="14.25" customHeight="1">
      <c r="A37" s="2947" t="s">
        <v>296</v>
      </c>
      <c r="B37" s="2948" t="s">
        <v>176</v>
      </c>
      <c r="C37" s="2947">
        <v>24380</v>
      </c>
      <c r="D37" s="2947">
        <v>22240</v>
      </c>
      <c r="E37" s="2947">
        <v>25980</v>
      </c>
      <c r="F37" s="2947">
        <v>8160</v>
      </c>
      <c r="G37" s="2960">
        <v>15570</v>
      </c>
      <c r="M37" s="2947" t="s">
        <v>2980</v>
      </c>
      <c r="N37" s="2947" t="s">
        <v>2981</v>
      </c>
      <c r="O37" s="2947" t="s">
        <v>2982</v>
      </c>
      <c r="P37" s="2947" t="s">
        <v>2983</v>
      </c>
      <c r="Q37" s="2947" t="s">
        <v>2984</v>
      </c>
    </row>
    <row r="38" spans="1:17" ht="14.25" customHeight="1">
      <c r="A38" s="2947" t="s">
        <v>296</v>
      </c>
      <c r="B38" s="2948" t="s">
        <v>186</v>
      </c>
      <c r="C38" s="2947">
        <v>23120</v>
      </c>
      <c r="D38" s="2947">
        <v>24630</v>
      </c>
      <c r="E38" s="2947">
        <v>25030</v>
      </c>
      <c r="F38" s="2947">
        <v>7710</v>
      </c>
      <c r="G38" s="2960">
        <v>17240</v>
      </c>
      <c r="M38" s="2947" t="s">
        <v>2985</v>
      </c>
      <c r="N38" s="2947" t="s">
        <v>2986</v>
      </c>
      <c r="O38" s="2947" t="s">
        <v>2987</v>
      </c>
      <c r="P38" s="2947" t="s">
        <v>2988</v>
      </c>
      <c r="Q38" s="2947" t="s">
        <v>2989</v>
      </c>
    </row>
    <row r="39" spans="1:17" ht="14.25" customHeight="1">
      <c r="A39" s="2947" t="s">
        <v>296</v>
      </c>
      <c r="B39" s="2948" t="s">
        <v>195</v>
      </c>
      <c r="C39" s="2947">
        <v>22330</v>
      </c>
      <c r="D39" s="2947">
        <v>21140</v>
      </c>
      <c r="E39" s="2947">
        <v>23970</v>
      </c>
      <c r="F39" s="2947">
        <v>7940</v>
      </c>
      <c r="G39" s="2960">
        <v>14790</v>
      </c>
      <c r="M39" s="2947" t="s">
        <v>2990</v>
      </c>
      <c r="N39" s="2947" t="s">
        <v>2991</v>
      </c>
      <c r="O39" s="2947" t="s">
        <v>2992</v>
      </c>
      <c r="P39" s="2947" t="s">
        <v>2993</v>
      </c>
      <c r="Q39" s="2947" t="s">
        <v>2994</v>
      </c>
    </row>
    <row r="40" spans="1:17" ht="14.25" customHeight="1">
      <c r="A40" s="2947" t="s">
        <v>296</v>
      </c>
      <c r="B40" s="2948" t="s">
        <v>202</v>
      </c>
      <c r="C40" s="2947">
        <v>24740</v>
      </c>
      <c r="D40" s="2947">
        <v>24690</v>
      </c>
      <c r="E40" s="2947">
        <v>22610</v>
      </c>
      <c r="F40" s="2947"/>
      <c r="G40" s="2960">
        <v>17280</v>
      </c>
      <c r="M40" s="2947" t="s">
        <v>2995</v>
      </c>
      <c r="N40" s="2947" t="s">
        <v>2996</v>
      </c>
      <c r="O40" s="2947" t="s">
        <v>2997</v>
      </c>
      <c r="P40" s="2947" t="s">
        <v>2998</v>
      </c>
      <c r="Q40" s="2947" t="s">
        <v>2999</v>
      </c>
    </row>
    <row r="41" spans="1:17" ht="14.25" customHeight="1" thickBot="1">
      <c r="A41" s="2947" t="s">
        <v>296</v>
      </c>
      <c r="B41" s="2948" t="s">
        <v>209</v>
      </c>
      <c r="C41" s="2947">
        <v>21220</v>
      </c>
      <c r="D41" s="2947">
        <v>21120</v>
      </c>
      <c r="E41" s="2947">
        <v>22590</v>
      </c>
      <c r="F41" s="2947"/>
      <c r="G41" s="2960">
        <v>14780</v>
      </c>
      <c r="M41" s="2954" t="s">
        <v>3000</v>
      </c>
      <c r="N41" s="2947" t="s">
        <v>3001</v>
      </c>
      <c r="O41" s="2947" t="s">
        <v>3002</v>
      </c>
      <c r="P41" s="2947" t="s">
        <v>3003</v>
      </c>
      <c r="Q41" s="2947" t="s">
        <v>3004</v>
      </c>
    </row>
    <row r="42" spans="1:17" ht="14.25" customHeight="1">
      <c r="A42" s="2947" t="s">
        <v>296</v>
      </c>
      <c r="B42" s="2948" t="s">
        <v>215</v>
      </c>
      <c r="C42" s="2947">
        <v>24800</v>
      </c>
      <c r="D42" s="2947">
        <v>22280</v>
      </c>
      <c r="E42" s="2947">
        <v>24350</v>
      </c>
      <c r="F42" s="2947"/>
      <c r="G42" s="2960">
        <v>15590</v>
      </c>
      <c r="N42" s="2947" t="s">
        <v>3005</v>
      </c>
      <c r="O42" s="2947" t="s">
        <v>3006</v>
      </c>
      <c r="P42" s="2947" t="s">
        <v>3007</v>
      </c>
      <c r="Q42" s="2947" t="s">
        <v>3008</v>
      </c>
    </row>
    <row r="43" spans="1:17" ht="14.25" customHeight="1">
      <c r="A43" s="2947" t="s">
        <v>3009</v>
      </c>
      <c r="B43" s="2948" t="s">
        <v>223</v>
      </c>
      <c r="C43" s="2947">
        <v>21210</v>
      </c>
      <c r="D43" s="2947">
        <v>21160</v>
      </c>
      <c r="E43" s="2947">
        <v>22650</v>
      </c>
      <c r="F43" s="2947"/>
      <c r="G43" s="2960">
        <v>14800</v>
      </c>
      <c r="N43" s="2947" t="s">
        <v>3010</v>
      </c>
      <c r="O43" s="2947" t="s">
        <v>3011</v>
      </c>
      <c r="P43" s="2947" t="s">
        <v>3012</v>
      </c>
      <c r="Q43" s="2947" t="s">
        <v>3013</v>
      </c>
    </row>
    <row r="44" spans="1:17" ht="14.25" customHeight="1" thickBot="1">
      <c r="A44" s="2947" t="s">
        <v>296</v>
      </c>
      <c r="B44" s="2948" t="s">
        <v>231</v>
      </c>
      <c r="C44" s="2947">
        <v>22370</v>
      </c>
      <c r="D44" s="2947">
        <v>23140</v>
      </c>
      <c r="E44" s="2947">
        <v>25090</v>
      </c>
      <c r="F44" s="2947"/>
      <c r="G44" s="2960">
        <v>16190</v>
      </c>
      <c r="N44" s="2947" t="s">
        <v>3014</v>
      </c>
      <c r="O44" s="2947" t="s">
        <v>3015</v>
      </c>
      <c r="P44" s="2954" t="s">
        <v>3016</v>
      </c>
      <c r="Q44" s="2947" t="s">
        <v>3017</v>
      </c>
    </row>
    <row r="45" spans="1:17" ht="14.25" customHeight="1" thickBot="1">
      <c r="A45" s="2947" t="s">
        <v>296</v>
      </c>
      <c r="B45" s="2948" t="s">
        <v>236</v>
      </c>
      <c r="C45" s="2947">
        <v>21240</v>
      </c>
      <c r="D45" s="2947">
        <v>27050</v>
      </c>
      <c r="E45" s="2947">
        <v>28000</v>
      </c>
      <c r="F45" s="2947"/>
      <c r="G45" s="2960">
        <v>18940</v>
      </c>
      <c r="N45" s="2947" t="s">
        <v>3018</v>
      </c>
      <c r="O45" s="2954" t="s">
        <v>3019</v>
      </c>
      <c r="Q45" s="2947" t="s">
        <v>3020</v>
      </c>
    </row>
    <row r="46" spans="1:17" ht="14.25" customHeight="1">
      <c r="A46" s="2947" t="s">
        <v>296</v>
      </c>
      <c r="B46" s="2948" t="s">
        <v>245</v>
      </c>
      <c r="C46" s="2947">
        <v>23240</v>
      </c>
      <c r="D46" s="2947">
        <v>23000</v>
      </c>
      <c r="E46" s="2947">
        <v>24980</v>
      </c>
      <c r="F46" s="2947"/>
      <c r="G46" s="2960">
        <v>16100</v>
      </c>
      <c r="N46" s="2947" t="s">
        <v>3021</v>
      </c>
      <c r="Q46" s="2947" t="s">
        <v>3022</v>
      </c>
    </row>
    <row r="47" spans="1:17" ht="14.25" customHeight="1">
      <c r="A47" s="2947" t="s">
        <v>296</v>
      </c>
      <c r="B47" s="2948" t="s">
        <v>252</v>
      </c>
      <c r="C47" s="2947">
        <v>27150</v>
      </c>
      <c r="D47" s="2947">
        <v>23310</v>
      </c>
      <c r="E47" s="2947">
        <v>25150</v>
      </c>
      <c r="F47" s="2947"/>
      <c r="G47" s="2960">
        <v>16310</v>
      </c>
      <c r="N47" s="2947" t="s">
        <v>3023</v>
      </c>
      <c r="Q47" s="2947" t="s">
        <v>3024</v>
      </c>
    </row>
    <row r="48" spans="1:17" ht="14.25" customHeight="1">
      <c r="A48" s="2947" t="s">
        <v>296</v>
      </c>
      <c r="B48" s="2948" t="s">
        <v>260</v>
      </c>
      <c r="C48" s="2947">
        <v>23100</v>
      </c>
      <c r="D48" s="2947">
        <v>21110</v>
      </c>
      <c r="E48" s="2947">
        <v>23080</v>
      </c>
      <c r="F48" s="2947"/>
      <c r="G48" s="2960">
        <v>14780</v>
      </c>
      <c r="N48" s="2947" t="s">
        <v>3025</v>
      </c>
      <c r="Q48" s="2947" t="s">
        <v>3026</v>
      </c>
    </row>
    <row r="49" spans="1:17" ht="14.25" customHeight="1">
      <c r="A49" s="2947" t="s">
        <v>296</v>
      </c>
      <c r="B49" s="2948" t="s">
        <v>267</v>
      </c>
      <c r="C49" s="2947">
        <v>23400</v>
      </c>
      <c r="D49" s="2947">
        <v>22920</v>
      </c>
      <c r="E49" s="2947">
        <v>24900</v>
      </c>
      <c r="F49" s="2947"/>
      <c r="G49" s="2960">
        <v>16040</v>
      </c>
      <c r="N49" s="2947" t="s">
        <v>3027</v>
      </c>
      <c r="Q49" s="2947" t="s">
        <v>3028</v>
      </c>
    </row>
    <row r="50" spans="1:17" ht="14.25" customHeight="1">
      <c r="A50" s="2947" t="s">
        <v>296</v>
      </c>
      <c r="B50" s="2948" t="s">
        <v>2905</v>
      </c>
      <c r="C50" s="2947">
        <v>21200</v>
      </c>
      <c r="D50" s="2947">
        <v>26540</v>
      </c>
      <c r="E50" s="2947">
        <v>23200</v>
      </c>
      <c r="F50" s="2947"/>
      <c r="G50" s="2960">
        <v>18580</v>
      </c>
      <c r="N50" s="2947" t="s">
        <v>3029</v>
      </c>
      <c r="Q50" s="2948" t="s">
        <v>3030</v>
      </c>
    </row>
    <row r="51" spans="1:17" ht="14.25" customHeight="1" thickBot="1">
      <c r="A51" s="2947" t="s">
        <v>296</v>
      </c>
      <c r="B51" s="2948" t="s">
        <v>2907</v>
      </c>
      <c r="C51" s="2947">
        <v>23000</v>
      </c>
      <c r="D51" s="2947">
        <v>23460</v>
      </c>
      <c r="E51" s="2947">
        <v>25290</v>
      </c>
      <c r="F51" s="2947"/>
      <c r="G51" s="2960">
        <v>16420</v>
      </c>
      <c r="N51" s="2947" t="s">
        <v>3031</v>
      </c>
      <c r="Q51" s="2954" t="s">
        <v>3032</v>
      </c>
    </row>
    <row r="52" spans="1:17" ht="14.25" customHeight="1">
      <c r="A52" s="2947" t="s">
        <v>296</v>
      </c>
      <c r="B52" s="2948" t="s">
        <v>2911</v>
      </c>
      <c r="C52" s="2947">
        <v>26660</v>
      </c>
      <c r="D52" s="2947">
        <v>22350</v>
      </c>
      <c r="E52" s="2947">
        <v>22920</v>
      </c>
      <c r="F52" s="2947"/>
      <c r="G52" s="2960">
        <v>15640</v>
      </c>
      <c r="N52" s="2947" t="s">
        <v>3033</v>
      </c>
    </row>
    <row r="53" spans="1:17" ht="14.25" customHeight="1">
      <c r="A53" s="2947" t="s">
        <v>296</v>
      </c>
      <c r="B53" s="2948" t="s">
        <v>2916</v>
      </c>
      <c r="C53" s="2947">
        <v>23580</v>
      </c>
      <c r="D53" s="2947"/>
      <c r="E53" s="2947">
        <v>24280</v>
      </c>
      <c r="F53" s="2947"/>
      <c r="G53" s="2960"/>
      <c r="N53" s="2947" t="s">
        <v>3034</v>
      </c>
    </row>
    <row r="54" spans="1:17" ht="14.25" customHeight="1" thickBot="1">
      <c r="A54" s="2961" t="s">
        <v>296</v>
      </c>
      <c r="B54" s="2953" t="s">
        <v>2919</v>
      </c>
      <c r="C54" s="2954">
        <v>22460</v>
      </c>
      <c r="D54" s="2954"/>
      <c r="E54" s="2954"/>
      <c r="F54" s="2954"/>
      <c r="G54" s="2962"/>
      <c r="N54" s="2947" t="s">
        <v>3035</v>
      </c>
    </row>
    <row r="55" spans="1:17" ht="14.25" customHeight="1">
      <c r="A55" s="2952" t="s">
        <v>110</v>
      </c>
      <c r="B55" s="2943" t="s">
        <v>3036</v>
      </c>
      <c r="C55" s="2947">
        <v>21970</v>
      </c>
      <c r="D55" s="2947">
        <v>20370</v>
      </c>
      <c r="E55" s="2947">
        <v>20180</v>
      </c>
      <c r="F55" s="2947">
        <v>5730</v>
      </c>
      <c r="G55" s="2947">
        <v>13820</v>
      </c>
      <c r="N55" s="2947" t="s">
        <v>3037</v>
      </c>
    </row>
    <row r="56" spans="1:17" ht="14.25" customHeight="1">
      <c r="A56" s="2947" t="s">
        <v>110</v>
      </c>
      <c r="B56" s="2947" t="s">
        <v>130</v>
      </c>
      <c r="C56" s="2947">
        <v>20470</v>
      </c>
      <c r="D56" s="2947">
        <v>20700</v>
      </c>
      <c r="E56" s="2947">
        <v>20380</v>
      </c>
      <c r="F56" s="2947">
        <v>4760</v>
      </c>
      <c r="G56" s="2947">
        <v>14050</v>
      </c>
      <c r="N56" s="2947" t="s">
        <v>3038</v>
      </c>
    </row>
    <row r="57" spans="1:17" ht="14.25" customHeight="1">
      <c r="A57" s="2947" t="s">
        <v>110</v>
      </c>
      <c r="B57" s="2947" t="s">
        <v>139</v>
      </c>
      <c r="C57" s="2947">
        <v>20790</v>
      </c>
      <c r="D57" s="2947">
        <v>21370</v>
      </c>
      <c r="E57" s="2947">
        <v>20890</v>
      </c>
      <c r="F57" s="2947">
        <v>4910</v>
      </c>
      <c r="G57" s="2947">
        <v>14510</v>
      </c>
      <c r="N57" s="2947" t="s">
        <v>3039</v>
      </c>
    </row>
    <row r="58" spans="1:17" ht="14.25" customHeight="1">
      <c r="A58" s="2947" t="s">
        <v>110</v>
      </c>
      <c r="B58" s="2947" t="s">
        <v>148</v>
      </c>
      <c r="C58" s="2947">
        <v>21460</v>
      </c>
      <c r="D58" s="2947">
        <v>20920</v>
      </c>
      <c r="E58" s="2947">
        <v>23410</v>
      </c>
      <c r="F58" s="2947">
        <v>5100</v>
      </c>
      <c r="G58" s="2947">
        <v>14200</v>
      </c>
      <c r="N58" s="2947" t="s">
        <v>3040</v>
      </c>
    </row>
    <row r="59" spans="1:17" ht="14.25" customHeight="1">
      <c r="A59" s="2947" t="s">
        <v>110</v>
      </c>
      <c r="B59" s="2947" t="s">
        <v>157</v>
      </c>
      <c r="C59" s="2947">
        <v>21000</v>
      </c>
      <c r="D59" s="2947">
        <v>21550</v>
      </c>
      <c r="E59" s="2947">
        <v>21150</v>
      </c>
      <c r="F59" s="2947">
        <v>5250</v>
      </c>
      <c r="G59" s="2947">
        <v>14630</v>
      </c>
      <c r="N59" s="2947" t="s">
        <v>3041</v>
      </c>
    </row>
    <row r="60" spans="1:17" ht="14.25" customHeight="1">
      <c r="A60" s="2947" t="s">
        <v>110</v>
      </c>
      <c r="B60" s="2947" t="s">
        <v>164</v>
      </c>
      <c r="C60" s="2947">
        <v>21640</v>
      </c>
      <c r="D60" s="2947">
        <v>21260</v>
      </c>
      <c r="E60" s="2947">
        <v>24040</v>
      </c>
      <c r="F60" s="2947">
        <v>4470</v>
      </c>
      <c r="G60" s="2947">
        <v>14430</v>
      </c>
      <c r="N60" s="2947" t="s">
        <v>3042</v>
      </c>
    </row>
    <row r="61" spans="1:17" ht="14.25" customHeight="1">
      <c r="A61" s="2947" t="s">
        <v>110</v>
      </c>
      <c r="B61" s="2947" t="s">
        <v>170</v>
      </c>
      <c r="C61" s="2947">
        <v>21330</v>
      </c>
      <c r="D61" s="2947">
        <v>18640</v>
      </c>
      <c r="E61" s="2947">
        <v>21190</v>
      </c>
      <c r="F61" s="2947">
        <v>4180</v>
      </c>
      <c r="G61" s="2947">
        <v>12650</v>
      </c>
      <c r="N61" s="2947" t="s">
        <v>3043</v>
      </c>
    </row>
    <row r="62" spans="1:17" ht="14.25" customHeight="1">
      <c r="A62" s="2947" t="s">
        <v>110</v>
      </c>
      <c r="B62" s="2947" t="s">
        <v>177</v>
      </c>
      <c r="C62" s="2947">
        <v>18710</v>
      </c>
      <c r="D62" s="2947">
        <v>19400</v>
      </c>
      <c r="E62" s="2947">
        <v>23750</v>
      </c>
      <c r="F62" s="2947">
        <v>4860</v>
      </c>
      <c r="G62" s="2947">
        <v>13170</v>
      </c>
      <c r="N62" s="2947" t="s">
        <v>3044</v>
      </c>
    </row>
    <row r="63" spans="1:17" ht="14.25" customHeight="1">
      <c r="A63" s="2947" t="s">
        <v>110</v>
      </c>
      <c r="B63" s="2947" t="s">
        <v>187</v>
      </c>
      <c r="C63" s="2947">
        <v>19480</v>
      </c>
      <c r="D63" s="2947">
        <v>16830</v>
      </c>
      <c r="E63" s="2947">
        <v>21590</v>
      </c>
      <c r="F63" s="2947">
        <v>4560</v>
      </c>
      <c r="G63" s="2947">
        <v>11420</v>
      </c>
      <c r="N63" s="2947" t="s">
        <v>3045</v>
      </c>
    </row>
    <row r="64" spans="1:17" ht="14.25" customHeight="1" thickBot="1">
      <c r="A64" s="2947" t="s">
        <v>110</v>
      </c>
      <c r="B64" s="2947" t="s">
        <v>196</v>
      </c>
      <c r="C64" s="2947">
        <v>16920</v>
      </c>
      <c r="D64" s="2947">
        <v>19190</v>
      </c>
      <c r="E64" s="2947">
        <v>22200</v>
      </c>
      <c r="F64" s="2947">
        <v>4390</v>
      </c>
      <c r="G64" s="2947">
        <v>13030</v>
      </c>
      <c r="N64" s="2954" t="s">
        <v>3046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2917</v>
      </c>
      <c r="C78" s="2947">
        <v>19820</v>
      </c>
      <c r="D78" s="2947">
        <v>19780</v>
      </c>
      <c r="E78" s="2947">
        <v>18560</v>
      </c>
      <c r="F78" s="2947"/>
      <c r="G78" s="2947">
        <v>13430</v>
      </c>
    </row>
    <row r="79" spans="1:7" s="2781" customFormat="1" ht="14.25" customHeight="1">
      <c r="A79" s="2947" t="s">
        <v>110</v>
      </c>
      <c r="B79" s="2947" t="s">
        <v>2920</v>
      </c>
      <c r="C79" s="2947">
        <v>21660</v>
      </c>
      <c r="D79" s="2947">
        <v>18000</v>
      </c>
      <c r="E79" s="2947">
        <v>22570</v>
      </c>
      <c r="F79" s="2947"/>
      <c r="G79" s="2947">
        <v>12220</v>
      </c>
    </row>
    <row r="80" spans="1:7" s="2781" customFormat="1" ht="14.25" customHeight="1">
      <c r="A80" s="2947" t="s">
        <v>110</v>
      </c>
      <c r="B80" s="2947" t="s">
        <v>2924</v>
      </c>
      <c r="C80" s="2947">
        <v>19850</v>
      </c>
      <c r="D80" s="2947"/>
      <c r="E80" s="2947">
        <v>21700</v>
      </c>
      <c r="F80" s="2947"/>
      <c r="G80" s="2947"/>
    </row>
    <row r="81" spans="1:7" s="2781" customFormat="1" ht="14.25" customHeight="1">
      <c r="A81" s="2947" t="s">
        <v>110</v>
      </c>
      <c r="B81" s="2947" t="s">
        <v>2929</v>
      </c>
      <c r="C81" s="2947">
        <v>18080</v>
      </c>
      <c r="D81" s="2947"/>
      <c r="E81" s="2947">
        <v>20900</v>
      </c>
      <c r="F81" s="2947"/>
      <c r="G81" s="2947"/>
    </row>
    <row r="82" spans="1:7" s="2781" customFormat="1" ht="14.25" customHeight="1">
      <c r="A82" s="2947" t="s">
        <v>110</v>
      </c>
      <c r="B82" s="2947" t="s">
        <v>2936</v>
      </c>
      <c r="C82" s="2947"/>
      <c r="D82" s="2947"/>
      <c r="E82" s="2947">
        <v>20840</v>
      </c>
      <c r="F82" s="2947"/>
      <c r="G82" s="2947"/>
    </row>
    <row r="83" spans="1:7" s="2781" customFormat="1" ht="14.25" customHeight="1">
      <c r="A83" s="2947" t="s">
        <v>110</v>
      </c>
      <c r="B83" s="2947" t="s">
        <v>3047</v>
      </c>
      <c r="C83" s="2947"/>
      <c r="D83" s="2947"/>
      <c r="E83" s="2947"/>
      <c r="F83" s="2947">
        <v>4770</v>
      </c>
      <c r="G83" s="2947"/>
    </row>
    <row r="84" spans="1:7" s="2781" customFormat="1" ht="14.25" customHeight="1">
      <c r="A84" s="2947" t="s">
        <v>110</v>
      </c>
      <c r="B84" s="2947" t="s">
        <v>3048</v>
      </c>
      <c r="C84" s="2947"/>
      <c r="D84" s="2947"/>
      <c r="E84" s="2947"/>
      <c r="F84" s="2947">
        <v>4600</v>
      </c>
      <c r="G84" s="2947"/>
    </row>
    <row r="85" spans="1:7" s="2781" customFormat="1" ht="14.25" customHeight="1">
      <c r="A85" s="2947" t="s">
        <v>110</v>
      </c>
      <c r="B85" s="2947" t="s">
        <v>3049</v>
      </c>
      <c r="C85" s="2947"/>
      <c r="D85" s="2947"/>
      <c r="E85" s="2947"/>
      <c r="F85" s="2947">
        <v>4680</v>
      </c>
      <c r="G85" s="2947"/>
    </row>
    <row r="86" spans="1:7" s="2781" customFormat="1" ht="14.25" customHeight="1" thickBot="1">
      <c r="A86" s="2955" t="s">
        <v>110</v>
      </c>
      <c r="B86" s="2957" t="s">
        <v>3050</v>
      </c>
      <c r="C86" s="2958">
        <v>16610</v>
      </c>
      <c r="D86" s="2958">
        <v>16540</v>
      </c>
      <c r="E86" s="2958">
        <v>18850</v>
      </c>
      <c r="F86" s="2958"/>
      <c r="G86" s="2958">
        <v>11220</v>
      </c>
    </row>
    <row r="87" spans="1:7" s="2781" customFormat="1" ht="14.25" customHeight="1">
      <c r="A87" s="2952" t="s">
        <v>303</v>
      </c>
      <c r="B87" s="2943" t="s">
        <v>3051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2930</v>
      </c>
      <c r="C113" s="2947">
        <v>15520</v>
      </c>
      <c r="D113" s="2947">
        <v>15450</v>
      </c>
      <c r="E113" s="2947"/>
      <c r="F113" s="2947"/>
      <c r="G113" s="2960">
        <v>10210</v>
      </c>
    </row>
    <row r="114" spans="1:7" s="2781" customFormat="1" ht="14.25" customHeight="1">
      <c r="A114" s="2947" t="s">
        <v>303</v>
      </c>
      <c r="B114" s="2947" t="s">
        <v>2937</v>
      </c>
      <c r="C114" s="2947">
        <v>13110</v>
      </c>
      <c r="D114" s="2947">
        <v>13050</v>
      </c>
      <c r="E114" s="2947"/>
      <c r="F114" s="2947"/>
      <c r="G114" s="2960">
        <v>8620</v>
      </c>
    </row>
    <row r="115" spans="1:7" s="2781" customFormat="1" ht="14.25" customHeight="1">
      <c r="A115" s="2947" t="s">
        <v>303</v>
      </c>
      <c r="B115" s="2947" t="s">
        <v>2943</v>
      </c>
      <c r="C115" s="2947">
        <v>12460</v>
      </c>
      <c r="D115" s="2947">
        <v>12390</v>
      </c>
      <c r="E115" s="2947"/>
      <c r="F115" s="2947"/>
      <c r="G115" s="2960">
        <v>8190</v>
      </c>
    </row>
    <row r="116" spans="1:7" s="2781" customFormat="1" ht="14.25" customHeight="1">
      <c r="A116" s="2947" t="s">
        <v>303</v>
      </c>
      <c r="B116" s="2947" t="s">
        <v>2950</v>
      </c>
      <c r="C116" s="2947">
        <v>13580</v>
      </c>
      <c r="D116" s="2947">
        <v>13520</v>
      </c>
      <c r="E116" s="2947"/>
      <c r="F116" s="2947"/>
      <c r="G116" s="2960">
        <v>8930</v>
      </c>
    </row>
    <row r="117" spans="1:7" s="2781" customFormat="1" ht="14.25" customHeight="1">
      <c r="A117" s="2947" t="s">
        <v>303</v>
      </c>
      <c r="B117" s="2947" t="s">
        <v>2957</v>
      </c>
      <c r="C117" s="2947">
        <v>17120</v>
      </c>
      <c r="D117" s="2947">
        <v>17040</v>
      </c>
      <c r="E117" s="2947"/>
      <c r="F117" s="2947"/>
      <c r="G117" s="2960">
        <v>11260</v>
      </c>
    </row>
    <row r="118" spans="1:7" s="2781" customFormat="1" ht="14.25" customHeight="1">
      <c r="A118" s="2947" t="s">
        <v>303</v>
      </c>
      <c r="B118" s="2947" t="s">
        <v>2962</v>
      </c>
      <c r="C118" s="2947">
        <v>14860</v>
      </c>
      <c r="D118" s="2947">
        <v>14790</v>
      </c>
      <c r="E118" s="2947"/>
      <c r="F118" s="2947"/>
      <c r="G118" s="2960">
        <v>9780</v>
      </c>
    </row>
    <row r="119" spans="1:7" s="2781" customFormat="1" ht="14.25" customHeight="1">
      <c r="A119" s="2947" t="s">
        <v>303</v>
      </c>
      <c r="B119" s="2947" t="s">
        <v>2966</v>
      </c>
      <c r="C119" s="2947">
        <v>16470</v>
      </c>
      <c r="D119" s="2947">
        <v>16400</v>
      </c>
      <c r="E119" s="2947"/>
      <c r="F119" s="2947"/>
      <c r="G119" s="2960">
        <v>10840</v>
      </c>
    </row>
    <row r="120" spans="1:7" s="2781" customFormat="1" ht="14.25" customHeight="1">
      <c r="A120" s="2947" t="s">
        <v>303</v>
      </c>
      <c r="B120" s="2947" t="s">
        <v>3052</v>
      </c>
      <c r="C120" s="2947"/>
      <c r="D120" s="2947"/>
      <c r="E120" s="2947"/>
      <c r="F120" s="2947">
        <v>4160</v>
      </c>
      <c r="G120" s="2960"/>
    </row>
    <row r="121" spans="1:7" s="2781" customFormat="1" ht="14.25" customHeight="1">
      <c r="A121" s="2947" t="s">
        <v>303</v>
      </c>
      <c r="B121" s="2947" t="s">
        <v>3053</v>
      </c>
      <c r="C121" s="2947"/>
      <c r="D121" s="2947"/>
      <c r="E121" s="2947"/>
      <c r="F121" s="2947">
        <v>3880</v>
      </c>
      <c r="G121" s="2960"/>
    </row>
    <row r="122" spans="1:7" s="2781" customFormat="1" ht="14.25" customHeight="1">
      <c r="A122" s="2947" t="s">
        <v>303</v>
      </c>
      <c r="B122" s="2947" t="s">
        <v>3054</v>
      </c>
      <c r="C122" s="2947">
        <v>13750</v>
      </c>
      <c r="D122" s="2947">
        <v>13680</v>
      </c>
      <c r="E122" s="2947">
        <v>16460</v>
      </c>
      <c r="F122" s="2947">
        <v>2880</v>
      </c>
      <c r="G122" s="2960">
        <v>9040</v>
      </c>
    </row>
    <row r="123" spans="1:7" s="2781" customFormat="1" ht="14.25" customHeight="1">
      <c r="A123" s="2947" t="s">
        <v>303</v>
      </c>
      <c r="B123" s="2947" t="s">
        <v>2985</v>
      </c>
      <c r="C123" s="2947">
        <v>13590</v>
      </c>
      <c r="D123" s="2947">
        <v>13520</v>
      </c>
      <c r="E123" s="2947">
        <v>16290</v>
      </c>
      <c r="F123" s="2947">
        <v>2790</v>
      </c>
      <c r="G123" s="2960">
        <v>8930</v>
      </c>
    </row>
    <row r="124" spans="1:7" s="2781" customFormat="1" ht="14.25" customHeight="1">
      <c r="A124" s="2947" t="s">
        <v>303</v>
      </c>
      <c r="B124" s="2947" t="s">
        <v>2990</v>
      </c>
      <c r="C124" s="2947">
        <v>13400</v>
      </c>
      <c r="D124" s="2947">
        <v>13320</v>
      </c>
      <c r="E124" s="2947">
        <v>16100</v>
      </c>
      <c r="F124" s="2947">
        <v>2320</v>
      </c>
      <c r="G124" s="2960">
        <v>8800</v>
      </c>
    </row>
    <row r="125" spans="1:7" s="2781" customFormat="1" ht="14.25" customHeight="1">
      <c r="A125" s="2947" t="s">
        <v>303</v>
      </c>
      <c r="B125" s="2947" t="s">
        <v>2995</v>
      </c>
      <c r="C125" s="2947">
        <v>12860</v>
      </c>
      <c r="D125" s="2947">
        <v>12790</v>
      </c>
      <c r="E125" s="2947">
        <v>15370</v>
      </c>
      <c r="F125" s="2947">
        <v>2280</v>
      </c>
      <c r="G125" s="2960">
        <v>8450</v>
      </c>
    </row>
    <row r="126" spans="1:7" s="2781" customFormat="1" ht="14.25" customHeight="1" thickBot="1">
      <c r="A126" s="2961" t="s">
        <v>303</v>
      </c>
      <c r="B126" s="2954" t="s">
        <v>3000</v>
      </c>
      <c r="C126" s="2954">
        <v>12960</v>
      </c>
      <c r="D126" s="2954">
        <v>12890</v>
      </c>
      <c r="E126" s="2954">
        <v>15530</v>
      </c>
      <c r="F126" s="2954">
        <v>2910</v>
      </c>
      <c r="G126" s="2962">
        <v>8520</v>
      </c>
    </row>
    <row r="127" spans="1:7" s="2781" customFormat="1" ht="14.25" customHeight="1">
      <c r="A127" s="2952" t="s">
        <v>29</v>
      </c>
      <c r="B127" s="2943" t="s">
        <v>3055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3056</v>
      </c>
      <c r="C148" s="2947">
        <v>10370</v>
      </c>
      <c r="D148" s="2947">
        <v>10310</v>
      </c>
      <c r="E148" s="2947">
        <v>12970</v>
      </c>
      <c r="F148" s="2947"/>
      <c r="G148" s="2947">
        <v>6630</v>
      </c>
    </row>
    <row r="149" spans="1:7" s="2781" customFormat="1" ht="14.25" customHeight="1">
      <c r="A149" s="2947" t="s">
        <v>29</v>
      </c>
      <c r="B149" s="2947" t="s">
        <v>3057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2931</v>
      </c>
      <c r="C153" s="2947">
        <v>10880</v>
      </c>
      <c r="D153" s="2947">
        <v>10820</v>
      </c>
      <c r="E153" s="2947">
        <v>13660</v>
      </c>
      <c r="F153" s="2947">
        <v>2260</v>
      </c>
      <c r="G153" s="2947">
        <v>6970</v>
      </c>
    </row>
    <row r="154" spans="1:7" s="2781" customFormat="1" ht="14.25" customHeight="1">
      <c r="A154" s="2947" t="s">
        <v>29</v>
      </c>
      <c r="B154" s="2947" t="s">
        <v>3058</v>
      </c>
      <c r="C154" s="2947">
        <v>11220</v>
      </c>
      <c r="D154" s="2947">
        <v>11160</v>
      </c>
      <c r="E154" s="2947">
        <v>14130</v>
      </c>
      <c r="F154" s="2947">
        <v>2230</v>
      </c>
      <c r="G154" s="2947">
        <v>7180</v>
      </c>
    </row>
    <row r="155" spans="1:7" s="2781" customFormat="1" ht="14.25" customHeight="1">
      <c r="A155" s="2947" t="s">
        <v>29</v>
      </c>
      <c r="B155" s="2947" t="s">
        <v>2944</v>
      </c>
      <c r="C155" s="2947">
        <v>10430</v>
      </c>
      <c r="D155" s="2947">
        <v>10380</v>
      </c>
      <c r="E155" s="2947">
        <v>13140</v>
      </c>
      <c r="F155" s="2947">
        <v>2080</v>
      </c>
      <c r="G155" s="2947">
        <v>6650</v>
      </c>
    </row>
    <row r="156" spans="1:7" s="2781" customFormat="1" ht="14.25" customHeight="1">
      <c r="A156" s="2947" t="s">
        <v>29</v>
      </c>
      <c r="B156" s="2947" t="s">
        <v>3059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3060</v>
      </c>
      <c r="C160" s="2947">
        <v>11180</v>
      </c>
      <c r="D160" s="2947">
        <v>11140</v>
      </c>
      <c r="E160" s="2947">
        <v>14050</v>
      </c>
      <c r="F160" s="2947">
        <v>2270</v>
      </c>
      <c r="G160" s="2947">
        <v>7170</v>
      </c>
    </row>
    <row r="161" spans="1:7" s="2781" customFormat="1" ht="14.25" customHeight="1">
      <c r="A161" s="2947" t="s">
        <v>29</v>
      </c>
      <c r="B161" s="2947" t="s">
        <v>2976</v>
      </c>
      <c r="C161" s="2947">
        <v>11160</v>
      </c>
      <c r="D161" s="2947">
        <v>11120</v>
      </c>
      <c r="E161" s="2947">
        <v>14020</v>
      </c>
      <c r="F161" s="2947">
        <v>2150</v>
      </c>
      <c r="G161" s="2947">
        <v>7160</v>
      </c>
    </row>
    <row r="162" spans="1:7" s="2781" customFormat="1" ht="14.25" customHeight="1">
      <c r="A162" s="2947" t="s">
        <v>29</v>
      </c>
      <c r="B162" s="2947" t="s">
        <v>2981</v>
      </c>
      <c r="C162" s="2947">
        <v>9620</v>
      </c>
      <c r="D162" s="2947">
        <v>9570</v>
      </c>
      <c r="E162" s="2947">
        <v>12320</v>
      </c>
      <c r="F162" s="2947">
        <v>2010</v>
      </c>
      <c r="G162" s="2947">
        <v>6160</v>
      </c>
    </row>
    <row r="163" spans="1:7" s="2781" customFormat="1" ht="14.25" customHeight="1">
      <c r="A163" s="2947" t="s">
        <v>29</v>
      </c>
      <c r="B163" s="2947" t="s">
        <v>2986</v>
      </c>
      <c r="C163" s="2947">
        <v>9320</v>
      </c>
      <c r="D163" s="2947">
        <v>9270</v>
      </c>
      <c r="E163" s="2947">
        <v>11790</v>
      </c>
      <c r="F163" s="2947">
        <v>1920</v>
      </c>
      <c r="G163" s="2947">
        <v>5960</v>
      </c>
    </row>
    <row r="164" spans="1:7" s="2781" customFormat="1" ht="14.25" customHeight="1">
      <c r="A164" s="2947" t="s">
        <v>29</v>
      </c>
      <c r="B164" s="2947" t="s">
        <v>2991</v>
      </c>
      <c r="C164" s="2947"/>
      <c r="D164" s="2947"/>
      <c r="E164" s="2947"/>
      <c r="F164" s="2947">
        <v>1980</v>
      </c>
      <c r="G164" s="2947"/>
    </row>
    <row r="165" spans="1:7" s="2781" customFormat="1" ht="14.25" customHeight="1">
      <c r="A165" s="2947" t="s">
        <v>29</v>
      </c>
      <c r="B165" s="2947" t="s">
        <v>3061</v>
      </c>
      <c r="C165" s="2947">
        <v>11060</v>
      </c>
      <c r="D165" s="2947">
        <v>11030</v>
      </c>
      <c r="E165" s="2947">
        <v>13850</v>
      </c>
      <c r="F165" s="2947">
        <v>2170</v>
      </c>
      <c r="G165" s="2947">
        <v>7090</v>
      </c>
    </row>
    <row r="166" spans="1:7" s="2781" customFormat="1" ht="14.25" customHeight="1">
      <c r="A166" s="2947" t="s">
        <v>29</v>
      </c>
      <c r="B166" s="2947" t="s">
        <v>3001</v>
      </c>
      <c r="C166" s="2947">
        <v>11050</v>
      </c>
      <c r="D166" s="2947">
        <v>11010</v>
      </c>
      <c r="E166" s="2947">
        <v>13920</v>
      </c>
      <c r="F166" s="2947">
        <v>2140</v>
      </c>
      <c r="G166" s="2947">
        <v>7080</v>
      </c>
    </row>
    <row r="167" spans="1:7" s="2781" customFormat="1" ht="14.25" customHeight="1">
      <c r="A167" s="2947" t="s">
        <v>29</v>
      </c>
      <c r="B167" s="2947" t="s">
        <v>3005</v>
      </c>
      <c r="C167" s="2947">
        <v>10930</v>
      </c>
      <c r="D167" s="2947">
        <v>10890</v>
      </c>
      <c r="E167" s="2947">
        <v>13790</v>
      </c>
      <c r="F167" s="2947">
        <v>2010</v>
      </c>
      <c r="G167" s="2947">
        <v>7000</v>
      </c>
    </row>
    <row r="168" spans="1:7" s="2781" customFormat="1" ht="14.25" customHeight="1">
      <c r="A168" s="2947" t="s">
        <v>29</v>
      </c>
      <c r="B168" s="2947" t="s">
        <v>3010</v>
      </c>
      <c r="C168" s="2947">
        <v>9420</v>
      </c>
      <c r="D168" s="2947">
        <v>9380</v>
      </c>
      <c r="E168" s="2947">
        <v>11970</v>
      </c>
      <c r="F168" s="2947"/>
      <c r="G168" s="2947">
        <v>6040</v>
      </c>
    </row>
    <row r="169" spans="1:7" s="2781" customFormat="1" ht="14.25" customHeight="1">
      <c r="A169" s="2947" t="s">
        <v>29</v>
      </c>
      <c r="B169" s="2947" t="s">
        <v>3062</v>
      </c>
      <c r="C169" s="2947"/>
      <c r="D169" s="2947"/>
      <c r="E169" s="2947"/>
      <c r="F169" s="2947">
        <v>2880</v>
      </c>
      <c r="G169" s="2947"/>
    </row>
    <row r="170" spans="1:7" s="2781" customFormat="1" ht="14.25" customHeight="1">
      <c r="A170" s="2947" t="s">
        <v>29</v>
      </c>
      <c r="B170" s="2947" t="s">
        <v>3018</v>
      </c>
      <c r="C170" s="2947"/>
      <c r="D170" s="2947"/>
      <c r="E170" s="2947"/>
      <c r="F170" s="2947">
        <v>2880</v>
      </c>
      <c r="G170" s="2947"/>
    </row>
    <row r="171" spans="1:7" s="2781" customFormat="1" ht="14.25" customHeight="1">
      <c r="A171" s="2947" t="s">
        <v>29</v>
      </c>
      <c r="B171" s="2947" t="s">
        <v>3021</v>
      </c>
      <c r="C171" s="2947"/>
      <c r="D171" s="2947"/>
      <c r="E171" s="2947"/>
      <c r="F171" s="2947">
        <v>2880</v>
      </c>
      <c r="G171" s="2947"/>
    </row>
    <row r="172" spans="1:7" s="2781" customFormat="1" ht="14.25" customHeight="1">
      <c r="A172" s="2947" t="s">
        <v>29</v>
      </c>
      <c r="B172" s="2947" t="s">
        <v>3023</v>
      </c>
      <c r="C172" s="2947"/>
      <c r="D172" s="2947"/>
      <c r="E172" s="2947"/>
      <c r="F172" s="2947">
        <v>2880</v>
      </c>
      <c r="G172" s="2947"/>
    </row>
    <row r="173" spans="1:7" s="2781" customFormat="1" ht="14.25" customHeight="1">
      <c r="A173" s="2947" t="s">
        <v>29</v>
      </c>
      <c r="B173" s="2947" t="s">
        <v>3025</v>
      </c>
      <c r="C173" s="2947"/>
      <c r="D173" s="2947"/>
      <c r="E173" s="2947"/>
      <c r="F173" s="2947">
        <v>2150</v>
      </c>
      <c r="G173" s="2947"/>
    </row>
    <row r="174" spans="1:7" s="2781" customFormat="1" ht="14.25" customHeight="1">
      <c r="A174" s="2947" t="s">
        <v>29</v>
      </c>
      <c r="B174" s="2947" t="s">
        <v>3027</v>
      </c>
      <c r="C174" s="2947"/>
      <c r="D174" s="2947"/>
      <c r="E174" s="2947"/>
      <c r="F174" s="2947">
        <v>2030</v>
      </c>
      <c r="G174" s="2947"/>
    </row>
    <row r="175" spans="1:7" s="2781" customFormat="1" ht="14.25" customHeight="1">
      <c r="A175" s="2947" t="s">
        <v>29</v>
      </c>
      <c r="B175" s="2947" t="s">
        <v>3029</v>
      </c>
      <c r="C175" s="2947"/>
      <c r="D175" s="2947"/>
      <c r="E175" s="2947"/>
      <c r="F175" s="2947">
        <v>2780</v>
      </c>
      <c r="G175" s="2947"/>
    </row>
    <row r="176" spans="1:7" s="2781" customFormat="1" ht="14.25" customHeight="1">
      <c r="A176" s="2947" t="s">
        <v>29</v>
      </c>
      <c r="B176" s="2947" t="s">
        <v>3031</v>
      </c>
      <c r="C176" s="2947"/>
      <c r="D176" s="2947"/>
      <c r="E176" s="2947"/>
      <c r="F176" s="2947">
        <v>2780</v>
      </c>
      <c r="G176" s="2947"/>
    </row>
    <row r="177" spans="1:7" s="2781" customFormat="1" ht="14.25" customHeight="1">
      <c r="A177" s="2947" t="s">
        <v>29</v>
      </c>
      <c r="B177" s="2947" t="s">
        <v>3063</v>
      </c>
      <c r="C177" s="2947"/>
      <c r="D177" s="2947"/>
      <c r="E177" s="2947"/>
      <c r="F177" s="2947">
        <v>2780</v>
      </c>
      <c r="G177" s="2947"/>
    </row>
    <row r="178" spans="1:7" s="2781" customFormat="1" ht="14.25" customHeight="1">
      <c r="A178" s="2947" t="s">
        <v>29</v>
      </c>
      <c r="B178" s="2947" t="s">
        <v>3064</v>
      </c>
      <c r="C178" s="2947"/>
      <c r="D178" s="2947"/>
      <c r="E178" s="2947"/>
      <c r="F178" s="2947">
        <v>2060</v>
      </c>
      <c r="G178" s="2947"/>
    </row>
    <row r="179" spans="1:7" s="2781" customFormat="1" ht="14.25" customHeight="1">
      <c r="A179" s="2947" t="s">
        <v>29</v>
      </c>
      <c r="B179" s="2947" t="s">
        <v>3065</v>
      </c>
      <c r="C179" s="2947"/>
      <c r="D179" s="2947"/>
      <c r="E179" s="2947"/>
      <c r="F179" s="2947">
        <v>2120</v>
      </c>
      <c r="G179" s="2947"/>
    </row>
    <row r="180" spans="1:7" s="2781" customFormat="1" ht="14.25" customHeight="1">
      <c r="A180" s="2947" t="s">
        <v>29</v>
      </c>
      <c r="B180" s="2947" t="s">
        <v>3037</v>
      </c>
      <c r="C180" s="2947"/>
      <c r="D180" s="2947"/>
      <c r="E180" s="2947"/>
      <c r="F180" s="2947">
        <v>2340</v>
      </c>
      <c r="G180" s="2947"/>
    </row>
    <row r="181" spans="1:7" s="2781" customFormat="1" ht="14.25" customHeight="1">
      <c r="A181" s="2947" t="s">
        <v>29</v>
      </c>
      <c r="B181" s="2947" t="s">
        <v>3038</v>
      </c>
      <c r="C181" s="2947"/>
      <c r="D181" s="2947"/>
      <c r="E181" s="2947"/>
      <c r="F181" s="2947">
        <v>2340</v>
      </c>
      <c r="G181" s="2947"/>
    </row>
    <row r="182" spans="1:7" s="2781" customFormat="1" ht="14.25" customHeight="1">
      <c r="A182" s="2947" t="s">
        <v>29</v>
      </c>
      <c r="B182" s="2947" t="s">
        <v>3039</v>
      </c>
      <c r="C182" s="2947"/>
      <c r="D182" s="2947"/>
      <c r="E182" s="2947"/>
      <c r="F182" s="2947">
        <v>2340</v>
      </c>
      <c r="G182" s="2947"/>
    </row>
    <row r="183" spans="1:7" s="2781" customFormat="1" ht="14.25" customHeight="1">
      <c r="A183" s="2947" t="s">
        <v>29</v>
      </c>
      <c r="B183" s="2947" t="s">
        <v>3040</v>
      </c>
      <c r="C183" s="2947"/>
      <c r="D183" s="2947"/>
      <c r="E183" s="2947"/>
      <c r="F183" s="2947">
        <v>2340</v>
      </c>
      <c r="G183" s="2947"/>
    </row>
    <row r="184" spans="1:7" s="2781" customFormat="1" ht="14.25" customHeight="1">
      <c r="A184" s="2947" t="s">
        <v>29</v>
      </c>
      <c r="B184" s="2947" t="s">
        <v>3041</v>
      </c>
      <c r="C184" s="2947"/>
      <c r="D184" s="2947"/>
      <c r="E184" s="2947"/>
      <c r="F184" s="2947">
        <v>2340</v>
      </c>
      <c r="G184" s="2947"/>
    </row>
    <row r="185" spans="1:7" s="2781" customFormat="1" ht="14.25" customHeight="1">
      <c r="A185" s="2947" t="s">
        <v>29</v>
      </c>
      <c r="B185" s="2947" t="s">
        <v>3042</v>
      </c>
      <c r="C185" s="2947"/>
      <c r="D185" s="2947"/>
      <c r="E185" s="2947"/>
      <c r="F185" s="2947">
        <v>2530</v>
      </c>
      <c r="G185" s="2947"/>
    </row>
    <row r="186" spans="1:7" s="2781" customFormat="1" ht="14.25" customHeight="1">
      <c r="A186" s="2947" t="s">
        <v>29</v>
      </c>
      <c r="B186" s="2947" t="s">
        <v>3043</v>
      </c>
      <c r="C186" s="2947"/>
      <c r="D186" s="2947"/>
      <c r="E186" s="2947"/>
      <c r="F186" s="2947">
        <v>2550</v>
      </c>
      <c r="G186" s="2947"/>
    </row>
    <row r="187" spans="1:7" s="2781" customFormat="1" ht="14.25" customHeight="1">
      <c r="A187" s="2947" t="s">
        <v>29</v>
      </c>
      <c r="B187" s="2947" t="s">
        <v>3044</v>
      </c>
      <c r="C187" s="2947"/>
      <c r="D187" s="2947"/>
      <c r="E187" s="2947"/>
      <c r="F187" s="2947">
        <v>2070</v>
      </c>
      <c r="G187" s="2947"/>
    </row>
    <row r="188" spans="1:7" s="2781" customFormat="1" ht="14.25" customHeight="1">
      <c r="A188" s="2947" t="s">
        <v>29</v>
      </c>
      <c r="B188" s="2947" t="s">
        <v>3045</v>
      </c>
      <c r="C188" s="2947"/>
      <c r="D188" s="2947"/>
      <c r="E188" s="2947"/>
      <c r="F188" s="2947">
        <v>2340</v>
      </c>
      <c r="G188" s="2947"/>
    </row>
    <row r="189" spans="1:7" s="2781" customFormat="1" ht="14.25" customHeight="1" thickBot="1">
      <c r="A189" s="2955" t="s">
        <v>29</v>
      </c>
      <c r="B189" s="2958" t="s">
        <v>3046</v>
      </c>
      <c r="C189" s="2958"/>
      <c r="D189" s="2958"/>
      <c r="E189" s="2958"/>
      <c r="F189" s="2958">
        <v>2050</v>
      </c>
      <c r="G189" s="2958"/>
    </row>
    <row r="190" spans="1:7" s="2781" customFormat="1" ht="14.25" customHeight="1">
      <c r="A190" s="2952" t="s">
        <v>304</v>
      </c>
      <c r="B190" s="2943" t="s">
        <v>3066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3067</v>
      </c>
      <c r="C199" s="2947">
        <v>8690</v>
      </c>
      <c r="D199" s="2947">
        <v>8630</v>
      </c>
      <c r="E199" s="2947">
        <v>11350</v>
      </c>
      <c r="F199" s="2947">
        <v>1600</v>
      </c>
      <c r="G199" s="2960">
        <v>5450</v>
      </c>
    </row>
    <row r="200" spans="1:7" s="2781" customFormat="1" ht="14.25" customHeight="1">
      <c r="A200" s="2947" t="s">
        <v>304</v>
      </c>
      <c r="B200" s="2947" t="s">
        <v>2878</v>
      </c>
      <c r="C200" s="2947"/>
      <c r="D200" s="2947"/>
      <c r="E200" s="2947"/>
      <c r="F200" s="2947">
        <v>1510</v>
      </c>
      <c r="G200" s="2960"/>
    </row>
    <row r="201" spans="1:7" s="2781" customFormat="1" ht="14.25" customHeight="1">
      <c r="A201" s="2947" t="s">
        <v>304</v>
      </c>
      <c r="B201" s="2947" t="s">
        <v>3068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3069</v>
      </c>
      <c r="C203" s="2947">
        <v>8130</v>
      </c>
      <c r="D203" s="2947">
        <v>8070</v>
      </c>
      <c r="E203" s="2947">
        <v>10820</v>
      </c>
      <c r="F203" s="2947">
        <v>1690</v>
      </c>
      <c r="G203" s="2960">
        <v>5100</v>
      </c>
    </row>
    <row r="204" spans="1:7" s="2781" customFormat="1" ht="14.25" customHeight="1">
      <c r="A204" s="2947" t="s">
        <v>304</v>
      </c>
      <c r="B204" s="2947" t="s">
        <v>2889</v>
      </c>
      <c r="C204" s="2947">
        <v>8350</v>
      </c>
      <c r="D204" s="2947">
        <v>8290</v>
      </c>
      <c r="E204" s="2947">
        <v>11080</v>
      </c>
      <c r="F204" s="2947">
        <v>1450</v>
      </c>
      <c r="G204" s="2960">
        <v>5240</v>
      </c>
    </row>
    <row r="205" spans="1:7" s="2781" customFormat="1" ht="14.25" customHeight="1">
      <c r="A205" s="2947" t="s">
        <v>304</v>
      </c>
      <c r="B205" s="2947" t="s">
        <v>2891</v>
      </c>
      <c r="C205" s="2947">
        <v>7190</v>
      </c>
      <c r="D205" s="2947">
        <v>7130</v>
      </c>
      <c r="E205" s="2947">
        <v>9490</v>
      </c>
      <c r="F205" s="2947">
        <v>1470</v>
      </c>
      <c r="G205" s="2960">
        <v>4510</v>
      </c>
    </row>
    <row r="206" spans="1:7" s="2781" customFormat="1" ht="14.25" customHeight="1">
      <c r="A206" s="2947" t="s">
        <v>304</v>
      </c>
      <c r="B206" s="2947" t="s">
        <v>2894</v>
      </c>
      <c r="C206" s="2947">
        <v>7000</v>
      </c>
      <c r="D206" s="2947">
        <v>6950</v>
      </c>
      <c r="E206" s="2947">
        <v>9170</v>
      </c>
      <c r="F206" s="2947">
        <v>1400</v>
      </c>
      <c r="G206" s="2960">
        <v>4380</v>
      </c>
    </row>
    <row r="207" spans="1:7" s="2781" customFormat="1" ht="14.25" customHeight="1">
      <c r="A207" s="2947" t="s">
        <v>304</v>
      </c>
      <c r="B207" s="2947" t="s">
        <v>2896</v>
      </c>
      <c r="C207" s="2947">
        <v>6950</v>
      </c>
      <c r="D207" s="2947">
        <v>6900</v>
      </c>
      <c r="E207" s="2947">
        <v>9110</v>
      </c>
      <c r="F207" s="2947">
        <v>1790</v>
      </c>
      <c r="G207" s="2960">
        <v>4360</v>
      </c>
    </row>
    <row r="208" spans="1:7" s="2781" customFormat="1" ht="14.25" customHeight="1">
      <c r="A208" s="2947" t="s">
        <v>304</v>
      </c>
      <c r="B208" s="2947" t="s">
        <v>3070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2906</v>
      </c>
      <c r="C210" s="2947">
        <v>8710</v>
      </c>
      <c r="D210" s="2947">
        <v>8660</v>
      </c>
      <c r="E210" s="2947">
        <v>11440</v>
      </c>
      <c r="F210" s="2947">
        <v>1740</v>
      </c>
      <c r="G210" s="2960">
        <v>5470</v>
      </c>
    </row>
    <row r="211" spans="1:7" s="2781" customFormat="1" ht="14.25" customHeight="1">
      <c r="A211" s="2947" t="s">
        <v>304</v>
      </c>
      <c r="B211" s="2947" t="s">
        <v>3071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3072</v>
      </c>
      <c r="C214" s="2947">
        <v>8090</v>
      </c>
      <c r="D214" s="2947">
        <v>8030</v>
      </c>
      <c r="E214" s="2947">
        <v>10780</v>
      </c>
      <c r="F214" s="2947">
        <v>1570</v>
      </c>
      <c r="G214" s="2960">
        <v>5070</v>
      </c>
    </row>
    <row r="215" spans="1:7" s="2781" customFormat="1" ht="14.25" customHeight="1">
      <c r="A215" s="2947" t="s">
        <v>304</v>
      </c>
      <c r="B215" s="2947" t="s">
        <v>3073</v>
      </c>
      <c r="C215" s="2947">
        <v>7950</v>
      </c>
      <c r="D215" s="2947">
        <v>7900</v>
      </c>
      <c r="E215" s="2947">
        <v>10560</v>
      </c>
      <c r="F215" s="2947">
        <v>1630</v>
      </c>
      <c r="G215" s="2960">
        <v>4990</v>
      </c>
    </row>
    <row r="216" spans="1:7" s="2781" customFormat="1" ht="14.25" customHeight="1">
      <c r="A216" s="2947" t="s">
        <v>304</v>
      </c>
      <c r="B216" s="2947" t="s">
        <v>3074</v>
      </c>
      <c r="C216" s="2947">
        <v>8490</v>
      </c>
      <c r="D216" s="2947">
        <v>8440</v>
      </c>
      <c r="E216" s="2947">
        <v>11260</v>
      </c>
      <c r="F216" s="2947">
        <v>1690</v>
      </c>
      <c r="G216" s="2960">
        <v>5330</v>
      </c>
    </row>
    <row r="217" spans="1:7" s="2781" customFormat="1" ht="14.25" customHeight="1">
      <c r="A217" s="2947" t="s">
        <v>304</v>
      </c>
      <c r="B217" s="2947" t="s">
        <v>2939</v>
      </c>
      <c r="C217" s="2947">
        <v>8200</v>
      </c>
      <c r="D217" s="2947">
        <v>8150</v>
      </c>
      <c r="E217" s="2947">
        <v>10910</v>
      </c>
      <c r="F217" s="2947">
        <v>1670</v>
      </c>
      <c r="G217" s="2960">
        <v>5150</v>
      </c>
    </row>
    <row r="218" spans="1:7" s="2781" customFormat="1" ht="14.25" customHeight="1">
      <c r="A218" s="2947" t="s">
        <v>304</v>
      </c>
      <c r="B218" s="2947" t="s">
        <v>3075</v>
      </c>
      <c r="C218" s="2947"/>
      <c r="D218" s="2947"/>
      <c r="E218" s="2947"/>
      <c r="F218" s="2947">
        <v>2040</v>
      </c>
      <c r="G218" s="2960"/>
    </row>
    <row r="219" spans="1:7" s="2781" customFormat="1" ht="14.25" customHeight="1">
      <c r="A219" s="2947" t="s">
        <v>304</v>
      </c>
      <c r="B219" s="2947" t="s">
        <v>3076</v>
      </c>
      <c r="C219" s="2947"/>
      <c r="D219" s="2947"/>
      <c r="E219" s="2947"/>
      <c r="F219" s="2947">
        <v>2040</v>
      </c>
      <c r="G219" s="2960"/>
    </row>
    <row r="220" spans="1:7" s="2781" customFormat="1" ht="14.25" customHeight="1">
      <c r="A220" s="2947" t="s">
        <v>304</v>
      </c>
      <c r="B220" s="2947" t="s">
        <v>3077</v>
      </c>
      <c r="C220" s="2947"/>
      <c r="D220" s="2947"/>
      <c r="E220" s="2947"/>
      <c r="F220" s="2947">
        <v>2040</v>
      </c>
      <c r="G220" s="2960"/>
    </row>
    <row r="221" spans="1:7" s="2781" customFormat="1" ht="14.25" customHeight="1">
      <c r="A221" s="2947" t="s">
        <v>304</v>
      </c>
      <c r="B221" s="2947" t="s">
        <v>3078</v>
      </c>
      <c r="C221" s="2947"/>
      <c r="D221" s="2947"/>
      <c r="E221" s="2947"/>
      <c r="F221" s="2947">
        <v>2040</v>
      </c>
      <c r="G221" s="2960"/>
    </row>
    <row r="222" spans="1:7" s="2781" customFormat="1" ht="14.25" customHeight="1">
      <c r="A222" s="2947" t="s">
        <v>304</v>
      </c>
      <c r="B222" s="2947" t="s">
        <v>3079</v>
      </c>
      <c r="C222" s="2947"/>
      <c r="D222" s="2947"/>
      <c r="E222" s="2947"/>
      <c r="F222" s="2947">
        <v>2040</v>
      </c>
      <c r="G222" s="2960"/>
    </row>
    <row r="223" spans="1:7" s="2781" customFormat="1" ht="14.25" customHeight="1">
      <c r="A223" s="2947" t="s">
        <v>304</v>
      </c>
      <c r="B223" s="2947" t="s">
        <v>3080</v>
      </c>
      <c r="C223" s="2947"/>
      <c r="D223" s="2947"/>
      <c r="E223" s="2947"/>
      <c r="F223" s="2947">
        <v>1930</v>
      </c>
      <c r="G223" s="2960"/>
    </row>
    <row r="224" spans="1:7" s="2781" customFormat="1" ht="14.25" customHeight="1">
      <c r="A224" s="2947" t="s">
        <v>304</v>
      </c>
      <c r="B224" s="2947" t="s">
        <v>3081</v>
      </c>
      <c r="C224" s="2947"/>
      <c r="D224" s="2947"/>
      <c r="E224" s="2947"/>
      <c r="F224" s="2947">
        <v>1930</v>
      </c>
      <c r="G224" s="2960"/>
    </row>
    <row r="225" spans="1:7" s="2781" customFormat="1" ht="14.25" customHeight="1">
      <c r="A225" s="2947" t="s">
        <v>304</v>
      </c>
      <c r="B225" s="2947" t="s">
        <v>3082</v>
      </c>
      <c r="C225" s="2947"/>
      <c r="D225" s="2947"/>
      <c r="E225" s="2947"/>
      <c r="F225" s="2947">
        <v>1930</v>
      </c>
      <c r="G225" s="2960"/>
    </row>
    <row r="226" spans="1:7" s="2781" customFormat="1" ht="14.25" customHeight="1">
      <c r="A226" s="2947" t="s">
        <v>304</v>
      </c>
      <c r="B226" s="2947" t="s">
        <v>3083</v>
      </c>
      <c r="C226" s="2947"/>
      <c r="D226" s="2947"/>
      <c r="E226" s="2947"/>
      <c r="F226" s="2947">
        <v>1700</v>
      </c>
      <c r="G226" s="2960"/>
    </row>
    <row r="227" spans="1:7" s="2781" customFormat="1" ht="14.25" customHeight="1">
      <c r="A227" s="2947" t="s">
        <v>304</v>
      </c>
      <c r="B227" s="2947" t="s">
        <v>3084</v>
      </c>
      <c r="C227" s="2947"/>
      <c r="D227" s="2947"/>
      <c r="E227" s="2947"/>
      <c r="F227" s="2947">
        <v>1520</v>
      </c>
      <c r="G227" s="2960"/>
    </row>
    <row r="228" spans="1:7" s="2781" customFormat="1" ht="14.25" customHeight="1">
      <c r="A228" s="2947" t="s">
        <v>304</v>
      </c>
      <c r="B228" s="2947" t="s">
        <v>3085</v>
      </c>
      <c r="C228" s="2947"/>
      <c r="D228" s="2947"/>
      <c r="E228" s="2947"/>
      <c r="F228" s="2947">
        <v>1520</v>
      </c>
      <c r="G228" s="2960"/>
    </row>
    <row r="229" spans="1:7" s="2781" customFormat="1" ht="14.25" customHeight="1">
      <c r="A229" s="2947" t="s">
        <v>304</v>
      </c>
      <c r="B229" s="2947" t="s">
        <v>3002</v>
      </c>
      <c r="C229" s="2947"/>
      <c r="D229" s="2947"/>
      <c r="E229" s="2947"/>
      <c r="F229" s="2947">
        <v>1520</v>
      </c>
      <c r="G229" s="2960"/>
    </row>
    <row r="230" spans="1:7" s="2781" customFormat="1" ht="14.25" customHeight="1">
      <c r="A230" s="2947" t="s">
        <v>304</v>
      </c>
      <c r="B230" s="2947" t="s">
        <v>3086</v>
      </c>
      <c r="C230" s="2947"/>
      <c r="D230" s="2947"/>
      <c r="E230" s="2947"/>
      <c r="F230" s="2947">
        <v>1820</v>
      </c>
      <c r="G230" s="2960"/>
    </row>
    <row r="231" spans="1:7" s="2781" customFormat="1" ht="14.25" customHeight="1">
      <c r="A231" s="2947" t="s">
        <v>304</v>
      </c>
      <c r="B231" s="2947" t="s">
        <v>3087</v>
      </c>
      <c r="C231" s="2947"/>
      <c r="D231" s="2947"/>
      <c r="E231" s="2947"/>
      <c r="F231" s="2947">
        <v>1760</v>
      </c>
      <c r="G231" s="2960"/>
    </row>
    <row r="232" spans="1:7" s="2781" customFormat="1" ht="14.25" customHeight="1">
      <c r="A232" s="2947" t="s">
        <v>304</v>
      </c>
      <c r="B232" s="2947" t="s">
        <v>3088</v>
      </c>
      <c r="C232" s="2947"/>
      <c r="D232" s="2947"/>
      <c r="E232" s="2947"/>
      <c r="F232" s="2947">
        <v>1840</v>
      </c>
      <c r="G232" s="2960"/>
    </row>
    <row r="233" spans="1:7" s="2781" customFormat="1" ht="14.25" customHeight="1" thickBot="1">
      <c r="A233" s="2961" t="s">
        <v>304</v>
      </c>
      <c r="B233" s="2954" t="s">
        <v>3019</v>
      </c>
      <c r="C233" s="2954"/>
      <c r="D233" s="2954"/>
      <c r="E233" s="2954"/>
      <c r="F233" s="2954">
        <v>1770</v>
      </c>
      <c r="G233" s="2962"/>
    </row>
    <row r="234" spans="1:7" s="2781" customFormat="1" ht="14.25" customHeight="1">
      <c r="A234" s="2952" t="s">
        <v>305</v>
      </c>
      <c r="B234" s="2943" t="s">
        <v>3089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2860</v>
      </c>
      <c r="C238" s="2947">
        <v>6920</v>
      </c>
      <c r="D238" s="2947">
        <v>6890</v>
      </c>
      <c r="E238" s="2947">
        <v>8640</v>
      </c>
      <c r="F238" s="2947">
        <v>1310</v>
      </c>
      <c r="G238" s="2947">
        <v>4230</v>
      </c>
    </row>
    <row r="239" spans="1:7" s="2781" customFormat="1" ht="14.25" customHeight="1">
      <c r="A239" s="2947" t="s">
        <v>305</v>
      </c>
      <c r="B239" s="2947" t="s">
        <v>3090</v>
      </c>
      <c r="C239" s="2947">
        <v>6780</v>
      </c>
      <c r="D239" s="2947">
        <v>6750</v>
      </c>
      <c r="E239" s="2947">
        <v>8440</v>
      </c>
      <c r="F239" s="2947">
        <v>1160</v>
      </c>
      <c r="G239" s="2947">
        <v>4140</v>
      </c>
    </row>
    <row r="240" spans="1:7" s="2781" customFormat="1" ht="14.25" customHeight="1">
      <c r="A240" s="2947" t="s">
        <v>305</v>
      </c>
      <c r="B240" s="2947" t="s">
        <v>3091</v>
      </c>
      <c r="C240" s="2947">
        <v>5420</v>
      </c>
      <c r="D240" s="2947">
        <v>5380</v>
      </c>
      <c r="E240" s="2947">
        <v>6640</v>
      </c>
      <c r="F240" s="2947">
        <v>1020</v>
      </c>
      <c r="G240" s="2947">
        <v>3300</v>
      </c>
    </row>
    <row r="241" spans="1:7" s="2781" customFormat="1" ht="14.25" customHeight="1">
      <c r="A241" s="2947" t="s">
        <v>305</v>
      </c>
      <c r="B241" s="2947" t="s">
        <v>3092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3093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3094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3095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3096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3097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2922</v>
      </c>
      <c r="C258" s="2947">
        <v>6190</v>
      </c>
      <c r="D258" s="2947">
        <v>6160</v>
      </c>
      <c r="E258" s="2947">
        <v>7680</v>
      </c>
      <c r="F258" s="2947">
        <v>1170</v>
      </c>
      <c r="G258" s="2947">
        <v>3780</v>
      </c>
    </row>
    <row r="259" spans="1:7" s="2781" customFormat="1" ht="14.25" customHeight="1">
      <c r="A259" s="2947" t="s">
        <v>305</v>
      </c>
      <c r="B259" s="2947" t="s">
        <v>3098</v>
      </c>
      <c r="C259" s="2947">
        <v>7610</v>
      </c>
      <c r="D259" s="2947">
        <v>7570</v>
      </c>
      <c r="E259" s="2947">
        <v>9350</v>
      </c>
      <c r="F259" s="2947">
        <v>1350</v>
      </c>
      <c r="G259" s="2947">
        <v>4650</v>
      </c>
    </row>
    <row r="260" spans="1:7" s="2781" customFormat="1" ht="14.25" customHeight="1">
      <c r="A260" s="2947" t="s">
        <v>305</v>
      </c>
      <c r="B260" s="2947" t="s">
        <v>3099</v>
      </c>
      <c r="C260" s="2947">
        <v>6920</v>
      </c>
      <c r="D260" s="2947">
        <v>6880</v>
      </c>
      <c r="E260" s="2947">
        <v>8380</v>
      </c>
      <c r="F260" s="2947">
        <v>1160</v>
      </c>
      <c r="G260" s="2947">
        <v>4220</v>
      </c>
    </row>
    <row r="261" spans="1:7" s="2781" customFormat="1" ht="14.25" customHeight="1">
      <c r="A261" s="2947" t="s">
        <v>305</v>
      </c>
      <c r="B261" s="2947" t="s">
        <v>3100</v>
      </c>
      <c r="C261" s="2947">
        <v>6850</v>
      </c>
      <c r="D261" s="2947">
        <v>6810</v>
      </c>
      <c r="E261" s="2947">
        <v>8290</v>
      </c>
      <c r="F261" s="2947">
        <v>1130</v>
      </c>
      <c r="G261" s="2947">
        <v>4180</v>
      </c>
    </row>
    <row r="262" spans="1:7" s="2781" customFormat="1" ht="14.25" customHeight="1">
      <c r="A262" s="2947" t="s">
        <v>305</v>
      </c>
      <c r="B262" s="2947" t="s">
        <v>3101</v>
      </c>
      <c r="C262" s="2947">
        <v>5860</v>
      </c>
      <c r="D262" s="2947">
        <v>5820</v>
      </c>
      <c r="E262" s="2947">
        <v>7640</v>
      </c>
      <c r="F262" s="2947">
        <v>1070</v>
      </c>
      <c r="G262" s="2947">
        <v>3570</v>
      </c>
    </row>
    <row r="263" spans="1:7" s="2781" customFormat="1" ht="14.25" customHeight="1">
      <c r="A263" s="2947" t="s">
        <v>305</v>
      </c>
      <c r="B263" s="2947" t="s">
        <v>3102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3103</v>
      </c>
      <c r="C265" s="2947"/>
      <c r="D265" s="2947"/>
      <c r="E265" s="2947"/>
      <c r="F265" s="2947">
        <v>1500</v>
      </c>
      <c r="G265" s="2947"/>
    </row>
    <row r="266" spans="1:7" s="2781" customFormat="1" ht="14.25" customHeight="1">
      <c r="A266" s="2947" t="s">
        <v>305</v>
      </c>
      <c r="B266" s="2947" t="s">
        <v>3104</v>
      </c>
      <c r="C266" s="2947"/>
      <c r="D266" s="2947"/>
      <c r="E266" s="2947"/>
      <c r="F266" s="2947">
        <v>1500</v>
      </c>
      <c r="G266" s="2947"/>
    </row>
    <row r="267" spans="1:7" s="2781" customFormat="1" ht="14.25" customHeight="1">
      <c r="A267" s="2947" t="s">
        <v>305</v>
      </c>
      <c r="B267" s="2947" t="s">
        <v>3105</v>
      </c>
      <c r="C267" s="2947"/>
      <c r="D267" s="2947"/>
      <c r="E267" s="2947"/>
      <c r="F267" s="2947">
        <v>1500</v>
      </c>
      <c r="G267" s="2947"/>
    </row>
    <row r="268" spans="1:7" s="2781" customFormat="1" ht="14.25" customHeight="1">
      <c r="A268" s="2947" t="s">
        <v>305</v>
      </c>
      <c r="B268" s="2947" t="s">
        <v>3106</v>
      </c>
      <c r="C268" s="2947"/>
      <c r="D268" s="2947"/>
      <c r="E268" s="2947"/>
      <c r="F268" s="2947">
        <v>1290</v>
      </c>
      <c r="G268" s="2947"/>
    </row>
    <row r="269" spans="1:7" s="2781" customFormat="1" ht="14.25" customHeight="1">
      <c r="A269" s="2947" t="s">
        <v>305</v>
      </c>
      <c r="B269" s="2947" t="s">
        <v>3107</v>
      </c>
      <c r="C269" s="2947"/>
      <c r="D269" s="2947"/>
      <c r="E269" s="2947"/>
      <c r="F269" s="2947">
        <v>1150</v>
      </c>
      <c r="G269" s="2947"/>
    </row>
    <row r="270" spans="1:7" s="2781" customFormat="1" ht="14.25" customHeight="1">
      <c r="A270" s="2947" t="s">
        <v>305</v>
      </c>
      <c r="B270" s="2947" t="s">
        <v>3108</v>
      </c>
      <c r="C270" s="2947"/>
      <c r="D270" s="2947"/>
      <c r="E270" s="2947"/>
      <c r="F270" s="2947">
        <v>1380</v>
      </c>
      <c r="G270" s="2947"/>
    </row>
    <row r="271" spans="1:7" s="2781" customFormat="1" ht="14.25" customHeight="1">
      <c r="A271" s="2947" t="s">
        <v>305</v>
      </c>
      <c r="B271" s="2947" t="s">
        <v>3109</v>
      </c>
      <c r="C271" s="2947"/>
      <c r="D271" s="2947"/>
      <c r="E271" s="2947"/>
      <c r="F271" s="2947">
        <v>1460</v>
      </c>
      <c r="G271" s="2947"/>
    </row>
    <row r="272" spans="1:7" s="2781" customFormat="1" ht="14.25" customHeight="1">
      <c r="A272" s="2947" t="s">
        <v>305</v>
      </c>
      <c r="B272" s="2947" t="s">
        <v>3110</v>
      </c>
      <c r="C272" s="2947"/>
      <c r="D272" s="2947"/>
      <c r="E272" s="2947"/>
      <c r="F272" s="2947">
        <v>1460</v>
      </c>
      <c r="G272" s="2947"/>
    </row>
    <row r="273" spans="1:7" s="2781" customFormat="1" ht="14.25" customHeight="1">
      <c r="A273" s="2947" t="s">
        <v>305</v>
      </c>
      <c r="B273" s="2947" t="s">
        <v>3003</v>
      </c>
      <c r="C273" s="2947"/>
      <c r="D273" s="2947"/>
      <c r="E273" s="2947"/>
      <c r="F273" s="2947">
        <v>1490</v>
      </c>
      <c r="G273" s="2947"/>
    </row>
    <row r="274" spans="1:7" s="2781" customFormat="1" ht="14.25" customHeight="1">
      <c r="A274" s="2947" t="s">
        <v>305</v>
      </c>
      <c r="B274" s="2947" t="s">
        <v>3111</v>
      </c>
      <c r="C274" s="2947"/>
      <c r="D274" s="2947"/>
      <c r="E274" s="2947"/>
      <c r="F274" s="2947">
        <v>1490</v>
      </c>
      <c r="G274" s="2947"/>
    </row>
    <row r="275" spans="1:7" s="2781" customFormat="1" ht="14.25" customHeight="1">
      <c r="A275" s="2947" t="s">
        <v>305</v>
      </c>
      <c r="B275" s="2947" t="s">
        <v>3112</v>
      </c>
      <c r="C275" s="2947"/>
      <c r="D275" s="2947"/>
      <c r="E275" s="2947"/>
      <c r="F275" s="2947">
        <v>1220</v>
      </c>
      <c r="G275" s="2947"/>
    </row>
    <row r="276" spans="1:7" s="2781" customFormat="1" ht="14.25" customHeight="1" thickBot="1">
      <c r="A276" s="2955" t="s">
        <v>305</v>
      </c>
      <c r="B276" s="2957" t="s">
        <v>3113</v>
      </c>
      <c r="C276" s="2958"/>
      <c r="D276" s="2958"/>
      <c r="E276" s="2958"/>
      <c r="F276" s="2958">
        <v>1380</v>
      </c>
      <c r="G276" s="2958"/>
    </row>
    <row r="277" spans="1:7" s="2781" customFormat="1" ht="14.25" customHeight="1">
      <c r="A277" s="2952" t="s">
        <v>306</v>
      </c>
      <c r="B277" s="2943" t="s">
        <v>3114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3115</v>
      </c>
      <c r="C279" s="2947">
        <v>4760</v>
      </c>
      <c r="D279" s="2947">
        <v>4720</v>
      </c>
      <c r="E279" s="2947">
        <v>5540</v>
      </c>
      <c r="F279" s="2947">
        <v>810</v>
      </c>
      <c r="G279" s="2960">
        <v>2850</v>
      </c>
    </row>
    <row r="280" spans="1:7" s="2781" customFormat="1" ht="14.25" customHeight="1">
      <c r="A280" s="2947" t="s">
        <v>306</v>
      </c>
      <c r="B280" s="2947" t="s">
        <v>3116</v>
      </c>
      <c r="C280" s="2947">
        <v>4010</v>
      </c>
      <c r="D280" s="2947">
        <v>3950</v>
      </c>
      <c r="E280" s="2947">
        <v>4710</v>
      </c>
      <c r="F280" s="2947">
        <v>800</v>
      </c>
      <c r="G280" s="2960">
        <v>2390</v>
      </c>
    </row>
    <row r="281" spans="1:7" s="2781" customFormat="1" ht="14.25" customHeight="1">
      <c r="A281" s="2947" t="s">
        <v>306</v>
      </c>
      <c r="B281" s="2947" t="s">
        <v>3117</v>
      </c>
      <c r="C281" s="2947">
        <v>4480</v>
      </c>
      <c r="D281" s="2947">
        <v>4420</v>
      </c>
      <c r="E281" s="2947">
        <v>5230</v>
      </c>
      <c r="F281" s="2947">
        <v>870</v>
      </c>
      <c r="G281" s="2960">
        <v>2660</v>
      </c>
    </row>
    <row r="282" spans="1:7" s="2781" customFormat="1" ht="14.25" customHeight="1">
      <c r="A282" s="2947" t="s">
        <v>306</v>
      </c>
      <c r="B282" s="2947" t="s">
        <v>3118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3119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3120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2895</v>
      </c>
      <c r="C293" s="2947">
        <v>5320</v>
      </c>
      <c r="D293" s="2947">
        <v>5270</v>
      </c>
      <c r="E293" s="2947">
        <v>6160</v>
      </c>
      <c r="F293" s="2947">
        <v>990</v>
      </c>
      <c r="G293" s="2960">
        <v>3170</v>
      </c>
    </row>
    <row r="294" spans="1:7" s="2781" customFormat="1" ht="14.25" customHeight="1">
      <c r="A294" s="2947" t="s">
        <v>306</v>
      </c>
      <c r="B294" s="2947" t="s">
        <v>3121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2914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3122</v>
      </c>
      <c r="C302" s="2947">
        <v>5520</v>
      </c>
      <c r="D302" s="2947">
        <v>5470</v>
      </c>
      <c r="E302" s="2947">
        <v>6410</v>
      </c>
      <c r="F302" s="2947">
        <v>950</v>
      </c>
      <c r="G302" s="2960">
        <v>3300</v>
      </c>
    </row>
    <row r="303" spans="1:7" s="2781" customFormat="1" ht="14.25" customHeight="1">
      <c r="A303" s="2947" t="s">
        <v>306</v>
      </c>
      <c r="B303" s="2947" t="s">
        <v>2934</v>
      </c>
      <c r="C303" s="2947">
        <v>5630</v>
      </c>
      <c r="D303" s="2947">
        <v>5590</v>
      </c>
      <c r="E303" s="2947">
        <v>6550</v>
      </c>
      <c r="F303" s="2947">
        <v>1010</v>
      </c>
      <c r="G303" s="2960">
        <v>3370</v>
      </c>
    </row>
    <row r="304" spans="1:7" s="2781" customFormat="1" ht="14.25" customHeight="1">
      <c r="A304" s="2947" t="s">
        <v>306</v>
      </c>
      <c r="B304" s="2947" t="s">
        <v>2941</v>
      </c>
      <c r="C304" s="2947">
        <v>5680</v>
      </c>
      <c r="D304" s="2947">
        <v>5620</v>
      </c>
      <c r="E304" s="2947">
        <v>6620</v>
      </c>
      <c r="F304" s="2947">
        <v>1050</v>
      </c>
      <c r="G304" s="2960">
        <v>3390</v>
      </c>
    </row>
    <row r="305" spans="1:7" s="2781" customFormat="1" ht="14.25" customHeight="1">
      <c r="A305" s="2947" t="s">
        <v>306</v>
      </c>
      <c r="B305" s="2947" t="s">
        <v>2947</v>
      </c>
      <c r="C305" s="2947">
        <v>5590</v>
      </c>
      <c r="D305" s="2947">
        <v>5530</v>
      </c>
      <c r="E305" s="2947">
        <v>6460</v>
      </c>
      <c r="F305" s="2947">
        <v>900</v>
      </c>
      <c r="G305" s="2960">
        <v>3340</v>
      </c>
    </row>
    <row r="306" spans="1:7" s="2781" customFormat="1" ht="14.25" customHeight="1">
      <c r="A306" s="2947" t="s">
        <v>306</v>
      </c>
      <c r="B306" s="2947" t="s">
        <v>3123</v>
      </c>
      <c r="C306" s="2947">
        <v>5560</v>
      </c>
      <c r="D306" s="2947">
        <v>5510</v>
      </c>
      <c r="E306" s="2947">
        <v>6440</v>
      </c>
      <c r="F306" s="2947">
        <v>900</v>
      </c>
      <c r="G306" s="2960">
        <v>3320</v>
      </c>
    </row>
    <row r="307" spans="1:7" s="2781" customFormat="1" ht="14.25" customHeight="1">
      <c r="A307" s="2947" t="s">
        <v>306</v>
      </c>
      <c r="B307" s="2947" t="s">
        <v>2959</v>
      </c>
      <c r="C307" s="2947">
        <v>5650</v>
      </c>
      <c r="D307" s="2947">
        <v>5600</v>
      </c>
      <c r="E307" s="2947">
        <v>6590</v>
      </c>
      <c r="F307" s="2947">
        <v>930</v>
      </c>
      <c r="G307" s="2960">
        <v>3380</v>
      </c>
    </row>
    <row r="308" spans="1:7" s="2781" customFormat="1" ht="14.25" customHeight="1">
      <c r="A308" s="2947" t="s">
        <v>306</v>
      </c>
      <c r="B308" s="2947" t="s">
        <v>3124</v>
      </c>
      <c r="C308" s="2947">
        <v>5620</v>
      </c>
      <c r="D308" s="2947">
        <v>5580</v>
      </c>
      <c r="E308" s="2947">
        <v>6540</v>
      </c>
      <c r="F308" s="2947">
        <v>910</v>
      </c>
      <c r="G308" s="2960">
        <v>3370</v>
      </c>
    </row>
    <row r="309" spans="1:7" s="2781" customFormat="1" ht="14.25" customHeight="1">
      <c r="A309" s="2947" t="s">
        <v>306</v>
      </c>
      <c r="B309" s="2947" t="s">
        <v>3125</v>
      </c>
      <c r="C309" s="2947">
        <v>5060</v>
      </c>
      <c r="D309" s="2947">
        <v>5020</v>
      </c>
      <c r="E309" s="2947">
        <v>6370</v>
      </c>
      <c r="F309" s="2947">
        <v>800</v>
      </c>
      <c r="G309" s="2960">
        <v>3020</v>
      </c>
    </row>
    <row r="310" spans="1:7" s="2781" customFormat="1" ht="14.25" customHeight="1">
      <c r="A310" s="2947" t="s">
        <v>306</v>
      </c>
      <c r="B310" s="2947" t="s">
        <v>2974</v>
      </c>
      <c r="C310" s="2947">
        <v>5150</v>
      </c>
      <c r="D310" s="2947">
        <v>5110</v>
      </c>
      <c r="E310" s="2947">
        <v>6500</v>
      </c>
      <c r="F310" s="2947">
        <v>880</v>
      </c>
      <c r="G310" s="2960">
        <v>3080</v>
      </c>
    </row>
    <row r="311" spans="1:7" s="2781" customFormat="1" ht="14.25" customHeight="1">
      <c r="A311" s="2947" t="s">
        <v>306</v>
      </c>
      <c r="B311" s="2947" t="s">
        <v>3126</v>
      </c>
      <c r="C311" s="2947">
        <v>4750</v>
      </c>
      <c r="D311" s="2947">
        <v>4710</v>
      </c>
      <c r="E311" s="2947">
        <v>5510</v>
      </c>
      <c r="F311" s="2947">
        <v>880</v>
      </c>
      <c r="G311" s="2960">
        <v>2840</v>
      </c>
    </row>
    <row r="312" spans="1:7" s="2781" customFormat="1" ht="14.25" customHeight="1">
      <c r="A312" s="2947" t="s">
        <v>306</v>
      </c>
      <c r="B312" s="2947" t="s">
        <v>2984</v>
      </c>
      <c r="C312" s="2947">
        <v>4690</v>
      </c>
      <c r="D312" s="2947">
        <v>4640</v>
      </c>
      <c r="E312" s="2947">
        <v>5420</v>
      </c>
      <c r="F312" s="2947">
        <v>800</v>
      </c>
      <c r="G312" s="2960">
        <v>2800</v>
      </c>
    </row>
    <row r="313" spans="1:7" s="2781" customFormat="1" ht="14.25" customHeight="1">
      <c r="A313" s="2947" t="s">
        <v>306</v>
      </c>
      <c r="B313" s="2947" t="s">
        <v>2989</v>
      </c>
      <c r="C313" s="2947">
        <v>4810</v>
      </c>
      <c r="D313" s="2947">
        <v>4760</v>
      </c>
      <c r="E313" s="2947">
        <v>5550</v>
      </c>
      <c r="F313" s="2947">
        <v>920</v>
      </c>
      <c r="G313" s="2960">
        <v>2870</v>
      </c>
    </row>
    <row r="314" spans="1:7" s="2781" customFormat="1" ht="14.25" customHeight="1">
      <c r="A314" s="2947" t="s">
        <v>306</v>
      </c>
      <c r="B314" s="2947" t="s">
        <v>3127</v>
      </c>
      <c r="C314" s="2947"/>
      <c r="D314" s="2947"/>
      <c r="E314" s="2947"/>
      <c r="F314" s="2947">
        <v>1020</v>
      </c>
      <c r="G314" s="2960"/>
    </row>
    <row r="315" spans="1:7" s="2781" customFormat="1" ht="14.25" customHeight="1">
      <c r="A315" s="2947" t="s">
        <v>306</v>
      </c>
      <c r="B315" s="2947" t="s">
        <v>3128</v>
      </c>
      <c r="C315" s="2947"/>
      <c r="D315" s="2947"/>
      <c r="E315" s="2947"/>
      <c r="F315" s="2947">
        <v>1050</v>
      </c>
      <c r="G315" s="2960"/>
    </row>
    <row r="316" spans="1:7" s="2781" customFormat="1" ht="14.25" customHeight="1">
      <c r="A316" s="2947" t="s">
        <v>306</v>
      </c>
      <c r="B316" s="2947" t="s">
        <v>3004</v>
      </c>
      <c r="C316" s="2947"/>
      <c r="D316" s="2947"/>
      <c r="E316" s="2947"/>
      <c r="F316" s="2947">
        <v>900</v>
      </c>
      <c r="G316" s="2960"/>
    </row>
    <row r="317" spans="1:7" s="2781" customFormat="1" ht="14.25" customHeight="1">
      <c r="A317" s="2947" t="s">
        <v>306</v>
      </c>
      <c r="B317" s="2947" t="s">
        <v>3129</v>
      </c>
      <c r="C317" s="2947"/>
      <c r="D317" s="2947"/>
      <c r="E317" s="2947"/>
      <c r="F317" s="2947">
        <v>920</v>
      </c>
      <c r="G317" s="2960"/>
    </row>
    <row r="318" spans="1:7" s="2781" customFormat="1" ht="14.25" customHeight="1">
      <c r="A318" s="2947" t="s">
        <v>306</v>
      </c>
      <c r="B318" s="2947" t="s">
        <v>3130</v>
      </c>
      <c r="C318" s="2947"/>
      <c r="D318" s="2947"/>
      <c r="E318" s="2947"/>
      <c r="F318" s="2947">
        <v>1080</v>
      </c>
      <c r="G318" s="2960"/>
    </row>
    <row r="319" spans="1:7" s="2781" customFormat="1" ht="14.25" customHeight="1">
      <c r="A319" s="2947" t="s">
        <v>306</v>
      </c>
      <c r="B319" s="2947" t="s">
        <v>3017</v>
      </c>
      <c r="C319" s="2947"/>
      <c r="D319" s="2947"/>
      <c r="E319" s="2947"/>
      <c r="F319" s="2947">
        <v>1020</v>
      </c>
      <c r="G319" s="2960"/>
    </row>
    <row r="320" spans="1:7" s="2781" customFormat="1" ht="14.25" customHeight="1">
      <c r="A320" s="2947" t="s">
        <v>306</v>
      </c>
      <c r="B320" s="2947" t="s">
        <v>3020</v>
      </c>
      <c r="C320" s="2947"/>
      <c r="D320" s="2947"/>
      <c r="E320" s="2947"/>
      <c r="F320" s="2947">
        <v>1050</v>
      </c>
      <c r="G320" s="2960"/>
    </row>
    <row r="321" spans="1:7" s="2781" customFormat="1" ht="14.25" customHeight="1">
      <c r="A321" s="2947" t="s">
        <v>306</v>
      </c>
      <c r="B321" s="2947" t="s">
        <v>3022</v>
      </c>
      <c r="C321" s="2947"/>
      <c r="D321" s="2947"/>
      <c r="E321" s="2947"/>
      <c r="F321" s="2947">
        <v>960</v>
      </c>
      <c r="G321" s="2960"/>
    </row>
    <row r="322" spans="1:7" s="2781" customFormat="1" ht="14.25" customHeight="1">
      <c r="A322" s="2947" t="s">
        <v>306</v>
      </c>
      <c r="B322" s="2947" t="s">
        <v>3024</v>
      </c>
      <c r="C322" s="2947"/>
      <c r="D322" s="2947"/>
      <c r="E322" s="2947"/>
      <c r="F322" s="2947">
        <v>960</v>
      </c>
      <c r="G322" s="2960"/>
    </row>
    <row r="323" spans="1:7" s="2781" customFormat="1" ht="14.25" customHeight="1">
      <c r="A323" s="2947" t="s">
        <v>306</v>
      </c>
      <c r="B323" s="2947" t="s">
        <v>3026</v>
      </c>
      <c r="C323" s="2947"/>
      <c r="D323" s="2947"/>
      <c r="E323" s="2947"/>
      <c r="F323" s="2947">
        <v>880</v>
      </c>
      <c r="G323" s="2960"/>
    </row>
    <row r="324" spans="1:7" s="2781" customFormat="1" ht="14.25" customHeight="1">
      <c r="A324" s="2947" t="s">
        <v>306</v>
      </c>
      <c r="B324" s="2947" t="s">
        <v>3028</v>
      </c>
      <c r="C324" s="2947"/>
      <c r="D324" s="2947"/>
      <c r="E324" s="2947"/>
      <c r="F324" s="2947">
        <v>930</v>
      </c>
      <c r="G324" s="2960"/>
    </row>
    <row r="325" spans="1:7" s="2781" customFormat="1" ht="14.25" customHeight="1">
      <c r="A325" s="2947" t="s">
        <v>306</v>
      </c>
      <c r="B325" s="2948" t="s">
        <v>3030</v>
      </c>
      <c r="C325" s="2947"/>
      <c r="D325" s="2947"/>
      <c r="E325" s="2947"/>
      <c r="F325" s="2947">
        <v>900</v>
      </c>
      <c r="G325" s="2960"/>
    </row>
    <row r="326" spans="1:7" s="2781" customFormat="1" ht="14.25" customHeight="1" thickBot="1">
      <c r="A326" s="2961" t="s">
        <v>306</v>
      </c>
      <c r="B326" s="2954" t="s">
        <v>3032</v>
      </c>
      <c r="C326" s="2954"/>
      <c r="D326" s="2954"/>
      <c r="E326" s="2954"/>
      <c r="F326" s="2954">
        <v>790</v>
      </c>
      <c r="G326" s="2962"/>
    </row>
    <row r="327" spans="1:7" s="2781" customFormat="1" ht="14.25" customHeight="1">
      <c r="A327" s="2952" t="s">
        <v>307</v>
      </c>
      <c r="B327" s="2943" t="s">
        <v>3131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3132</v>
      </c>
      <c r="C329" s="2947">
        <v>2730</v>
      </c>
      <c r="D329" s="2947">
        <v>2690</v>
      </c>
      <c r="E329" s="2947">
        <v>3100</v>
      </c>
      <c r="F329" s="2947">
        <v>660</v>
      </c>
      <c r="G329" s="2947">
        <v>1610</v>
      </c>
    </row>
    <row r="330" spans="1:7" s="2781" customFormat="1" ht="14.25" customHeight="1">
      <c r="A330" s="2947" t="s">
        <v>307</v>
      </c>
      <c r="B330" s="2947" t="s">
        <v>3133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2866</v>
      </c>
      <c r="C332" s="2947">
        <v>3520</v>
      </c>
      <c r="D332" s="2947">
        <v>3480</v>
      </c>
      <c r="E332" s="2947">
        <v>3830</v>
      </c>
      <c r="F332" s="2947">
        <v>720</v>
      </c>
      <c r="G332" s="2947">
        <v>2090</v>
      </c>
    </row>
    <row r="333" spans="1:7" s="2781" customFormat="1" ht="14.25" customHeight="1">
      <c r="A333" s="2947" t="s">
        <v>307</v>
      </c>
      <c r="B333" s="2947" t="s">
        <v>3134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2876</v>
      </c>
      <c r="C336" s="2947">
        <v>3570</v>
      </c>
      <c r="D336" s="2947">
        <v>3530</v>
      </c>
      <c r="E336" s="2947">
        <v>3880</v>
      </c>
      <c r="F336" s="2947">
        <v>770</v>
      </c>
      <c r="G336" s="2947">
        <v>2110</v>
      </c>
    </row>
    <row r="337" spans="1:10" s="2781" customFormat="1" ht="14.25" customHeight="1">
      <c r="A337" s="2947" t="s">
        <v>307</v>
      </c>
      <c r="B337" s="2947" t="s">
        <v>3135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3136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3137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2901</v>
      </c>
      <c r="C345" s="2947">
        <v>3190</v>
      </c>
      <c r="D345" s="2947">
        <v>3140</v>
      </c>
      <c r="E345" s="2947">
        <v>3450</v>
      </c>
      <c r="F345" s="2947">
        <v>720</v>
      </c>
      <c r="G345" s="2947">
        <v>1880</v>
      </c>
      <c r="J345" s="2781"/>
    </row>
    <row r="346" spans="1:10">
      <c r="A346" s="2947" t="s">
        <v>307</v>
      </c>
      <c r="B346" s="2947" t="s">
        <v>3138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2910</v>
      </c>
      <c r="C348" s="2947">
        <v>4000</v>
      </c>
      <c r="D348" s="2947">
        <v>3950</v>
      </c>
      <c r="E348" s="2947">
        <v>4430</v>
      </c>
      <c r="F348" s="2947">
        <v>760</v>
      </c>
      <c r="G348" s="2947">
        <v>2360</v>
      </c>
      <c r="J348" s="2781"/>
    </row>
    <row r="349" spans="1:10">
      <c r="A349" s="2947" t="s">
        <v>307</v>
      </c>
      <c r="B349" s="2947" t="s">
        <v>2915</v>
      </c>
      <c r="C349" s="2947">
        <v>3820</v>
      </c>
      <c r="D349" s="2947">
        <v>3780</v>
      </c>
      <c r="E349" s="2947">
        <v>4170</v>
      </c>
      <c r="F349" s="2947">
        <v>710</v>
      </c>
      <c r="G349" s="2947">
        <v>2260</v>
      </c>
      <c r="J349" s="2781"/>
    </row>
    <row r="350" spans="1:10">
      <c r="A350" s="2947" t="s">
        <v>307</v>
      </c>
      <c r="B350" s="2947" t="s">
        <v>3139</v>
      </c>
      <c r="C350" s="2947">
        <v>3760</v>
      </c>
      <c r="D350" s="2947">
        <v>3730</v>
      </c>
      <c r="E350" s="2947">
        <v>4100</v>
      </c>
      <c r="F350" s="2947">
        <v>800</v>
      </c>
      <c r="G350" s="2947">
        <v>2230</v>
      </c>
      <c r="J350" s="2781"/>
    </row>
    <row r="351" spans="1:10">
      <c r="A351" s="2947" t="s">
        <v>307</v>
      </c>
      <c r="B351" s="2947" t="s">
        <v>2923</v>
      </c>
      <c r="C351" s="2947">
        <v>3610</v>
      </c>
      <c r="D351" s="2947">
        <v>3580</v>
      </c>
      <c r="E351" s="2947">
        <v>3930</v>
      </c>
      <c r="F351" s="2947">
        <v>700</v>
      </c>
      <c r="G351" s="2947">
        <v>2140</v>
      </c>
      <c r="J351" s="2781"/>
    </row>
    <row r="352" spans="1:10">
      <c r="A352" s="2947" t="s">
        <v>307</v>
      </c>
      <c r="B352" s="2947" t="s">
        <v>2928</v>
      </c>
      <c r="C352" s="2947">
        <v>3670</v>
      </c>
      <c r="D352" s="2947">
        <v>3630</v>
      </c>
      <c r="E352" s="2947">
        <v>4000</v>
      </c>
      <c r="F352" s="2947">
        <v>750</v>
      </c>
      <c r="G352" s="2947">
        <v>2180</v>
      </c>
    </row>
    <row r="353" spans="1:7" s="2782" customFormat="1">
      <c r="A353" s="2947" t="s">
        <v>307</v>
      </c>
      <c r="B353" s="2947" t="s">
        <v>3140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2948</v>
      </c>
      <c r="C355" s="2947">
        <v>3650</v>
      </c>
      <c r="D355" s="2947">
        <v>3610</v>
      </c>
      <c r="E355" s="2947">
        <v>4200</v>
      </c>
      <c r="F355" s="2947">
        <v>640</v>
      </c>
      <c r="G355" s="2947">
        <v>2160</v>
      </c>
    </row>
    <row r="356" spans="1:7" s="2782" customFormat="1">
      <c r="A356" s="2947" t="s">
        <v>307</v>
      </c>
      <c r="B356" s="2947" t="s">
        <v>2955</v>
      </c>
      <c r="C356" s="2947">
        <v>3260</v>
      </c>
      <c r="D356" s="2947">
        <v>3230</v>
      </c>
      <c r="E356" s="2947">
        <v>3740</v>
      </c>
      <c r="F356" s="2947">
        <v>600</v>
      </c>
      <c r="G356" s="2947">
        <v>1930</v>
      </c>
    </row>
    <row r="357" spans="1:7" s="2782" customFormat="1" ht="12" thickBot="1">
      <c r="A357" s="2955" t="s">
        <v>307</v>
      </c>
      <c r="B357" s="2958" t="s">
        <v>3141</v>
      </c>
      <c r="C357" s="2958">
        <v>3690</v>
      </c>
      <c r="D357" s="2958">
        <v>3650</v>
      </c>
      <c r="E357" s="2958">
        <v>4020</v>
      </c>
      <c r="F357" s="2958">
        <v>700</v>
      </c>
      <c r="G357" s="2958">
        <v>2190</v>
      </c>
    </row>
    <row r="358" spans="1:7" s="2782" customFormat="1">
      <c r="A358" s="2952" t="s">
        <v>3142</v>
      </c>
      <c r="B358" s="2943" t="s">
        <v>3143</v>
      </c>
      <c r="C358" s="2943">
        <v>2080</v>
      </c>
      <c r="D358" s="2943">
        <v>2040</v>
      </c>
      <c r="E358" s="2943">
        <v>2010</v>
      </c>
      <c r="F358" s="2943">
        <v>530</v>
      </c>
      <c r="G358" s="2959">
        <v>1230</v>
      </c>
    </row>
    <row r="359" spans="1:7" s="2782" customFormat="1">
      <c r="A359" s="2947" t="s">
        <v>3142</v>
      </c>
      <c r="B359" s="2947" t="s">
        <v>3144</v>
      </c>
      <c r="C359" s="2947">
        <v>1850</v>
      </c>
      <c r="D359" s="2947">
        <v>1820</v>
      </c>
      <c r="E359" s="2947">
        <v>1780</v>
      </c>
      <c r="F359" s="2947">
        <v>520</v>
      </c>
      <c r="G359" s="2960">
        <v>1100</v>
      </c>
    </row>
    <row r="360" spans="1:7" s="2782" customFormat="1">
      <c r="A360" s="2947" t="s">
        <v>3142</v>
      </c>
      <c r="B360" s="2947" t="s">
        <v>3145</v>
      </c>
      <c r="C360" s="2947">
        <v>2020</v>
      </c>
      <c r="D360" s="2947">
        <v>1990</v>
      </c>
      <c r="E360" s="2947">
        <v>1950</v>
      </c>
      <c r="F360" s="2947">
        <v>500</v>
      </c>
      <c r="G360" s="2960">
        <v>1200</v>
      </c>
    </row>
    <row r="361" spans="1:7" s="2782" customFormat="1">
      <c r="A361" s="2947" t="s">
        <v>3142</v>
      </c>
      <c r="B361" s="2947" t="s">
        <v>153</v>
      </c>
      <c r="C361" s="2947">
        <v>2260</v>
      </c>
      <c r="D361" s="2947">
        <v>2220</v>
      </c>
      <c r="E361" s="2947">
        <v>2180</v>
      </c>
      <c r="F361" s="2947">
        <v>580</v>
      </c>
      <c r="G361" s="2960">
        <v>1340</v>
      </c>
    </row>
    <row r="362" spans="1:7" s="2782" customFormat="1">
      <c r="A362" s="2947" t="s">
        <v>3142</v>
      </c>
      <c r="B362" s="2947" t="s">
        <v>3146</v>
      </c>
      <c r="C362" s="2947">
        <v>2650</v>
      </c>
      <c r="D362" s="2947">
        <v>2610</v>
      </c>
      <c r="E362" s="2947">
        <v>2570</v>
      </c>
      <c r="F362" s="2947">
        <v>630</v>
      </c>
      <c r="G362" s="2960">
        <v>1570</v>
      </c>
    </row>
    <row r="363" spans="1:7" s="2782" customFormat="1">
      <c r="A363" s="2947" t="s">
        <v>3142</v>
      </c>
      <c r="B363" s="2947" t="s">
        <v>2867</v>
      </c>
      <c r="C363" s="2947">
        <v>2390</v>
      </c>
      <c r="D363" s="2947">
        <v>2360</v>
      </c>
      <c r="E363" s="2947">
        <v>2320</v>
      </c>
      <c r="F363" s="2947">
        <v>600</v>
      </c>
      <c r="G363" s="2960">
        <v>1420</v>
      </c>
    </row>
    <row r="364" spans="1:7" s="2782" customFormat="1">
      <c r="A364" s="2947" t="s">
        <v>3142</v>
      </c>
      <c r="B364" s="2947" t="s">
        <v>3147</v>
      </c>
      <c r="C364" s="2947">
        <v>2050</v>
      </c>
      <c r="D364" s="2947">
        <v>2030</v>
      </c>
      <c r="E364" s="2947">
        <v>1990</v>
      </c>
      <c r="F364" s="2947">
        <v>550</v>
      </c>
      <c r="G364" s="2960">
        <v>1220</v>
      </c>
    </row>
    <row r="365" spans="1:7" s="2782" customFormat="1">
      <c r="A365" s="2947" t="s">
        <v>3142</v>
      </c>
      <c r="B365" s="2947" t="s">
        <v>200</v>
      </c>
      <c r="C365" s="2947">
        <v>2140</v>
      </c>
      <c r="D365" s="2947">
        <v>2100</v>
      </c>
      <c r="E365" s="2947">
        <v>2060</v>
      </c>
      <c r="F365" s="2947">
        <v>540</v>
      </c>
      <c r="G365" s="2960">
        <v>1270</v>
      </c>
    </row>
    <row r="366" spans="1:7" s="2782" customFormat="1">
      <c r="A366" s="2947" t="s">
        <v>3142</v>
      </c>
      <c r="B366" s="2947" t="s">
        <v>2874</v>
      </c>
      <c r="C366" s="2947">
        <v>2410</v>
      </c>
      <c r="D366" s="2947">
        <v>2370</v>
      </c>
      <c r="E366" s="2947">
        <v>2330</v>
      </c>
      <c r="F366" s="2947">
        <v>570</v>
      </c>
      <c r="G366" s="2960">
        <v>1440</v>
      </c>
    </row>
    <row r="367" spans="1:7" s="2782" customFormat="1">
      <c r="A367" s="2947" t="s">
        <v>3142</v>
      </c>
      <c r="B367" s="2947" t="s">
        <v>3148</v>
      </c>
      <c r="C367" s="2947">
        <v>2300</v>
      </c>
      <c r="D367" s="2947">
        <v>2260</v>
      </c>
      <c r="E367" s="2947">
        <v>2220</v>
      </c>
      <c r="F367" s="2947">
        <v>560</v>
      </c>
      <c r="G367" s="2960">
        <v>1370</v>
      </c>
    </row>
    <row r="368" spans="1:7" s="2782" customFormat="1">
      <c r="A368" s="2947" t="s">
        <v>3142</v>
      </c>
      <c r="B368" s="2947" t="s">
        <v>3149</v>
      </c>
      <c r="C368" s="2947">
        <v>2430</v>
      </c>
      <c r="D368" s="2947">
        <v>2390</v>
      </c>
      <c r="E368" s="2947">
        <v>2350</v>
      </c>
      <c r="F368" s="2947">
        <v>570</v>
      </c>
      <c r="G368" s="2960">
        <v>1450</v>
      </c>
    </row>
    <row r="369" spans="1:7" s="2782" customFormat="1">
      <c r="A369" s="2947" t="s">
        <v>3142</v>
      </c>
      <c r="B369" s="2947" t="s">
        <v>214</v>
      </c>
      <c r="C369" s="2947">
        <v>2320</v>
      </c>
      <c r="D369" s="2947">
        <v>2290</v>
      </c>
      <c r="E369" s="2947">
        <v>2250</v>
      </c>
      <c r="F369" s="2947">
        <v>550</v>
      </c>
      <c r="G369" s="2960">
        <v>1380</v>
      </c>
    </row>
    <row r="370" spans="1:7" s="2782" customFormat="1">
      <c r="A370" s="2947" t="s">
        <v>3142</v>
      </c>
      <c r="B370" s="2947" t="s">
        <v>221</v>
      </c>
      <c r="C370" s="2947">
        <v>2190</v>
      </c>
      <c r="D370" s="2947">
        <v>2170</v>
      </c>
      <c r="E370" s="2947">
        <v>2130</v>
      </c>
      <c r="F370" s="2947">
        <v>530</v>
      </c>
      <c r="G370" s="2960">
        <v>1310</v>
      </c>
    </row>
    <row r="371" spans="1:7" s="2782" customFormat="1">
      <c r="A371" s="2947" t="s">
        <v>3142</v>
      </c>
      <c r="B371" s="2947" t="s">
        <v>229</v>
      </c>
      <c r="C371" s="2947">
        <v>2460</v>
      </c>
      <c r="D371" s="2947">
        <v>2420</v>
      </c>
      <c r="E371" s="2947">
        <v>2370</v>
      </c>
      <c r="F371" s="2947">
        <v>560</v>
      </c>
      <c r="G371" s="2960">
        <v>1470</v>
      </c>
    </row>
    <row r="372" spans="1:7" s="2782" customFormat="1">
      <c r="A372" s="2947" t="s">
        <v>3142</v>
      </c>
      <c r="B372" s="2947" t="s">
        <v>3150</v>
      </c>
      <c r="C372" s="2947">
        <v>2250</v>
      </c>
      <c r="D372" s="2947">
        <v>2210</v>
      </c>
      <c r="E372" s="2947">
        <v>2180</v>
      </c>
      <c r="F372" s="2947">
        <v>550</v>
      </c>
      <c r="G372" s="2960">
        <v>1340</v>
      </c>
    </row>
    <row r="373" spans="1:7" s="2782" customFormat="1">
      <c r="A373" s="2947" t="s">
        <v>3142</v>
      </c>
      <c r="B373" s="2947" t="s">
        <v>258</v>
      </c>
      <c r="C373" s="2947">
        <v>2210</v>
      </c>
      <c r="D373" s="2947">
        <v>2190</v>
      </c>
      <c r="E373" s="2947">
        <v>2150</v>
      </c>
      <c r="F373" s="2947">
        <v>530</v>
      </c>
      <c r="G373" s="2960">
        <v>1320</v>
      </c>
    </row>
    <row r="374" spans="1:7" s="2782" customFormat="1">
      <c r="A374" s="2947" t="s">
        <v>3142</v>
      </c>
      <c r="B374" s="2947" t="s">
        <v>266</v>
      </c>
      <c r="C374" s="2947">
        <v>2320</v>
      </c>
      <c r="D374" s="2947">
        <v>2280</v>
      </c>
      <c r="E374" s="2947">
        <v>2230</v>
      </c>
      <c r="F374" s="2947">
        <v>580</v>
      </c>
      <c r="G374" s="2960">
        <v>1380</v>
      </c>
    </row>
    <row r="375" spans="1:7" s="2782" customFormat="1">
      <c r="A375" s="2947" t="s">
        <v>3142</v>
      </c>
      <c r="B375" s="2947" t="s">
        <v>3151</v>
      </c>
      <c r="C375" s="2947">
        <v>2090</v>
      </c>
      <c r="D375" s="2947">
        <v>2050</v>
      </c>
      <c r="E375" s="2947">
        <v>2020</v>
      </c>
      <c r="F375" s="2947">
        <v>520</v>
      </c>
      <c r="G375" s="2960">
        <v>1240</v>
      </c>
    </row>
    <row r="376" spans="1:7" s="2782" customFormat="1">
      <c r="A376" s="2947" t="s">
        <v>3142</v>
      </c>
      <c r="B376" s="2947" t="s">
        <v>277</v>
      </c>
      <c r="C376" s="2947">
        <v>2010</v>
      </c>
      <c r="D376" s="2947">
        <v>1980</v>
      </c>
      <c r="E376" s="2947">
        <v>1940</v>
      </c>
      <c r="F376" s="2947">
        <v>540</v>
      </c>
      <c r="G376" s="2960">
        <v>1190</v>
      </c>
    </row>
    <row r="377" spans="1:7" s="2782" customFormat="1" ht="12" thickBot="1">
      <c r="A377" s="2955" t="s">
        <v>3142</v>
      </c>
      <c r="B377" s="2958" t="s">
        <v>2904</v>
      </c>
      <c r="C377" s="2958">
        <v>1930</v>
      </c>
      <c r="D377" s="2958">
        <v>1890</v>
      </c>
      <c r="E377" s="2958">
        <v>1860</v>
      </c>
      <c r="F377" s="2958">
        <v>530</v>
      </c>
      <c r="G377" s="2963">
        <v>1150</v>
      </c>
    </row>
    <row r="378" spans="1:7" s="2782" customFormat="1">
      <c r="A378" s="2964" t="s">
        <v>3152</v>
      </c>
      <c r="B378" s="2943" t="s">
        <v>3153</v>
      </c>
      <c r="C378" s="2943">
        <v>1520</v>
      </c>
      <c r="D378" s="2943">
        <v>1490</v>
      </c>
      <c r="E378" s="2943">
        <v>1460</v>
      </c>
      <c r="F378" s="2943">
        <v>460</v>
      </c>
      <c r="G378" s="2959">
        <v>940</v>
      </c>
    </row>
    <row r="379" spans="1:7" s="2782" customFormat="1">
      <c r="A379" s="2965" t="s">
        <v>3152</v>
      </c>
      <c r="B379" s="2947" t="s">
        <v>3154</v>
      </c>
      <c r="C379" s="2947">
        <v>1500</v>
      </c>
      <c r="D379" s="2947">
        <v>1470</v>
      </c>
      <c r="E379" s="2947">
        <v>1430</v>
      </c>
      <c r="F379" s="2947">
        <v>460</v>
      </c>
      <c r="G379" s="2960">
        <v>920</v>
      </c>
    </row>
    <row r="380" spans="1:7" s="2782" customFormat="1">
      <c r="A380" s="2965" t="s">
        <v>3152</v>
      </c>
      <c r="B380" s="2947" t="s">
        <v>3155</v>
      </c>
      <c r="C380" s="2947">
        <v>1620</v>
      </c>
      <c r="D380" s="2947">
        <v>1590</v>
      </c>
      <c r="E380" s="2947">
        <v>1560</v>
      </c>
      <c r="F380" s="2947">
        <v>480</v>
      </c>
      <c r="G380" s="2960">
        <v>1000</v>
      </c>
    </row>
    <row r="381" spans="1:7" s="2782" customFormat="1">
      <c r="A381" s="2965" t="s">
        <v>3152</v>
      </c>
      <c r="B381" s="2947" t="s">
        <v>3156</v>
      </c>
      <c r="C381" s="2947">
        <v>1460</v>
      </c>
      <c r="D381" s="2947">
        <v>1430</v>
      </c>
      <c r="E381" s="2947">
        <v>1390</v>
      </c>
      <c r="F381" s="2947">
        <v>450</v>
      </c>
      <c r="G381" s="2960">
        <v>900</v>
      </c>
    </row>
    <row r="382" spans="1:7" s="2782" customFormat="1">
      <c r="A382" s="2965" t="s">
        <v>3152</v>
      </c>
      <c r="B382" s="2947" t="s">
        <v>3157</v>
      </c>
      <c r="C382" s="2947">
        <v>1310</v>
      </c>
      <c r="D382" s="2947">
        <v>1280</v>
      </c>
      <c r="E382" s="2947">
        <v>1250</v>
      </c>
      <c r="F382" s="2947">
        <v>440</v>
      </c>
      <c r="G382" s="2960">
        <v>800</v>
      </c>
    </row>
    <row r="383" spans="1:7" s="2782" customFormat="1">
      <c r="A383" s="2965" t="s">
        <v>3152</v>
      </c>
      <c r="B383" s="2947" t="s">
        <v>3158</v>
      </c>
      <c r="C383" s="2947">
        <v>1260</v>
      </c>
      <c r="D383" s="2947">
        <v>1230</v>
      </c>
      <c r="E383" s="2947">
        <v>1200</v>
      </c>
      <c r="F383" s="2947">
        <v>420</v>
      </c>
      <c r="G383" s="2960">
        <v>770</v>
      </c>
    </row>
    <row r="384" spans="1:7" s="2782" customFormat="1" ht="12" thickBot="1">
      <c r="A384" s="2966" t="s">
        <v>3152</v>
      </c>
      <c r="B384" s="2954" t="s">
        <v>3159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45862</v>
      </c>
      <c r="D1" s="1216" t="s">
        <v>603</v>
      </c>
      <c r="E1" s="1211">
        <f>'数据-取费表'!B22</f>
        <v>2</v>
      </c>
      <c r="F1" s="1216" t="s">
        <v>604</v>
      </c>
      <c r="G1" s="1212">
        <f ca="1">INDIRECT("d"&amp;$K$1)/100</f>
        <v>0.03</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2300</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36" t="s">
        <v>949</v>
      </c>
      <c r="B1" s="3236"/>
      <c r="C1" s="3236"/>
      <c r="D1" s="3236"/>
    </row>
    <row r="2" spans="1:4" ht="18">
      <c r="A2" s="3237" t="s">
        <v>933</v>
      </c>
      <c r="B2" s="3237"/>
      <c r="C2" s="3237"/>
      <c r="D2" s="3237"/>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37" t="s">
        <v>939</v>
      </c>
      <c r="B6" s="3237"/>
      <c r="C6" s="3237"/>
      <c r="D6" s="3237"/>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38" t="s">
        <v>942</v>
      </c>
      <c r="B11" s="3239"/>
      <c r="C11" s="3239"/>
      <c r="D11" s="3239"/>
    </row>
    <row r="12" spans="1:4" ht="15.75">
      <c r="A12" s="32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0"/>
      <c r="C12" s="3240"/>
      <c r="D12" s="3240"/>
    </row>
    <row r="13" spans="1:4" ht="30" customHeight="1">
      <c r="A13" s="32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0"/>
      <c r="C13" s="3240"/>
      <c r="D13" s="3240"/>
    </row>
    <row r="14" spans="1:4" ht="15.75" customHeight="1">
      <c r="A14" s="3239" t="str">
        <f>IF(项目基本情况!B8="抵押","4.本次评估估价师所知悉的法定优先受偿款情况说明如下：","——")</f>
        <v>4.本次评估估价师所知悉的法定优先受偿款情况说明如下：</v>
      </c>
      <c r="B14" s="3240"/>
      <c r="C14" s="3240"/>
      <c r="D14" s="3240"/>
    </row>
    <row r="15" spans="1:4" ht="42" customHeight="1">
      <c r="A15" s="32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9"/>
      <c r="C15" s="3239"/>
      <c r="D15" s="3239"/>
    </row>
    <row r="16" spans="1:4" ht="30" customHeight="1">
      <c r="A16" s="3242" t="s">
        <v>943</v>
      </c>
      <c r="B16" s="3242"/>
      <c r="C16" s="3242"/>
      <c r="D16" s="3242"/>
    </row>
    <row r="17" spans="1:4" ht="144" customHeight="1">
      <c r="A17" s="3242" t="s">
        <v>944</v>
      </c>
      <c r="B17" s="3242"/>
      <c r="C17" s="3242"/>
      <c r="D17" s="3242"/>
    </row>
    <row r="18" spans="1:4" ht="15.75" customHeight="1">
      <c r="A18" s="3239" t="str">
        <f>IF(项目基本情况!B8="抵押",结果表!K120,"——")</f>
        <v>故，本次评估不存在估价师知悉的法定优先受偿款</v>
      </c>
      <c r="B18" s="3239"/>
      <c r="C18" s="3239"/>
      <c r="D18" s="3239"/>
    </row>
    <row r="19" spans="1:4" ht="46.5" customHeight="1">
      <c r="A19" s="32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57.75" customHeight="1">
      <c r="A20" s="32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9"/>
      <c r="C20" s="3239"/>
      <c r="D20" s="3239"/>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3"/>
      <c r="C21" s="3243"/>
      <c r="D21" s="3243"/>
    </row>
    <row r="22" spans="1:4" ht="18.75" customHeight="1">
      <c r="A22" s="3244" t="s">
        <v>945</v>
      </c>
      <c r="B22" s="3244"/>
      <c r="C22" s="3244"/>
      <c r="D22" s="3244"/>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41">
        <v>42551</v>
      </c>
      <c r="D31" s="324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50" t="s">
        <v>956</v>
      </c>
      <c r="B15" s="3245" t="s">
        <v>109</v>
      </c>
      <c r="C15" s="3246"/>
    </row>
    <row r="16" spans="1:7" ht="13.5">
      <c r="A16" s="3251"/>
      <c r="B16" s="3245" t="s">
        <v>42</v>
      </c>
      <c r="C16" s="3246"/>
    </row>
    <row r="17" spans="1:3" ht="13.5">
      <c r="A17" s="3251"/>
      <c r="B17" s="3248" t="s">
        <v>957</v>
      </c>
      <c r="C17" s="1428" t="s">
        <v>956</v>
      </c>
    </row>
    <row r="18" spans="1:3" ht="13.5">
      <c r="A18" s="3251"/>
      <c r="B18" s="3248"/>
      <c r="C18" s="1428" t="s">
        <v>958</v>
      </c>
    </row>
    <row r="19" spans="1:3" ht="13.5">
      <c r="A19" s="3251"/>
      <c r="B19" s="3248"/>
      <c r="C19" s="1428" t="s">
        <v>959</v>
      </c>
    </row>
    <row r="20" spans="1:3" ht="13.5">
      <c r="A20" s="3252"/>
      <c r="B20" s="3247" t="s">
        <v>960</v>
      </c>
      <c r="C20" s="3246"/>
    </row>
    <row r="21" spans="1:3" ht="13.5">
      <c r="A21" s="1429" t="s">
        <v>961</v>
      </c>
      <c r="B21" s="1430"/>
      <c r="C21" s="1431"/>
    </row>
    <row r="22" spans="1:3" ht="13.5">
      <c r="A22" s="3249" t="s">
        <v>962</v>
      </c>
      <c r="B22" s="3247" t="s">
        <v>963</v>
      </c>
      <c r="C22" s="3246"/>
    </row>
    <row r="23" spans="1:3" ht="13.5">
      <c r="A23" s="3249"/>
      <c r="B23" s="3247" t="s">
        <v>964</v>
      </c>
      <c r="C23" s="3246"/>
    </row>
    <row r="24" spans="1:3" ht="13.5">
      <c r="A24" s="3249"/>
      <c r="B24" s="3247" t="s">
        <v>965</v>
      </c>
      <c r="C24" s="3246"/>
    </row>
    <row r="25" spans="1:3" ht="13.5">
      <c r="A25" s="3249"/>
      <c r="B25" s="3248" t="s">
        <v>966</v>
      </c>
      <c r="C25" s="1428" t="s">
        <v>967</v>
      </c>
    </row>
    <row r="26" spans="1:3" ht="13.5">
      <c r="A26" s="3249"/>
      <c r="B26" s="3248"/>
      <c r="C26" s="1428" t="s">
        <v>968</v>
      </c>
    </row>
    <row r="27" spans="1:3" ht="13.5">
      <c r="A27" s="3249"/>
      <c r="B27" s="3248"/>
      <c r="C27" s="1428" t="s">
        <v>969</v>
      </c>
    </row>
    <row r="28" spans="1:3" ht="13.5">
      <c r="A28" s="3249"/>
      <c r="B28" s="3248"/>
      <c r="C28" s="1428" t="s">
        <v>970</v>
      </c>
    </row>
    <row r="29" spans="1:3" ht="13.5">
      <c r="A29" s="3249"/>
      <c r="B29" s="3248"/>
      <c r="C29" s="1428" t="s">
        <v>971</v>
      </c>
    </row>
    <row r="30" spans="1:3" ht="13.5">
      <c r="A30" s="3249"/>
      <c r="B30" s="3248"/>
      <c r="C30" s="1428" t="s">
        <v>972</v>
      </c>
    </row>
    <row r="31" spans="1:3" ht="13.5">
      <c r="A31" s="3249"/>
      <c r="B31" s="3248"/>
      <c r="C31" s="1428" t="s">
        <v>973</v>
      </c>
    </row>
    <row r="32" spans="1:3" ht="13.5">
      <c r="A32" s="3249"/>
      <c r="B32" s="3248"/>
      <c r="C32" s="1428" t="s">
        <v>974</v>
      </c>
    </row>
    <row r="33" spans="1:3" ht="13.5">
      <c r="A33" s="3249"/>
      <c r="B33" s="3248"/>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45866</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2416</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53" t="s">
        <v>2160</v>
      </c>
      <c r="B17" s="3253"/>
      <c r="C17" s="3253"/>
      <c r="D17" s="3253"/>
      <c r="E17" s="3253"/>
      <c r="F17" s="3253"/>
      <c r="G17" s="3253"/>
      <c r="H17" s="3253"/>
    </row>
    <row r="18" spans="1:8" ht="24" customHeight="1">
      <c r="A18" s="3254" t="s">
        <v>2161</v>
      </c>
      <c r="B18" s="3254"/>
      <c r="C18" s="3254"/>
      <c r="D18" s="2159"/>
      <c r="E18" s="3255" t="s">
        <v>2162</v>
      </c>
      <c r="F18" s="3254"/>
      <c r="G18" s="3254"/>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2417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158</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办公租金</vt:lpstr>
      <vt:lpstr>Sheet3</vt:lpstr>
      <vt:lpstr>面积</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收益法-酒店模型</vt:lpstr>
      <vt:lpstr>收益法</vt:lpstr>
      <vt:lpstr>酒店经营收益说明表</vt:lpstr>
      <vt:lpstr>Sheet1</vt:lpstr>
      <vt:lpstr>Sheet2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酒店经营收益说明表!Print_Area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2025-07-28T06:36:27Z</dcterms:modified>
</cp:coreProperties>
</file>