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45" yWindow="75" windowWidth="11565" windowHeight="9555"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 sheetId="69"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比较法-住宅、综合" sheetId="39" r:id="rId33"/>
    <sheet name="土地案例（住宅）" sheetId="68" r:id="rId34"/>
    <sheet name="案例位置" sheetId="73" r:id="rId35"/>
    <sheet name="剩余法-待开发" sheetId="12"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住宅 (2)" sheetId="72" r:id="rId44"/>
    <sheet name="Sheet1" sheetId="70" r:id="rId45"/>
  </sheets>
  <externalReferences>
    <externalReference r:id="rId46"/>
  </externalReferences>
  <definedNames>
    <definedName name="_xlnm._FilterDatabase" localSheetId="20" hidden="1">'比较法-工业'!$A$1:$L$45</definedName>
    <definedName name="_xlnm._FilterDatabase" localSheetId="3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43" hidden="1">'不动产比较法-住宅 (2)'!$A$1:$L$49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'不动产比较法-住宅 (2)'!$B$88:$M$88</definedName>
    <definedName name="住宅朝向">'不动产比较法-住宅'!$B$88:$M$88</definedName>
    <definedName name="住宅房型" localSheetId="43">'不动产比较法-住宅 (2)'!$B$118:$M$118</definedName>
    <definedName name="住宅房型">'不动产比较法-住宅'!$B$118:$M$118</definedName>
    <definedName name="住宅公共部分装修" localSheetId="43">'不动产比较法-住宅 (2)'!$B$109:$M$109</definedName>
    <definedName name="住宅公共部分装修">'不动产比较法-住宅'!$B$109:$M$109</definedName>
    <definedName name="住宅基础设施水平" localSheetId="43">'不动产比较法-住宅 (2)'!$B$116:$M$116</definedName>
    <definedName name="住宅基础设施水平">'不动产比较法-住宅'!$B$116:$M$116</definedName>
    <definedName name="住宅建筑结构" localSheetId="43">'不动产比较法-住宅 (2)'!$B$105:$M$105</definedName>
    <definedName name="住宅建筑结构">'不动产比较法-住宅'!$B$105:$M$105</definedName>
    <definedName name="住宅建筑类型" localSheetId="43">'不动产比较法-住宅 (2)'!$B$100:$M$100</definedName>
    <definedName name="住宅建筑类型">'不动产比较法-住宅'!$B$100:$M$100</definedName>
    <definedName name="住宅建筑品质" localSheetId="43">'不动产比较法-住宅 (2)'!$B$107:$M$107</definedName>
    <definedName name="住宅建筑品质">'不动产比较法-住宅'!$B$107:$M$107</definedName>
    <definedName name="住宅交易情况" localSheetId="43">'不动产比较法-住宅 (2)'!$A$61:$M$61</definedName>
    <definedName name="住宅交易情况">'不动产比较法-住宅'!$A$61:$M$61</definedName>
    <definedName name="住宅楼层" localSheetId="43">'不动产比较法-住宅 (2)'!$B$86:$M$86</definedName>
    <definedName name="住宅楼层">'不动产比较法-住宅'!$B$86:$M$86</definedName>
    <definedName name="住宅内部装修" localSheetId="43">'不动产比较法-住宅 (2)'!$B$122:$M$122</definedName>
    <definedName name="住宅内部装修">'不动产比较法-住宅'!$B$122:$M$122</definedName>
    <definedName name="住宅物业管理" localSheetId="43">'不动产比较法-住宅 (2)'!$B$114:$M$114</definedName>
    <definedName name="住宅物业管理">'不动产比较法-住宅'!$B$114:$M$114</definedName>
    <definedName name="住宅用途" localSheetId="43">'不动产比较法-住宅 (2)'!$B$63:$M$63</definedName>
    <definedName name="住宅用途">'不动产比较法-住宅'!$B$63:$M$63</definedName>
    <definedName name="住宅主力户型面积" localSheetId="43">'不动产比较法-住宅 (2)'!$B$120:$M$120</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M20" i="1" l="1"/>
  <c r="M19" i="1"/>
  <c r="K20" i="1"/>
  <c r="K19" i="1"/>
  <c r="L21" i="1" l="1"/>
  <c r="H12" i="69"/>
  <c r="H13" i="69"/>
  <c r="F12" i="69"/>
  <c r="F13" i="69"/>
  <c r="F11" i="69"/>
  <c r="F10" i="69"/>
  <c r="H11" i="69"/>
  <c r="H10" i="69"/>
  <c r="C17" i="66"/>
  <c r="B17" i="66"/>
  <c r="C16" i="66"/>
  <c r="B16" i="66"/>
  <c r="E9" i="39"/>
  <c r="F9" i="39"/>
  <c r="AA9" i="39"/>
  <c r="E40" i="39"/>
  <c r="F40" i="39"/>
  <c r="AA40" i="39"/>
  <c r="D77" i="39"/>
  <c r="F11" i="39"/>
  <c r="AA11" i="39"/>
  <c r="G9" i="39"/>
  <c r="H9" i="39"/>
  <c r="AB9" i="39"/>
  <c r="G40" i="39"/>
  <c r="H40" i="39"/>
  <c r="AB40" i="39"/>
  <c r="H11" i="39"/>
  <c r="AB11" i="39"/>
  <c r="I9" i="39"/>
  <c r="J9" i="39"/>
  <c r="AC9" i="39"/>
  <c r="I40" i="39"/>
  <c r="J40" i="39"/>
  <c r="AC40" i="39"/>
  <c r="J11" i="39"/>
  <c r="AC11" i="39"/>
  <c r="M6" i="1"/>
  <c r="O6" i="1"/>
  <c r="P6" i="1" s="1"/>
  <c r="D16" i="12"/>
  <c r="C16" i="12" s="1"/>
  <c r="F17" i="12"/>
  <c r="D19" i="12"/>
  <c r="C19" i="12" s="1"/>
  <c r="D21" i="12"/>
  <c r="C21" i="12" s="1"/>
  <c r="D22" i="12"/>
  <c r="C22" i="12" s="1"/>
  <c r="F23" i="12"/>
  <c r="B22" i="1"/>
  <c r="C2" i="65" s="1"/>
  <c r="B24" i="1"/>
  <c r="F11" i="72"/>
  <c r="AA11" i="72"/>
  <c r="F33" i="72"/>
  <c r="AA33" i="72"/>
  <c r="B70" i="72"/>
  <c r="F12" i="72"/>
  <c r="AA12" i="72"/>
  <c r="B72" i="72"/>
  <c r="F13" i="72"/>
  <c r="AA13" i="72"/>
  <c r="B74" i="72"/>
  <c r="F14" i="72"/>
  <c r="AA14" i="72"/>
  <c r="D77" i="72"/>
  <c r="E77" i="72" s="1"/>
  <c r="D79" i="72"/>
  <c r="E79" i="72"/>
  <c r="F17" i="72"/>
  <c r="AA17" i="72"/>
  <c r="D81" i="72"/>
  <c r="E81" i="72"/>
  <c r="F81" i="72"/>
  <c r="F19" i="72"/>
  <c r="AA19" i="72"/>
  <c r="D83" i="72"/>
  <c r="F21" i="72"/>
  <c r="AA21" i="72"/>
  <c r="D85" i="72"/>
  <c r="F23" i="72"/>
  <c r="AA23" i="72"/>
  <c r="F40" i="72"/>
  <c r="AA40" i="72"/>
  <c r="E47" i="72"/>
  <c r="R47" i="72" s="1"/>
  <c r="D123" i="72"/>
  <c r="E123" i="72" s="1"/>
  <c r="D101" i="72"/>
  <c r="E101" i="72" s="1"/>
  <c r="H11" i="72"/>
  <c r="AB11" i="72"/>
  <c r="H33" i="72"/>
  <c r="AB33" i="72"/>
  <c r="H12" i="72"/>
  <c r="AB12" i="72"/>
  <c r="H13" i="72"/>
  <c r="AB13" i="72"/>
  <c r="H14" i="72"/>
  <c r="AB14" i="72"/>
  <c r="H17" i="72"/>
  <c r="AB17" i="72"/>
  <c r="H19" i="72"/>
  <c r="AB19" i="72"/>
  <c r="H21" i="72"/>
  <c r="AB21" i="72"/>
  <c r="H23" i="72"/>
  <c r="AB23" i="72"/>
  <c r="H40" i="72"/>
  <c r="AB40" i="72"/>
  <c r="G47" i="72"/>
  <c r="T47" i="72" s="1"/>
  <c r="H42" i="72"/>
  <c r="AB42" i="72" s="1"/>
  <c r="J11" i="72"/>
  <c r="AC11" i="72"/>
  <c r="J33" i="72"/>
  <c r="AC33" i="72"/>
  <c r="J12" i="72"/>
  <c r="AC12" i="72"/>
  <c r="J13" i="72"/>
  <c r="AC13" i="72"/>
  <c r="J14" i="72"/>
  <c r="AC14" i="72"/>
  <c r="J17" i="72"/>
  <c r="AC17" i="72"/>
  <c r="J19" i="72"/>
  <c r="AC19" i="72"/>
  <c r="J21" i="72"/>
  <c r="AC21" i="72"/>
  <c r="J23" i="72"/>
  <c r="AC23" i="72"/>
  <c r="J40" i="72"/>
  <c r="AC40" i="72"/>
  <c r="I47" i="72"/>
  <c r="V47" i="72" s="1"/>
  <c r="J42" i="72"/>
  <c r="AC42" i="72" s="1"/>
  <c r="J10" i="72"/>
  <c r="AC10" i="72"/>
  <c r="F24" i="12"/>
  <c r="Q16" i="1"/>
  <c r="F33" i="12" s="1"/>
  <c r="C34" i="12" s="1"/>
  <c r="D33" i="12" s="1"/>
  <c r="C17" i="9"/>
  <c r="D17" i="9"/>
  <c r="C18" i="9"/>
  <c r="D18" i="9" s="1"/>
  <c r="M44" i="9" s="1"/>
  <c r="C15" i="66"/>
  <c r="B15" i="66"/>
  <c r="E47" i="21"/>
  <c r="R47" i="21"/>
  <c r="R48" i="21"/>
  <c r="G47" i="21"/>
  <c r="T47" i="21"/>
  <c r="T48" i="21"/>
  <c r="I47" i="21"/>
  <c r="V47" i="21"/>
  <c r="V48" i="21"/>
  <c r="R49" i="21"/>
  <c r="C49" i="21"/>
  <c r="C50" i="21"/>
  <c r="O25" i="31"/>
  <c r="B25" i="31"/>
  <c r="I13" i="3"/>
  <c r="I8" i="39"/>
  <c r="G8" i="39"/>
  <c r="I7" i="39"/>
  <c r="G7" i="39"/>
  <c r="E8" i="39"/>
  <c r="E7" i="39"/>
  <c r="D101" i="21"/>
  <c r="E101" i="21"/>
  <c r="F101" i="21"/>
  <c r="G101" i="21"/>
  <c r="H101" i="21"/>
  <c r="I101" i="21"/>
  <c r="H32" i="21"/>
  <c r="AB32" i="21"/>
  <c r="F32" i="21"/>
  <c r="AA32" i="21"/>
  <c r="J32" i="21"/>
  <c r="AC32" i="21"/>
  <c r="F19" i="6"/>
  <c r="E19" i="6"/>
  <c r="D3" i="72"/>
  <c r="J140" i="72"/>
  <c r="C145" i="72"/>
  <c r="K139" i="72"/>
  <c r="K145" i="72"/>
  <c r="K144" i="72"/>
  <c r="K143" i="72"/>
  <c r="J142" i="72"/>
  <c r="K141" i="72"/>
  <c r="B130" i="72"/>
  <c r="B128" i="72"/>
  <c r="B126" i="72"/>
  <c r="D125" i="72"/>
  <c r="E125" i="72"/>
  <c r="F125" i="72"/>
  <c r="G125"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E85" i="72"/>
  <c r="F85" i="72"/>
  <c r="G85" i="72"/>
  <c r="E83" i="72"/>
  <c r="F83" i="72"/>
  <c r="G83" i="72"/>
  <c r="G81" i="72"/>
  <c r="F79" i="72"/>
  <c r="G79"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s="1"/>
  <c r="G54" i="72"/>
  <c r="H54" i="72" s="1"/>
  <c r="E54" i="72"/>
  <c r="F54" i="72" s="1"/>
  <c r="E7" i="72"/>
  <c r="G7" i="72"/>
  <c r="I7" i="72"/>
  <c r="J7" i="72"/>
  <c r="AC7" i="72"/>
  <c r="J8" i="72"/>
  <c r="AC8" i="72"/>
  <c r="J9" i="72"/>
  <c r="AC9" i="72"/>
  <c r="J25" i="72"/>
  <c r="AC25" i="72"/>
  <c r="J26" i="72"/>
  <c r="AC26" i="72"/>
  <c r="J27" i="72"/>
  <c r="AC27" i="72"/>
  <c r="J28" i="72"/>
  <c r="AC28" i="72"/>
  <c r="J29" i="72"/>
  <c r="AC29" i="72"/>
  <c r="J30" i="72"/>
  <c r="AC30" i="72"/>
  <c r="J31" i="72"/>
  <c r="AC31" i="72"/>
  <c r="J34" i="72"/>
  <c r="AC34" i="72"/>
  <c r="J35" i="72"/>
  <c r="AC35" i="72"/>
  <c r="J36" i="72"/>
  <c r="AC36" i="72"/>
  <c r="J37" i="72"/>
  <c r="AC37" i="72"/>
  <c r="J38" i="72"/>
  <c r="AC38" i="72"/>
  <c r="J39" i="72"/>
  <c r="AC39" i="72"/>
  <c r="J41" i="72"/>
  <c r="AC41" i="72"/>
  <c r="J43" i="72"/>
  <c r="AC43" i="72"/>
  <c r="J44" i="72"/>
  <c r="AC44" i="72"/>
  <c r="J45" i="72"/>
  <c r="AC45" i="72"/>
  <c r="J46" i="72"/>
  <c r="AC46" i="72"/>
  <c r="F7" i="72"/>
  <c r="AA7" i="72"/>
  <c r="F8" i="72"/>
  <c r="AA8" i="72"/>
  <c r="F9" i="72"/>
  <c r="AA9" i="72"/>
  <c r="F10" i="72"/>
  <c r="AA10"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1" i="72"/>
  <c r="AA41" i="72"/>
  <c r="F43" i="72"/>
  <c r="AA43" i="72"/>
  <c r="F44" i="72"/>
  <c r="AA44" i="72"/>
  <c r="F45" i="72"/>
  <c r="AA45" i="72"/>
  <c r="F46" i="72"/>
  <c r="AA46" i="72"/>
  <c r="H7" i="72"/>
  <c r="AB7" i="72"/>
  <c r="H8" i="72"/>
  <c r="AB8" i="72"/>
  <c r="H9" i="72"/>
  <c r="AB9" i="72"/>
  <c r="H10" i="72"/>
  <c r="AB10" i="72"/>
  <c r="H25" i="72"/>
  <c r="AB25" i="72"/>
  <c r="H26" i="72"/>
  <c r="AB26" i="72"/>
  <c r="H27" i="72"/>
  <c r="AB27" i="72"/>
  <c r="H28" i="72"/>
  <c r="AB28" i="72"/>
  <c r="H29" i="72"/>
  <c r="AB29" i="72"/>
  <c r="H30" i="72"/>
  <c r="AB30" i="72"/>
  <c r="H31" i="72"/>
  <c r="AB31" i="72"/>
  <c r="H34" i="72"/>
  <c r="AB34" i="72"/>
  <c r="H35" i="72"/>
  <c r="AB35" i="72"/>
  <c r="H36" i="72"/>
  <c r="AB36" i="72"/>
  <c r="H37" i="72"/>
  <c r="AB37" i="72"/>
  <c r="H38" i="72"/>
  <c r="AB38" i="72"/>
  <c r="H39" i="72"/>
  <c r="AB39" i="72"/>
  <c r="H41" i="72"/>
  <c r="AB41" i="72"/>
  <c r="H43" i="72"/>
  <c r="AB43" i="72"/>
  <c r="H44" i="72"/>
  <c r="AB44" i="72"/>
  <c r="H45" i="72"/>
  <c r="AB45" i="72"/>
  <c r="H46" i="72"/>
  <c r="AB46" i="72"/>
  <c r="P49" i="72"/>
  <c r="P48" i="72"/>
  <c r="P47" i="72"/>
  <c r="Q46" i="72"/>
  <c r="Z46" i="72"/>
  <c r="W46" i="72"/>
  <c r="U46" i="72"/>
  <c r="S46" i="72"/>
  <c r="Q45" i="72"/>
  <c r="Z45" i="72"/>
  <c r="W45" i="72"/>
  <c r="U45" i="72"/>
  <c r="S45" i="72"/>
  <c r="Q44" i="72"/>
  <c r="Z44" i="72"/>
  <c r="W44" i="72"/>
  <c r="U44" i="72"/>
  <c r="S44" i="72"/>
  <c r="Q43" i="72"/>
  <c r="Z43" i="72"/>
  <c r="W43" i="72"/>
  <c r="U43" i="72"/>
  <c r="S43" i="72"/>
  <c r="Q42" i="72"/>
  <c r="Z42" i="72"/>
  <c r="U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F40" i="21"/>
  <c r="AA40" i="21"/>
  <c r="H40" i="21"/>
  <c r="AB40" i="21"/>
  <c r="J40" i="21"/>
  <c r="AC40" i="21"/>
  <c r="B3" i="21"/>
  <c r="J3" i="69"/>
  <c r="J4" i="69"/>
  <c r="J5" i="69"/>
  <c r="J2" i="69"/>
  <c r="D123" i="21"/>
  <c r="E123" i="21"/>
  <c r="J42" i="21"/>
  <c r="AC42" i="21"/>
  <c r="F42" i="21"/>
  <c r="AA42" i="21"/>
  <c r="H42" i="21"/>
  <c r="AB42" i="21"/>
  <c r="D3" i="21"/>
  <c r="B2" i="21"/>
  <c r="R48" i="39"/>
  <c r="D91" i="39"/>
  <c r="E91" i="39" s="1"/>
  <c r="D93" i="39"/>
  <c r="E93" i="39" s="1"/>
  <c r="D97" i="39"/>
  <c r="E97" i="39"/>
  <c r="F23" i="39"/>
  <c r="AA23" i="39"/>
  <c r="D99" i="39"/>
  <c r="E99" i="39"/>
  <c r="F25" i="39"/>
  <c r="AA25" i="39"/>
  <c r="D101" i="39"/>
  <c r="F27" i="39"/>
  <c r="AA27" i="39"/>
  <c r="D103" i="39"/>
  <c r="E103" i="39" s="1"/>
  <c r="D105" i="39"/>
  <c r="F31" i="39"/>
  <c r="AA31" i="39"/>
  <c r="D109" i="39"/>
  <c r="E109" i="39"/>
  <c r="F109" i="39"/>
  <c r="F34" i="39"/>
  <c r="AA34" i="39"/>
  <c r="D83" i="39"/>
  <c r="BB13" i="3"/>
  <c r="BB5" i="3"/>
  <c r="E8" i="6"/>
  <c r="F27" i="6"/>
  <c r="F31" i="6"/>
  <c r="BA13" i="3"/>
  <c r="AZ13" i="3"/>
  <c r="AZ5" i="3"/>
  <c r="H13" i="3"/>
  <c r="G13" i="3"/>
  <c r="G5" i="3"/>
  <c r="B3" i="3"/>
  <c r="AY6" i="3"/>
  <c r="D3" i="6"/>
  <c r="E3" i="6"/>
  <c r="D19" i="6"/>
  <c r="D20" i="6"/>
  <c r="D21" i="6"/>
  <c r="D22" i="6"/>
  <c r="D23" i="6"/>
  <c r="D24" i="6"/>
  <c r="D25" i="6"/>
  <c r="D26" i="6"/>
  <c r="D27" i="6"/>
  <c r="D28" i="6"/>
  <c r="D29" i="6"/>
  <c r="D30" i="6"/>
  <c r="D31" i="6"/>
  <c r="I6" i="6"/>
  <c r="C13" i="39"/>
  <c r="F13" i="39"/>
  <c r="AA13" i="39"/>
  <c r="T48" i="39"/>
  <c r="H23" i="39"/>
  <c r="AB23" i="39" s="1"/>
  <c r="H25" i="39"/>
  <c r="AB25" i="39" s="1"/>
  <c r="H27" i="39"/>
  <c r="AB27" i="39" s="1"/>
  <c r="H31" i="39"/>
  <c r="AB31" i="39" s="1"/>
  <c r="H34" i="39"/>
  <c r="AB34" i="39" s="1"/>
  <c r="H13" i="39"/>
  <c r="AB13" i="39"/>
  <c r="V48" i="39"/>
  <c r="J23" i="39"/>
  <c r="AC23" i="39"/>
  <c r="J25" i="39"/>
  <c r="AC25" i="39"/>
  <c r="J27" i="39"/>
  <c r="AC27" i="39"/>
  <c r="J31" i="39"/>
  <c r="AC31" i="39"/>
  <c r="J34" i="39"/>
  <c r="AC34" i="39"/>
  <c r="J13" i="39"/>
  <c r="AC13" i="39"/>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E19" i="12"/>
  <c r="E5" i="6"/>
  <c r="E21" i="12"/>
  <c r="E6" i="6"/>
  <c r="E22" i="12"/>
  <c r="C40" i="39"/>
  <c r="BB10" i="3"/>
  <c r="E73" i="39"/>
  <c r="F73" i="39"/>
  <c r="G73" i="39"/>
  <c r="H73" i="39"/>
  <c r="I73" i="39"/>
  <c r="J73" i="39"/>
  <c r="K73" i="39"/>
  <c r="L73" i="39"/>
  <c r="M73" i="39"/>
  <c r="N73" i="39"/>
  <c r="D73" i="39"/>
  <c r="C77" i="39"/>
  <c r="L38" i="9"/>
  <c r="B24" i="31"/>
  <c r="C25" i="3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P23" i="46"/>
  <c r="B73" i="39"/>
  <c r="BC10" i="3"/>
  <c r="BD10" i="3"/>
  <c r="BE10" i="3"/>
  <c r="BF10" i="3"/>
  <c r="BG10" i="3"/>
  <c r="BH10" i="3"/>
  <c r="BI10" i="3"/>
  <c r="BJ10" i="3"/>
  <c r="BK10" i="3"/>
  <c r="BC5" i="3"/>
  <c r="BD5" i="3"/>
  <c r="BE5" i="3"/>
  <c r="BF5" i="3"/>
  <c r="BG5" i="3"/>
  <c r="BH5" i="3"/>
  <c r="BI5" i="3"/>
  <c r="BJ5" i="3"/>
  <c r="BK5" i="3"/>
  <c r="E58" i="39"/>
  <c r="A6" i="1"/>
  <c r="A7" i="1"/>
  <c r="A8" i="1"/>
  <c r="A9" i="1"/>
  <c r="A10" i="1"/>
  <c r="A11" i="1"/>
  <c r="A12" i="1"/>
  <c r="A13" i="1"/>
  <c r="BQ5" i="3"/>
  <c r="BS5" i="3"/>
  <c r="F28" i="6"/>
  <c r="BR5" i="3"/>
  <c r="BT5" i="3"/>
  <c r="G28" i="6"/>
  <c r="E28" i="6"/>
  <c r="F14" i="12"/>
  <c r="C42" i="1"/>
  <c r="F15" i="12"/>
  <c r="E16"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BM5" i="3"/>
  <c r="BN5" i="3"/>
  <c r="BO5" i="3"/>
  <c r="BP5" i="3"/>
  <c r="C1" i="65"/>
  <c r="H1" i="65"/>
  <c r="B43" i="1"/>
  <c r="B41" i="1"/>
  <c r="F29" i="12"/>
  <c r="F25" i="12"/>
  <c r="C25" i="12"/>
  <c r="C24" i="9"/>
  <c r="B5" i="4"/>
  <c r="B7" i="4"/>
  <c r="E22" i="4"/>
  <c r="B13" i="4"/>
  <c r="C7" i="21"/>
  <c r="E7" i="21"/>
  <c r="G7" i="21"/>
  <c r="I7" i="21"/>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Q5" i="59"/>
  <c r="P5" i="59"/>
  <c r="O5" i="59"/>
  <c r="N5" i="59"/>
  <c r="M15" i="49"/>
  <c r="L15" i="49"/>
  <c r="K15" i="49"/>
  <c r="J15" i="49"/>
  <c r="I15" i="49"/>
  <c r="H15" i="49"/>
  <c r="G15" i="49"/>
  <c r="F15" i="49"/>
  <c r="E15" i="49"/>
  <c r="D15" i="49"/>
  <c r="C15" i="49"/>
  <c r="B15" i="49"/>
  <c r="Q11" i="59"/>
  <c r="Q12" i="59"/>
  <c r="Q13" i="59"/>
  <c r="Q14" i="59"/>
  <c r="Q15" i="59"/>
  <c r="Q16" i="59"/>
  <c r="Q17" i="59"/>
  <c r="Q18" i="59"/>
  <c r="Q19" i="59"/>
  <c r="Q20" i="59"/>
  <c r="Q21" i="59"/>
  <c r="Q22" i="59"/>
  <c r="Q23" i="59"/>
  <c r="Q24" i="59"/>
  <c r="Q25" i="59"/>
  <c r="AB5" i="59"/>
  <c r="P11" i="59"/>
  <c r="P12" i="59"/>
  <c r="P13" i="59"/>
  <c r="P14" i="59"/>
  <c r="P15" i="59"/>
  <c r="P16" i="59"/>
  <c r="P17" i="59"/>
  <c r="P18" i="59"/>
  <c r="P19" i="59"/>
  <c r="P20" i="59"/>
  <c r="P21" i="59"/>
  <c r="P22" i="59"/>
  <c r="P23" i="59"/>
  <c r="P24" i="59"/>
  <c r="P25" i="59"/>
  <c r="AA5" i="59"/>
  <c r="O11" i="59"/>
  <c r="O12" i="59"/>
  <c r="O13" i="59"/>
  <c r="O14" i="59"/>
  <c r="O15" i="59"/>
  <c r="O16" i="59"/>
  <c r="O17" i="59"/>
  <c r="O18" i="59"/>
  <c r="O19" i="59"/>
  <c r="O20" i="59"/>
  <c r="O21" i="59"/>
  <c r="O22" i="59"/>
  <c r="O23" i="59"/>
  <c r="O24" i="59"/>
  <c r="O25" i="59"/>
  <c r="Y5" i="59"/>
  <c r="Z5" i="59"/>
  <c r="N11" i="59"/>
  <c r="N12" i="59"/>
  <c r="N13" i="59"/>
  <c r="N14" i="59"/>
  <c r="N15" i="59"/>
  <c r="N16" i="59"/>
  <c r="N17" i="59"/>
  <c r="N18" i="59"/>
  <c r="N19" i="59"/>
  <c r="N20" i="59"/>
  <c r="N21" i="59"/>
  <c r="N22" i="59"/>
  <c r="N23" i="59"/>
  <c r="N24" i="59"/>
  <c r="N25" i="59"/>
  <c r="X5" i="59"/>
  <c r="AB6" i="59"/>
  <c r="AB7" i="59"/>
  <c r="AA6" i="59"/>
  <c r="AA7" i="59"/>
  <c r="Y6" i="59"/>
  <c r="Z6" i="59"/>
  <c r="Y7" i="59"/>
  <c r="Z7" i="59"/>
  <c r="X6" i="59"/>
  <c r="X7" i="59"/>
  <c r="F5" i="59"/>
  <c r="E5" i="59"/>
  <c r="AB8" i="59"/>
  <c r="AA8" i="59"/>
  <c r="Y8" i="59"/>
  <c r="Z8" i="59"/>
  <c r="X8" i="59"/>
  <c r="D8" i="59"/>
  <c r="D9" i="59"/>
  <c r="M19" i="46"/>
  <c r="J50" i="15"/>
  <c r="J51" i="15"/>
  <c r="D11" i="59"/>
  <c r="AB9" i="59"/>
  <c r="AA9" i="59"/>
  <c r="Y9" i="59"/>
  <c r="Z9" i="59"/>
  <c r="X9" i="59"/>
  <c r="L4" i="9"/>
  <c r="M4" i="9"/>
  <c r="A30" i="64"/>
  <c r="A30" i="51"/>
  <c r="K59" i="15"/>
  <c r="P62" i="15"/>
  <c r="P75" i="15"/>
  <c r="Q74" i="44"/>
  <c r="Q61" i="44"/>
  <c r="Q60" i="44"/>
  <c r="Q53" i="44"/>
  <c r="J51" i="44"/>
  <c r="J52" i="44"/>
  <c r="M48" i="44"/>
  <c r="A16" i="55"/>
  <c r="A15" i="55"/>
  <c r="C43" i="9"/>
  <c r="K47" i="9"/>
  <c r="A14" i="55"/>
  <c r="L24" i="4"/>
  <c r="L26" i="4"/>
  <c r="L25" i="4"/>
  <c r="A11" i="55"/>
  <c r="A10" i="55"/>
  <c r="A9" i="55"/>
  <c r="A8" i="55"/>
  <c r="A6" i="54"/>
  <c r="A8" i="54"/>
  <c r="A7" i="54"/>
  <c r="C57" i="10"/>
  <c r="A28" i="51"/>
  <c r="A27" i="51"/>
  <c r="AB10" i="59"/>
  <c r="Y10" i="59"/>
  <c r="Z10" i="59"/>
  <c r="X10" i="59"/>
  <c r="AA10" i="59"/>
  <c r="B14" i="59"/>
  <c r="C14" i="59"/>
  <c r="D14" i="59"/>
  <c r="E14" i="59"/>
  <c r="F14" i="59"/>
  <c r="K75" i="9"/>
  <c r="K6" i="4"/>
  <c r="O76" i="9"/>
  <c r="L76" i="9"/>
  <c r="K76" i="9"/>
  <c r="K77" i="9"/>
  <c r="K79" i="9"/>
  <c r="K81" i="9"/>
  <c r="B22" i="31"/>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E22" i="6"/>
  <c r="E23" i="6"/>
  <c r="E24" i="6"/>
  <c r="E25" i="6"/>
  <c r="E26" i="6"/>
  <c r="D38" i="4"/>
  <c r="C39" i="4"/>
  <c r="C35" i="4"/>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s="1"/>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99" i="39"/>
  <c r="G99" i="39"/>
  <c r="D95" i="39"/>
  <c r="E95" i="39"/>
  <c r="F95" i="39"/>
  <c r="G95"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A38" i="21"/>
  <c r="AB36" i="21"/>
  <c r="AC35" i="21"/>
  <c r="C29" i="39"/>
  <c r="C23"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F17" i="21"/>
  <c r="S17" i="21"/>
  <c r="H17" i="21"/>
  <c r="AB17" i="21"/>
  <c r="J17" i="21"/>
  <c r="AC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s="1"/>
  <c r="J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s="1"/>
  <c r="J39" i="39"/>
  <c r="AC39" i="39" s="1"/>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AB21" i="39"/>
  <c r="U21" i="39"/>
  <c r="AB33" i="36"/>
  <c r="AA11" i="36"/>
  <c r="AA14" i="35"/>
  <c r="S14" i="35"/>
  <c r="G99" i="37"/>
  <c r="F33" i="37"/>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21" i="39"/>
  <c r="S14" i="39"/>
  <c r="AB15" i="39"/>
  <c r="U11" i="39"/>
  <c r="U41" i="39"/>
  <c r="U23" i="39"/>
  <c r="AB38" i="39"/>
  <c r="U31" i="39"/>
  <c r="S25" i="39"/>
  <c r="S38" i="39"/>
  <c r="M43" i="9"/>
  <c r="B22" i="63"/>
  <c r="M20" i="15"/>
  <c r="D96" i="9"/>
  <c r="F28" i="15"/>
  <c r="M18" i="15"/>
  <c r="A18" i="64"/>
  <c r="B74" i="63"/>
  <c r="C53" i="10"/>
  <c r="A25" i="64"/>
  <c r="A18" i="51"/>
  <c r="B14" i="63"/>
  <c r="F3" i="35"/>
  <c r="K1" i="43"/>
  <c r="K1" i="12"/>
  <c r="G1" i="44"/>
  <c r="I4" i="6"/>
  <c r="G3" i="46"/>
  <c r="H53" i="46"/>
  <c r="G28" i="12"/>
  <c r="G22" i="43"/>
  <c r="G26" i="12"/>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25" i="51"/>
  <c r="B18" i="63"/>
  <c r="A3" i="55"/>
  <c r="B56" i="63"/>
  <c r="W7" i="33"/>
  <c r="D67" i="40"/>
  <c r="G66" i="36"/>
  <c r="J18" i="36"/>
  <c r="AE8" i="1"/>
  <c r="AE7" i="1"/>
  <c r="AE6" i="1"/>
  <c r="W18" i="36"/>
  <c r="AC18" i="36"/>
  <c r="AG6" i="1"/>
  <c r="D12" i="11"/>
  <c r="C12" i="11"/>
  <c r="L20" i="6"/>
  <c r="D16" i="43"/>
  <c r="C16" i="43" s="1"/>
  <c r="L19" i="6"/>
  <c r="L27" i="6"/>
  <c r="F7" i="21"/>
  <c r="AA7" i="21"/>
  <c r="J7" i="21"/>
  <c r="AC7" i="21"/>
  <c r="I48" i="21"/>
  <c r="H7" i="21"/>
  <c r="AB7" i="21"/>
  <c r="G48" i="21"/>
  <c r="E67" i="40"/>
  <c r="F65" i="40"/>
  <c r="F67" i="40"/>
  <c r="S7" i="1"/>
  <c r="K19" i="6"/>
  <c r="S6" i="1"/>
  <c r="S8" i="1"/>
  <c r="S9" i="1"/>
  <c r="U7" i="21"/>
  <c r="S7" i="21"/>
  <c r="B14" i="66"/>
  <c r="B1" i="66"/>
  <c r="C8" i="66" s="1"/>
  <c r="C45" i="9"/>
  <c r="H14" i="66"/>
  <c r="B7" i="66"/>
  <c r="C7" i="66"/>
  <c r="E48" i="21"/>
  <c r="E53" i="21"/>
  <c r="F53" i="21"/>
  <c r="R9" i="1"/>
  <c r="C48" i="21"/>
  <c r="R7" i="1"/>
  <c r="R8" i="1"/>
  <c r="M19" i="6"/>
  <c r="I19" i="6"/>
  <c r="H19" i="6"/>
  <c r="R19" i="6"/>
  <c r="R6" i="1"/>
  <c r="D45" i="9"/>
  <c r="O40" i="9"/>
  <c r="K31" i="9"/>
  <c r="K32" i="9"/>
  <c r="R7" i="54"/>
  <c r="B52" i="63"/>
  <c r="N76" i="9"/>
  <c r="C46" i="9"/>
  <c r="K33" i="9"/>
  <c r="O41" i="9"/>
  <c r="I14" i="66"/>
  <c r="B8" i="66"/>
  <c r="D46" i="9"/>
  <c r="K34" i="9"/>
  <c r="R8" i="54"/>
  <c r="B54" i="63"/>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G52" i="21"/>
  <c r="H52" i="21"/>
  <c r="G53" i="21"/>
  <c r="H53" i="21"/>
  <c r="E52" i="21"/>
  <c r="F52" i="21"/>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P21" i="46"/>
  <c r="D7" i="59"/>
  <c r="P22" i="46"/>
  <c r="P25" i="46"/>
  <c r="P24" i="46"/>
  <c r="B68" i="40"/>
  <c r="M17" i="15"/>
  <c r="F58" i="15"/>
  <c r="M19" i="44"/>
  <c r="F31" i="15"/>
  <c r="F33" i="44"/>
  <c r="B5" i="59"/>
  <c r="D6" i="59"/>
  <c r="C5" i="59"/>
  <c r="D5" i="59"/>
  <c r="M20" i="46"/>
  <c r="C19" i="46"/>
  <c r="D107" i="46"/>
  <c r="M106" i="46"/>
  <c r="M104" i="46"/>
  <c r="M102" i="46"/>
  <c r="H107" i="46"/>
  <c r="M105" i="46"/>
  <c r="C5" i="46"/>
  <c r="H105" i="46"/>
  <c r="H109" i="46"/>
  <c r="D103" i="46"/>
  <c r="D102" i="46"/>
  <c r="H104" i="46"/>
  <c r="H106" i="46"/>
  <c r="F18" i="11"/>
  <c r="C18" i="11" s="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20" i="46"/>
  <c r="E41" i="46"/>
  <c r="C41" i="46"/>
  <c r="C39" i="46"/>
  <c r="G39" i="46"/>
  <c r="I39" i="46"/>
  <c r="C20" i="46"/>
  <c r="S5" i="46"/>
  <c r="S2" i="46"/>
  <c r="T2" i="46"/>
  <c r="V2" i="46"/>
  <c r="S3" i="46"/>
  <c r="S7" i="46"/>
  <c r="T7" i="46"/>
  <c r="V7" i="46"/>
  <c r="S6" i="46"/>
  <c r="S4" i="46"/>
  <c r="T4" i="46"/>
  <c r="V4" i="46"/>
  <c r="K16" i="1"/>
  <c r="K27" i="6"/>
  <c r="E63" i="40"/>
  <c r="C22" i="4"/>
  <c r="D10" i="6"/>
  <c r="D13" i="6"/>
  <c r="H21" i="6"/>
  <c r="H24" i="6"/>
  <c r="D6" i="6"/>
  <c r="D14" i="6"/>
  <c r="D8" i="6"/>
  <c r="H23" i="6"/>
  <c r="E45" i="9"/>
  <c r="F45" i="9"/>
  <c r="E68" i="39"/>
  <c r="K38" i="9"/>
  <c r="C14" i="66"/>
  <c r="B2" i="66"/>
  <c r="D7" i="66" s="1"/>
  <c r="H26" i="6"/>
  <c r="R26" i="6"/>
  <c r="D11" i="6"/>
  <c r="D12" i="6"/>
  <c r="H20" i="6"/>
  <c r="H25" i="6"/>
  <c r="D9" i="6"/>
  <c r="D5" i="6"/>
  <c r="H22" i="6"/>
  <c r="D15" i="6"/>
  <c r="F46" i="9"/>
  <c r="E46" i="9"/>
  <c r="G52" i="37"/>
  <c r="H7" i="34"/>
  <c r="J7" i="34"/>
  <c r="R49" i="33"/>
  <c r="E48" i="33"/>
  <c r="G48" i="35"/>
  <c r="G52" i="33"/>
  <c r="H52" i="33"/>
  <c r="G53" i="33"/>
  <c r="H53" i="33"/>
  <c r="I65" i="40"/>
  <c r="H67" i="40"/>
  <c r="F46" i="36"/>
  <c r="G46" i="36"/>
  <c r="H46" i="36"/>
  <c r="I46" i="36"/>
  <c r="J46" i="36"/>
  <c r="K46" i="36"/>
  <c r="L46" i="36"/>
  <c r="M46" i="36"/>
  <c r="N46" i="36"/>
  <c r="O46" i="36"/>
  <c r="F7" i="36"/>
  <c r="F7" i="34"/>
  <c r="C34" i="46"/>
  <c r="E34" i="46"/>
  <c r="C37" i="46"/>
  <c r="G37" i="46"/>
  <c r="I37" i="46"/>
  <c r="C36" i="46"/>
  <c r="C33" i="46"/>
  <c r="C115" i="46"/>
  <c r="D113" i="46"/>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R22" i="6"/>
  <c r="R23" i="6"/>
  <c r="R25" i="6"/>
  <c r="M27" i="6"/>
  <c r="D8" i="66"/>
  <c r="R20" i="6"/>
  <c r="R21" i="6"/>
  <c r="A6" i="51"/>
  <c r="B7" i="63"/>
  <c r="A6" i="64"/>
  <c r="A20" i="64"/>
  <c r="A20" i="51"/>
  <c r="B15" i="63"/>
  <c r="N5" i="54"/>
  <c r="B43" i="63"/>
  <c r="T13" i="1"/>
  <c r="M16" i="1"/>
  <c r="C13" i="43" s="1"/>
  <c r="T9" i="1"/>
  <c r="T11" i="1"/>
  <c r="T12" i="1"/>
  <c r="O16" i="1"/>
  <c r="T7"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E29" i="46"/>
  <c r="C30" i="46"/>
  <c r="E30" i="46"/>
  <c r="E35" i="46"/>
  <c r="G35" i="46"/>
  <c r="I35" i="46"/>
  <c r="I27" i="6"/>
  <c r="S19" i="6"/>
  <c r="S27" i="6"/>
  <c r="L16" i="1"/>
  <c r="N16" i="1"/>
  <c r="C29" i="43" s="1"/>
  <c r="W7" i="36"/>
  <c r="AC7" i="36"/>
  <c r="V36" i="36"/>
  <c r="I36" i="36"/>
  <c r="K65" i="40"/>
  <c r="J67" i="40"/>
  <c r="I52" i="37"/>
  <c r="G54" i="34"/>
  <c r="H54" i="34"/>
  <c r="G53" i="34"/>
  <c r="H53" i="34"/>
  <c r="R50" i="34"/>
  <c r="E49" i="34"/>
  <c r="I53" i="34"/>
  <c r="J53" i="34"/>
  <c r="I54" i="34"/>
  <c r="J54" i="34"/>
  <c r="AB7" i="36"/>
  <c r="T36" i="36"/>
  <c r="G36" i="36"/>
  <c r="U7" i="36"/>
  <c r="I48" i="35"/>
  <c r="E36" i="36"/>
  <c r="R37" i="36"/>
  <c r="I5" i="6"/>
  <c r="C2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B2" i="46"/>
  <c r="D4" i="46"/>
  <c r="S9" i="39"/>
  <c r="L67" i="40"/>
  <c r="M65" i="40"/>
  <c r="K48" i="35"/>
  <c r="L48" i="35"/>
  <c r="M48" i="35"/>
  <c r="N48" i="35"/>
  <c r="O48" i="35"/>
  <c r="J7" i="35"/>
  <c r="K52" i="37"/>
  <c r="B3" i="46"/>
  <c r="B4" i="46"/>
  <c r="AC7" i="35"/>
  <c r="V38" i="35"/>
  <c r="I38" i="35"/>
  <c r="W7" i="35"/>
  <c r="W9" i="39"/>
  <c r="N65" i="40"/>
  <c r="N67" i="40"/>
  <c r="M67" i="40"/>
  <c r="L52" i="37"/>
  <c r="F7" i="35"/>
  <c r="H7" i="35"/>
  <c r="U9" i="39"/>
  <c r="AB7" i="35"/>
  <c r="T38" i="35"/>
  <c r="G38" i="35"/>
  <c r="U7" i="35"/>
  <c r="AA7" i="35"/>
  <c r="R38" i="35"/>
  <c r="S7" i="35"/>
  <c r="M52" i="37"/>
  <c r="J9" i="40"/>
  <c r="F9" i="40"/>
  <c r="H9" i="40"/>
  <c r="I42" i="35"/>
  <c r="J42" i="35"/>
  <c r="S9" i="40"/>
  <c r="AA9" i="40"/>
  <c r="R44" i="40"/>
  <c r="U9" i="40"/>
  <c r="AB9" i="40"/>
  <c r="T44" i="40"/>
  <c r="G44" i="40"/>
  <c r="W9" i="40"/>
  <c r="AC9" i="40"/>
  <c r="V44" i="40"/>
  <c r="I44" i="40"/>
  <c r="N52" i="37"/>
  <c r="O52" i="37"/>
  <c r="F7" i="37"/>
  <c r="R39" i="35"/>
  <c r="E38" i="35"/>
  <c r="G42" i="35"/>
  <c r="H42" i="35"/>
  <c r="G43" i="35"/>
  <c r="H43" i="35"/>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6" i="1"/>
  <c r="F12" i="39"/>
  <c r="AA12" i="39"/>
  <c r="H12" i="39"/>
  <c r="AB12" i="39"/>
  <c r="J12" i="39"/>
  <c r="AC12" i="39"/>
  <c r="F12" i="40"/>
  <c r="AA12" i="40"/>
  <c r="S12" i="40"/>
  <c r="S12" i="39"/>
  <c r="J12" i="40"/>
  <c r="W12" i="40"/>
  <c r="AC12" i="40"/>
  <c r="W12" i="39"/>
  <c r="H12" i="40"/>
  <c r="AB12" i="40"/>
  <c r="U12" i="40"/>
  <c r="U12" i="39"/>
  <c r="I5" i="65"/>
  <c r="F11" i="44"/>
  <c r="F42" i="15"/>
  <c r="M23" i="15"/>
  <c r="L48" i="15"/>
  <c r="F28" i="44"/>
  <c r="F6" i="15"/>
  <c r="L48" i="44"/>
  <c r="F8" i="15"/>
  <c r="N5" i="65"/>
  <c r="F16" i="15"/>
  <c r="F13" i="67"/>
  <c r="E12" i="67"/>
  <c r="F8" i="67"/>
  <c r="F46" i="44"/>
  <c r="B10" i="67"/>
  <c r="F10" i="67"/>
  <c r="F40" i="44"/>
  <c r="F9" i="15"/>
  <c r="F38" i="15"/>
  <c r="F7" i="15"/>
  <c r="F45" i="44"/>
  <c r="I6" i="65"/>
  <c r="J5" i="65"/>
  <c r="I7" i="65"/>
  <c r="F40" i="15"/>
  <c r="F43" i="15"/>
  <c r="E9" i="67"/>
  <c r="N3" i="65"/>
  <c r="B14" i="67"/>
  <c r="F35" i="15"/>
  <c r="B9" i="67"/>
  <c r="E8" i="67"/>
  <c r="N6" i="65"/>
  <c r="M8" i="15"/>
  <c r="F13" i="15"/>
  <c r="B11" i="67"/>
  <c r="M22" i="15"/>
  <c r="F15" i="44"/>
  <c r="M26" i="44"/>
  <c r="M24" i="44"/>
  <c r="F14" i="67"/>
  <c r="M24" i="15"/>
  <c r="M23" i="44"/>
  <c r="M28" i="44"/>
  <c r="M28" i="15"/>
  <c r="B12" i="67"/>
  <c r="I4" i="65"/>
  <c r="E7" i="67"/>
  <c r="C16" i="44"/>
  <c r="N4" i="65"/>
  <c r="B13" i="67"/>
  <c r="J17" i="44"/>
  <c r="F8" i="44"/>
  <c r="E10" i="67"/>
  <c r="M6" i="15"/>
  <c r="J15" i="15"/>
  <c r="M27" i="15"/>
  <c r="F9" i="67"/>
  <c r="F18" i="44"/>
  <c r="L49" i="44"/>
  <c r="E11" i="67"/>
  <c r="M21" i="15"/>
  <c r="J3" i="65"/>
  <c r="M30" i="44"/>
  <c r="F37" i="15"/>
  <c r="M11" i="44"/>
  <c r="F37" i="44"/>
  <c r="M9" i="15"/>
  <c r="F12" i="67"/>
  <c r="F38" i="44"/>
  <c r="F26" i="15"/>
  <c r="M10" i="44"/>
  <c r="F11" i="67"/>
  <c r="B8" i="67"/>
  <c r="B7" i="67"/>
  <c r="M8" i="44"/>
  <c r="F39" i="44"/>
  <c r="E14" i="67"/>
  <c r="F9" i="44"/>
  <c r="M29" i="44"/>
  <c r="F10" i="44"/>
  <c r="C19" i="44"/>
  <c r="M25" i="44"/>
  <c r="J7" i="65"/>
  <c r="I3" i="65"/>
  <c r="L47" i="15"/>
  <c r="M31" i="44"/>
  <c r="N7" i="65"/>
  <c r="F43" i="44"/>
  <c r="F41" i="15"/>
  <c r="M26" i="15"/>
  <c r="J36" i="15"/>
  <c r="M29" i="15"/>
  <c r="E13" i="67"/>
  <c r="F36" i="15"/>
  <c r="J4" i="65"/>
  <c r="C14" i="15"/>
  <c r="J6" i="65"/>
  <c r="D24" i="44" l="1"/>
  <c r="D24" i="15"/>
  <c r="D23" i="15"/>
  <c r="F15" i="72"/>
  <c r="AA15" i="72" s="1"/>
  <c r="F77" i="72"/>
  <c r="S15" i="72"/>
  <c r="F29" i="39"/>
  <c r="S29" i="39" s="1"/>
  <c r="F103" i="39"/>
  <c r="G103" i="39" s="1"/>
  <c r="AA29" i="39"/>
  <c r="J29" i="39"/>
  <c r="H29" i="39"/>
  <c r="H19" i="39"/>
  <c r="F93" i="39"/>
  <c r="G93" i="39" s="1"/>
  <c r="J19" i="39"/>
  <c r="F91" i="39"/>
  <c r="G91" i="39" s="1"/>
  <c r="F17" i="39"/>
  <c r="AA17" i="39" s="1"/>
  <c r="H17" i="39"/>
  <c r="AB17" i="39" s="1"/>
  <c r="J17" i="39"/>
  <c r="F32" i="72"/>
  <c r="F101" i="72"/>
  <c r="B5" i="52"/>
  <c r="E6" i="52"/>
  <c r="AC38" i="39"/>
  <c r="U17" i="39"/>
  <c r="U36" i="39"/>
  <c r="U39" i="39"/>
  <c r="S17" i="39"/>
  <c r="I1" i="65"/>
  <c r="B4" i="52"/>
  <c r="D26" i="44"/>
  <c r="B13" i="52"/>
  <c r="E15" i="52"/>
  <c r="E22" i="52"/>
  <c r="E21" i="52"/>
  <c r="B16" i="52"/>
  <c r="E8" i="52"/>
  <c r="E17" i="52"/>
  <c r="B10" i="52"/>
  <c r="B7" i="52"/>
  <c r="E14" i="52"/>
  <c r="C17" i="43"/>
  <c r="C14" i="43"/>
  <c r="F42" i="72"/>
  <c r="AA42" i="72" s="1"/>
  <c r="F123" i="72"/>
  <c r="G123" i="72" s="1"/>
  <c r="H123" i="72" s="1"/>
  <c r="I123" i="72" s="1"/>
  <c r="J123" i="72" s="1"/>
  <c r="K123" i="72" s="1"/>
  <c r="L123" i="72" s="1"/>
  <c r="M123" i="72" s="1"/>
  <c r="E10" i="52"/>
  <c r="B8" i="52"/>
  <c r="B9" i="52"/>
  <c r="E16" i="52"/>
  <c r="B14" i="52"/>
  <c r="E11" i="52"/>
  <c r="E9" i="52"/>
  <c r="B11" i="52"/>
  <c r="B22" i="52"/>
  <c r="E5" i="52"/>
  <c r="E4" i="52"/>
  <c r="B6" i="52"/>
  <c r="E13" i="52"/>
  <c r="E4" i="4" s="1"/>
  <c r="B21" i="55" s="1"/>
  <c r="B72" i="63" s="1"/>
  <c r="P16" i="1"/>
  <c r="C13" i="12" s="1"/>
  <c r="C14" i="12" s="1"/>
  <c r="C15" i="12"/>
  <c r="S42" i="72"/>
  <c r="W42" i="72"/>
  <c r="C20" i="12"/>
  <c r="E7" i="52"/>
  <c r="C4" i="4" s="1"/>
  <c r="B20" i="55" s="1"/>
  <c r="B70" i="63" s="1"/>
  <c r="C17" i="44"/>
  <c r="C20" i="44"/>
  <c r="B2" i="67"/>
  <c r="E3" i="67"/>
  <c r="C15" i="15"/>
  <c r="C18" i="15"/>
  <c r="E20" i="46"/>
  <c r="F63" i="15"/>
  <c r="J22" i="44"/>
  <c r="C27" i="15"/>
  <c r="Q72" i="15"/>
  <c r="F68" i="15"/>
  <c r="Q73" i="44"/>
  <c r="C36" i="44"/>
  <c r="C34" i="15"/>
  <c r="F62" i="15"/>
  <c r="C61" i="15" s="1"/>
  <c r="F64" i="15"/>
  <c r="L58" i="15"/>
  <c r="L59" i="15"/>
  <c r="F70" i="15"/>
  <c r="F67" i="15"/>
  <c r="J1" i="65"/>
  <c r="J20" i="15"/>
  <c r="M7" i="15"/>
  <c r="F49" i="15"/>
  <c r="F65" i="15"/>
  <c r="J60" i="44"/>
  <c r="I55" i="44"/>
  <c r="J61" i="44"/>
  <c r="Q50" i="44" s="1"/>
  <c r="J54" i="44"/>
  <c r="J58" i="44"/>
  <c r="J56" i="44" s="1"/>
  <c r="J59" i="44" s="1"/>
  <c r="Q52" i="44" s="1"/>
  <c r="L57" i="44"/>
  <c r="M9" i="44"/>
  <c r="J6" i="15"/>
  <c r="F50" i="15"/>
  <c r="C48" i="15" s="1"/>
  <c r="L60" i="44"/>
  <c r="L59" i="44"/>
  <c r="C8" i="44"/>
  <c r="C6" i="15"/>
  <c r="C29" i="44"/>
  <c r="J57" i="15"/>
  <c r="J55" i="15" s="1"/>
  <c r="J58" i="15" s="1"/>
  <c r="Q51" i="15" s="1"/>
  <c r="J53" i="15"/>
  <c r="I54" i="15"/>
  <c r="L56" i="15"/>
  <c r="J8" i="44"/>
  <c r="C4" i="65"/>
  <c r="B39" i="1" s="1"/>
  <c r="E2" i="65"/>
  <c r="F7" i="67"/>
  <c r="E3" i="65"/>
  <c r="C16" i="15"/>
  <c r="C18" i="44"/>
  <c r="C17" i="15"/>
  <c r="H15" i="72" l="1"/>
  <c r="G77" i="72"/>
  <c r="J15" i="72"/>
  <c r="AB29" i="39"/>
  <c r="U29" i="39"/>
  <c r="AC29" i="39"/>
  <c r="W29" i="39"/>
  <c r="AC19" i="39"/>
  <c r="W19" i="39"/>
  <c r="AB19" i="39"/>
  <c r="T49" i="39" s="1"/>
  <c r="G49" i="39" s="1"/>
  <c r="U19" i="39"/>
  <c r="C17" i="12"/>
  <c r="F19" i="39"/>
  <c r="AC17" i="39"/>
  <c r="W17" i="39"/>
  <c r="V49" i="39"/>
  <c r="I49" i="39" s="1"/>
  <c r="I53" i="39" s="1"/>
  <c r="J53" i="39" s="1"/>
  <c r="S32" i="72"/>
  <c r="AA32" i="72"/>
  <c r="R48" i="72" s="1"/>
  <c r="G101" i="72"/>
  <c r="H32" i="72"/>
  <c r="G53" i="39"/>
  <c r="H53" i="39" s="1"/>
  <c r="G54" i="39"/>
  <c r="H54" i="39" s="1"/>
  <c r="B40" i="1"/>
  <c r="F21" i="43" s="1"/>
  <c r="C23" i="43" s="1"/>
  <c r="D21" i="43" s="1"/>
  <c r="C18" i="43"/>
  <c r="C19" i="43" s="1"/>
  <c r="C25" i="43" s="1"/>
  <c r="C24" i="43" s="1"/>
  <c r="C18" i="12"/>
  <c r="C23" i="12" s="1"/>
  <c r="C19" i="15"/>
  <c r="C21" i="44"/>
  <c r="F17" i="11"/>
  <c r="C17" i="11" s="1"/>
  <c r="C19" i="11" s="1"/>
  <c r="E4" i="67"/>
  <c r="B4" i="67" s="1"/>
  <c r="F13" i="44"/>
  <c r="C12" i="44" s="1"/>
  <c r="C7" i="44" s="1"/>
  <c r="F11" i="15"/>
  <c r="M11" i="15"/>
  <c r="J10" i="15" s="1"/>
  <c r="J5" i="15" s="1"/>
  <c r="M13" i="44"/>
  <c r="J12" i="44" s="1"/>
  <c r="J7" i="44" s="1"/>
  <c r="F1" i="15"/>
  <c r="Q53" i="15"/>
  <c r="Q76" i="44"/>
  <c r="Q63" i="44"/>
  <c r="L47" i="44"/>
  <c r="Q54" i="44"/>
  <c r="F1" i="44"/>
  <c r="Q61" i="15"/>
  <c r="Q74" i="15"/>
  <c r="B3" i="67"/>
  <c r="Q75" i="44"/>
  <c r="Q62" i="44"/>
  <c r="Q75" i="15"/>
  <c r="Q62" i="15"/>
  <c r="P28" i="46"/>
  <c r="O28" i="46"/>
  <c r="N28" i="46"/>
  <c r="M28" i="46"/>
  <c r="F26" i="12" l="1"/>
  <c r="C27" i="12" s="1"/>
  <c r="D26" i="12" s="1"/>
  <c r="C32" i="12" s="1"/>
  <c r="D30" i="12" s="1"/>
  <c r="AC15" i="72"/>
  <c r="W15" i="72"/>
  <c r="AB15" i="72"/>
  <c r="U15" i="72"/>
  <c r="AA19" i="39"/>
  <c r="R49" i="39" s="1"/>
  <c r="S19" i="39"/>
  <c r="E48" i="72"/>
  <c r="E52" i="72" s="1"/>
  <c r="F52" i="72" s="1"/>
  <c r="AB32" i="72"/>
  <c r="U32" i="72"/>
  <c r="J32" i="72"/>
  <c r="H101" i="72"/>
  <c r="I101" i="72" s="1"/>
  <c r="J101" i="72" s="1"/>
  <c r="K101" i="72" s="1"/>
  <c r="L101" i="72" s="1"/>
  <c r="M101" i="72" s="1"/>
  <c r="F26" i="44"/>
  <c r="C26" i="44" s="1"/>
  <c r="F24" i="15"/>
  <c r="C24" i="15" s="1"/>
  <c r="C22" i="43"/>
  <c r="C21" i="43" s="1"/>
  <c r="C28" i="43" s="1"/>
  <c r="C30" i="43" s="1"/>
  <c r="C32" i="43" s="1"/>
  <c r="B2" i="43" s="1"/>
  <c r="B5" i="43" s="1"/>
  <c r="C40" i="44"/>
  <c r="C34" i="44"/>
  <c r="C22" i="44"/>
  <c r="C28" i="44" s="1"/>
  <c r="J28" i="44"/>
  <c r="J31" i="44" s="1"/>
  <c r="J26" i="44"/>
  <c r="J20" i="44"/>
  <c r="J18" i="15"/>
  <c r="J26" i="15"/>
  <c r="J29" i="15" s="1"/>
  <c r="J24" i="15"/>
  <c r="C52" i="15"/>
  <c r="C47" i="15" s="1"/>
  <c r="C10" i="15"/>
  <c r="C5" i="15" s="1"/>
  <c r="C20" i="11"/>
  <c r="C21" i="11" s="1"/>
  <c r="C22" i="11" s="1"/>
  <c r="C23" i="11" s="1"/>
  <c r="B2" i="11" s="1"/>
  <c r="C20" i="15"/>
  <c r="C26" i="15" s="1"/>
  <c r="L52" i="44"/>
  <c r="T48" i="72" l="1"/>
  <c r="G48" i="72" s="1"/>
  <c r="E53" i="72" s="1"/>
  <c r="F53" i="72" s="1"/>
  <c r="R50" i="39"/>
  <c r="E49" i="39"/>
  <c r="AC32" i="72"/>
  <c r="V48" i="72" s="1"/>
  <c r="I48" i="72" s="1"/>
  <c r="W32" i="72"/>
  <c r="C25" i="44"/>
  <c r="C31" i="44" s="1"/>
  <c r="C23" i="15"/>
  <c r="C29" i="15" s="1"/>
  <c r="Q50" i="15" s="1"/>
  <c r="B3" i="43"/>
  <c r="B4" i="43"/>
  <c r="Q69" i="44"/>
  <c r="L58" i="44"/>
  <c r="L61" i="44" s="1"/>
  <c r="B3" i="11"/>
  <c r="B5" i="11"/>
  <c r="B4" i="11"/>
  <c r="C59" i="15"/>
  <c r="C65" i="15"/>
  <c r="Q49" i="44"/>
  <c r="Q55" i="44" s="1"/>
  <c r="Q67" i="44"/>
  <c r="Q58" i="44"/>
  <c r="C38" i="15"/>
  <c r="C32" i="15"/>
  <c r="R49" i="72" l="1"/>
  <c r="C48" i="72" s="1"/>
  <c r="G53" i="72"/>
  <c r="H53" i="72" s="1"/>
  <c r="G52" i="72"/>
  <c r="H52" i="72" s="1"/>
  <c r="I54" i="39"/>
  <c r="J54" i="39" s="1"/>
  <c r="E54" i="39"/>
  <c r="F54" i="39" s="1"/>
  <c r="E53" i="39"/>
  <c r="F53" i="39" s="1"/>
  <c r="C50" i="39"/>
  <c r="C49" i="39"/>
  <c r="C49" i="72"/>
  <c r="B3" i="72" s="1"/>
  <c r="I52" i="72"/>
  <c r="J52" i="72" s="1"/>
  <c r="I53" i="72"/>
  <c r="J53" i="72" s="1"/>
  <c r="C36" i="15"/>
  <c r="C33" i="15"/>
  <c r="C31" i="15" s="1"/>
  <c r="J19" i="15"/>
  <c r="J17" i="15" s="1"/>
  <c r="J14" i="15"/>
  <c r="J22" i="15" s="1"/>
  <c r="J59" i="15"/>
  <c r="J60" i="15" s="1"/>
  <c r="Q49" i="15" s="1"/>
  <c r="C56" i="15"/>
  <c r="C60" i="15" s="1"/>
  <c r="C58" i="15" s="1"/>
  <c r="C13" i="15"/>
  <c r="J35" i="15" s="1"/>
  <c r="Q51" i="44"/>
  <c r="C15" i="44"/>
  <c r="C38" i="44"/>
  <c r="J16" i="44"/>
  <c r="J21" i="44"/>
  <c r="J19" i="44" s="1"/>
  <c r="C35" i="44"/>
  <c r="C33" i="44" s="1"/>
  <c r="Q68" i="44"/>
  <c r="Q77" i="44" s="1"/>
  <c r="Q59" i="44"/>
  <c r="Q64" i="44" s="1"/>
  <c r="B59" i="39" l="1"/>
  <c r="F59" i="39" s="1"/>
  <c r="B61" i="39"/>
  <c r="F61" i="39" s="1"/>
  <c r="B63" i="39"/>
  <c r="F63" i="39" s="1"/>
  <c r="B65" i="39"/>
  <c r="F65" i="39" s="1"/>
  <c r="B67" i="39"/>
  <c r="F67" i="39" s="1"/>
  <c r="B58" i="39"/>
  <c r="F58" i="39" s="1"/>
  <c r="B60" i="39"/>
  <c r="F60" i="39" s="1"/>
  <c r="B62" i="39"/>
  <c r="F62" i="39" s="1"/>
  <c r="B64" i="39"/>
  <c r="F64" i="39" s="1"/>
  <c r="B66" i="39"/>
  <c r="F66" i="39" s="1"/>
  <c r="C8" i="12"/>
  <c r="B2" i="72"/>
  <c r="C10" i="12" s="1"/>
  <c r="C6" i="12" s="1"/>
  <c r="C37" i="15"/>
  <c r="C30" i="15" s="1"/>
  <c r="C39" i="15" s="1"/>
  <c r="J13" i="15"/>
  <c r="J23" i="15" s="1"/>
  <c r="J16" i="15" s="1"/>
  <c r="J25" i="15" s="1"/>
  <c r="C63" i="15"/>
  <c r="C55" i="15"/>
  <c r="C64" i="15" s="1"/>
  <c r="L46" i="15"/>
  <c r="Q71" i="15"/>
  <c r="J15" i="44"/>
  <c r="J25" i="44" s="1"/>
  <c r="J24" i="44"/>
  <c r="Q72" i="44"/>
  <c r="C43" i="44"/>
  <c r="C39" i="44"/>
  <c r="C32" i="44" s="1"/>
  <c r="C42" i="44" s="1"/>
  <c r="F68" i="39" l="1"/>
  <c r="B2" i="39" s="1"/>
  <c r="C24" i="12"/>
  <c r="C29" i="12"/>
  <c r="J39" i="15"/>
  <c r="J40" i="15" s="1"/>
  <c r="C57" i="15"/>
  <c r="C66" i="15" s="1"/>
  <c r="C67" i="15" s="1"/>
  <c r="C70" i="15" s="1"/>
  <c r="C40" i="15"/>
  <c r="Q48" i="15" s="1"/>
  <c r="Q54" i="15" s="1"/>
  <c r="Q70" i="15"/>
  <c r="Q69" i="15" s="1"/>
  <c r="J18" i="44"/>
  <c r="J27" i="44" s="1"/>
  <c r="Q71" i="44"/>
  <c r="Q70" i="44" s="1"/>
  <c r="C44" i="44"/>
  <c r="C45" i="44" s="1"/>
  <c r="B2" i="44" s="1"/>
  <c r="C19" i="9"/>
  <c r="L51" i="15"/>
  <c r="L43" i="9" l="1"/>
  <c r="B4" i="39"/>
  <c r="B3" i="39"/>
  <c r="B5" i="39"/>
  <c r="C28" i="12"/>
  <c r="C26" i="12" s="1"/>
  <c r="C31" i="12" s="1"/>
  <c r="C30" i="12" s="1"/>
  <c r="C35" i="12"/>
  <c r="C33" i="12" s="1"/>
  <c r="L57" i="15"/>
  <c r="L60" i="15" s="1"/>
  <c r="Q58" i="15" s="1"/>
  <c r="Q68" i="15"/>
  <c r="J42" i="15"/>
  <c r="J43" i="15" s="1"/>
  <c r="Q57" i="15"/>
  <c r="C43" i="15"/>
  <c r="C46" i="15"/>
  <c r="Q66" i="15"/>
  <c r="B2" i="15"/>
  <c r="B3" i="15" s="1"/>
  <c r="B5" i="44"/>
  <c r="B4" i="44"/>
  <c r="B3" i="44"/>
  <c r="C21" i="9"/>
  <c r="C20" i="9"/>
  <c r="C36" i="12" l="1"/>
  <c r="B2" i="12" s="1"/>
  <c r="Q67" i="15"/>
  <c r="Q63" i="15"/>
  <c r="Q76" i="15"/>
  <c r="D19" i="9"/>
  <c r="D22" i="9" l="1"/>
  <c r="G19" i="9"/>
  <c r="C32" i="9" s="1"/>
  <c r="C33" i="9" s="1"/>
  <c r="L44" i="9"/>
  <c r="B3" i="12"/>
  <c r="B4" i="12"/>
  <c r="B5" i="12"/>
  <c r="D20" i="9"/>
  <c r="D21" i="9"/>
  <c r="C34" i="9" l="1"/>
  <c r="M38" i="9" s="1"/>
  <c r="K27" i="9" s="1"/>
  <c r="C35" i="9"/>
  <c r="F42" i="9" s="1"/>
  <c r="O43" i="9"/>
  <c r="C42" i="9"/>
  <c r="R5" i="54" s="1"/>
  <c r="B48" i="63" s="1"/>
  <c r="O38" i="9"/>
  <c r="K25" i="9" s="1"/>
  <c r="G21" i="9"/>
  <c r="G20" i="9"/>
  <c r="N43" i="9"/>
  <c r="G22" i="9"/>
  <c r="N68" i="9"/>
  <c r="D42" i="9"/>
  <c r="Q5" i="54" s="1"/>
  <c r="B47" i="63" s="1"/>
  <c r="N38" i="9"/>
  <c r="D63" i="9" l="1"/>
  <c r="K26" i="9"/>
  <c r="C44" i="9"/>
  <c r="D14" i="66"/>
  <c r="E14" i="66" s="1"/>
  <c r="E42" i="9"/>
  <c r="P5" i="54" s="1"/>
  <c r="B46" i="63" s="1"/>
  <c r="F14" i="66"/>
  <c r="K28" i="9"/>
  <c r="R24" i="31"/>
  <c r="C111" i="9"/>
  <c r="C104" i="9" s="1"/>
  <c r="C90" i="9"/>
  <c r="C103" i="9"/>
  <c r="C113" i="9" s="1"/>
  <c r="D77" i="9"/>
  <c r="N75" i="9" s="1"/>
  <c r="C82" i="9"/>
  <c r="C81" i="9" s="1"/>
  <c r="C85" i="9" s="1"/>
  <c r="C86" i="9" s="1"/>
  <c r="D72" i="9" s="1"/>
  <c r="D71" i="9"/>
  <c r="D66" i="9" s="1"/>
  <c r="N72" i="9" s="1"/>
  <c r="D70" i="9"/>
  <c r="C96" i="9"/>
  <c r="C91" i="9" s="1"/>
  <c r="G14" i="66"/>
  <c r="N69" i="9"/>
  <c r="E44" i="9"/>
  <c r="O39" i="9"/>
  <c r="F44" i="9"/>
  <c r="D44" i="9"/>
  <c r="K29" i="9" l="1"/>
  <c r="K30" i="9" s="1"/>
  <c r="R6" i="54"/>
  <c r="B50" i="63" s="1"/>
  <c r="M83" i="9"/>
  <c r="N83" i="9" s="1"/>
  <c r="M85" i="9"/>
  <c r="N85" i="9" s="1"/>
  <c r="M87" i="9"/>
  <c r="N87" i="9" s="1"/>
  <c r="M84" i="9"/>
  <c r="N84" i="9" s="1"/>
  <c r="M86" i="9"/>
  <c r="N86" i="9" s="1"/>
  <c r="M88" i="9"/>
  <c r="N88" i="9" s="1"/>
  <c r="C97" i="9"/>
  <c r="S24" i="31"/>
  <c r="R25" i="31"/>
  <c r="S25" i="31" s="1"/>
  <c r="D15" i="66" s="1"/>
  <c r="C114" i="9"/>
  <c r="E114" i="9" s="1"/>
  <c r="E115" i="9" s="1"/>
  <c r="C115" i="9" l="1"/>
  <c r="D76" i="9" s="1"/>
  <c r="D74" i="9" s="1"/>
  <c r="N74" i="9" s="1"/>
  <c r="O77" i="9" s="1"/>
  <c r="O79" i="9" s="1"/>
  <c r="O81" i="9" s="1"/>
  <c r="F15" i="66"/>
  <c r="E15" i="66"/>
  <c r="G15" i="66"/>
  <c r="C98" i="9"/>
  <c r="E98" i="9" s="1"/>
  <c r="E99" i="9" s="1"/>
  <c r="N89" i="9"/>
  <c r="O89" i="9" s="1"/>
  <c r="S22" i="31"/>
  <c r="O78" i="9" l="1"/>
  <c r="O80" i="9"/>
  <c r="Q77" i="9"/>
  <c r="R22" i="31"/>
  <c r="B21" i="31" s="1"/>
  <c r="B20" i="31"/>
  <c r="C99" i="9"/>
  <c r="D17" i="66"/>
  <c r="F17" i="66" l="1"/>
  <c r="G17" i="66"/>
  <c r="E17" i="66"/>
  <c r="D16" i="66"/>
  <c r="E16" i="66" l="1"/>
  <c r="G16" i="66"/>
  <c r="B6" i="66" s="1"/>
  <c r="F16" i="66"/>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<sst xmlns="http://schemas.openxmlformats.org/spreadsheetml/2006/main" count="8526" uniqueCount="3297">
  <si>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</si>
  <si>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</si>
  <si>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</si>
  <si>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</si>
  <si>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</si>
  <si>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</si>
  <si>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</si>
  <si>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</si>
  <si>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</si>
  <si>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</si>
  <si>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</si>
  <si>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</si>
  <si>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</si>
  <si>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</si>
  <si>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</si>
  <si>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</si>
  <si>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</si>
  <si>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</si>
  <si>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</si>
  <si>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</si>
  <si>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</si>
  <si>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</si>
  <si>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</si>
  <si>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</si>
  <si>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</si>
  <si>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</si>
  <si>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</si>
  <si>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</si>
  <si>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</si>
  <si>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</si>
  <si>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</si>
  <si>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</si>
  <si>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</si>
  <si>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</si>
  <si>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</si>
  <si>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</si>
  <si>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</si>
  <si>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</si>
  <si>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</si>
  <si>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</si>
  <si>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</si>
  <si>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</si>
  <si>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</si>
  <si>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</si>
  <si>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</si>
  <si>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</si>
  <si>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</si>
  <si>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</si>
  <si>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</si>
  <si>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</si>
  <si>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</si>
  <si>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</si>
  <si>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</si>
  <si>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</si>
  <si>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</si>
  <si>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</si>
  <si>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</si>
  <si>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</si>
  <si>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</si>
  <si>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</si>
  <si>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</si>
  <si>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</si>
  <si>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</si>
  <si>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</si>
  <si>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</si>
  <si>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</si>
  <si>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</si>
  <si>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</si>
  <si>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</si>
  <si>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</si>
  <si>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</si>
  <si>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</si>
  <si>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</si>
  <si>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</si>
  <si>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</si>
  <si>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</si>
  <si>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</si>
  <si>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</si>
  <si>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</si>
  <si>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</si>
  <si>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</si>
  <si>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</si>
  <si>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</si>
  <si>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</si>
  <si>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</si>
  <si>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</si>
  <si>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</si>
  <si>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</si>
  <si>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</si>
  <si>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</si>
  <si>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</si>
  <si>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</si>
  <si>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</si>
  <si>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</si>
  <si>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</si>
  <si>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</si>
  <si>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</si>
  <si>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</si>
  <si>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</si>
  <si>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</si>
  <si>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</si>
  <si>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</si>
  <si>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</si>
  <si>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</si>
  <si>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</si>
  <si>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</si>
  <si>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</si>
  <si>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</si>
  <si>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</si>
  <si>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</si>
  <si>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</si>
  <si>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</si>
  <si>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</si>
  <si>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</si>
  <si>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</si>
  <si>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</si>
  <si>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</si>
  <si>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</si>
  <si>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</si>
  <si>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</si>
  <si>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</si>
  <si>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</si>
  <si>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</si>
  <si>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</si>
  <si>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</si>
  <si>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</si>
  <si>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</si>
  <si>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</si>
  <si>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</si>
  <si>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</si>
  <si>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</si>
  <si>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</si>
  <si>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</si>
  <si>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</si>
  <si>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</si>
  <si>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</si>
  <si>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</si>
  <si>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</si>
  <si>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</si>
  <si>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</si>
  <si>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</si>
  <si>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</si>
  <si>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</si>
  <si>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</si>
  <si>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</si>
  <si>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</si>
  <si>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</si>
  <si>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</si>
  <si>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</si>
  <si>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</si>
  <si>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</si>
  <si>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</si>
  <si>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</si>
  <si>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</si>
  <si>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</si>
  <si>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</si>
  <si>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</si>
  <si>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</si>
  <si>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</si>
  <si>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</si>
  <si>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</si>
  <si>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</si>
  <si>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</si>
  <si>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</si>
  <si>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</si>
  <si>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</si>
  <si>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</si>
  <si>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</si>
  <si>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</si>
  <si>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</si>
  <si>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</si>
  <si>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</si>
  <si>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</si>
  <si>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</si>
  <si>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</si>
  <si>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</si>
  <si>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</si>
  <si>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</si>
  <si>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</si>
  <si>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</si>
  <si>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</si>
  <si>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</si>
  <si>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</si>
  <si>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</si>
  <si>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</si>
  <si>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</si>
  <si>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</si>
  <si>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</si>
  <si>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</si>
  <si>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</si>
  <si>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</si>
  <si>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</si>
  <si>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</si>
  <si>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</si>
  <si>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</si>
  <si>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</si>
  <si>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</si>
  <si>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</si>
  <si>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</si>
  <si>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</si>
  <si>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</si>
  <si>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</si>
  <si>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</si>
  <si>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</si>
  <si>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</si>
  <si>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</si>
  <si>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</si>
  <si>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</si>
  <si>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</si>
  <si>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</si>
  <si>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</si>
  <si>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</si>
  <si>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</si>
  <si>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</si>
  <si>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</si>
  <si>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</si>
  <si>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</si>
  <si>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</si>
  <si>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</si>
  <si>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</si>
  <si>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</si>
  <si>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</si>
  <si>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</si>
  <si>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</si>
  <si>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</si>
  <si>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</si>
  <si>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</si>
  <si>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</si>
  <si>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</si>
  <si>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</si>
  <si>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</si>
  <si>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</si>
  <si>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</si>
  <si>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</si>
  <si>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</si>
  <si>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</si>
  <si>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</si>
  <si>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</si>
  <si>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</si>
  <si>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</si>
  <si>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</si>
  <si>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</si>
  <si>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</si>
  <si>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</si>
  <si>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</si>
  <si>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</si>
  <si>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</si>
  <si>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</si>
  <si>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</si>
  <si>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</si>
  <si>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</si>
  <si>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</si>
  <si>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</si>
  <si>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</si>
  <si>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</si>
  <si>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</si>
  <si>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</si>
  <si>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</si>
  <si>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</si>
  <si>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</si>
  <si>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</si>
  <si>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</si>
  <si>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</si>
  <si>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</si>
  <si>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</si>
  <si>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</si>
  <si>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</si>
  <si>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</si>
  <si>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</si>
  <si>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</si>
  <si>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</si>
  <si>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</si>
  <si>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</si>
  <si>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</si>
  <si>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</si>
  <si>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</si>
  <si>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</si>
  <si>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</si>
  <si>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</si>
  <si>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</si>
  <si>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</si>
  <si>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</si>
  <si>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</si>
  <si>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</si>
  <si>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</si>
  <si>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</si>
  <si>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</si>
  <si>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</si>
  <si>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</si>
  <si>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</si>
  <si>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</si>
  <si>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</si>
  <si>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</si>
  <si>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</si>
  <si>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</si>
  <si>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</si>
  <si>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</si>
  <si>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</si>
  <si>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</si>
  <si>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</si>
  <si>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</si>
  <si>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</si>
  <si>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</si>
  <si>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</si>
  <si>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</si>
  <si>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</si>
  <si>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</si>
  <si>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</si>
  <si>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</si>
  <si>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</si>
  <si>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</si>
  <si>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</si>
  <si>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</si>
  <si>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</si>
  <si>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</si>
  <si>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</si>
  <si>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</si>
  <si>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</si>
  <si>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</si>
  <si>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</si>
  <si>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</si>
  <si>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</si>
  <si>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</si>
  <si>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</si>
  <si>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</si>
  <si>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</si>
  <si>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</si>
  <si>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</si>
  <si>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</si>
  <si>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</si>
  <si>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</si>
  <si>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</si>
  <si>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</si>
  <si>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</si>
  <si>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</si>
  <si>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</si>
  <si>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</si>
  <si>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</si>
  <si>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</si>
  <si>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</si>
  <si>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</si>
  <si>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</si>
  <si>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</si>
  <si>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</si>
  <si>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</si>
  <si>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</si>
  <si>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</si>
  <si>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</si>
  <si>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</si>
  <si>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</si>
  <si>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</si>
  <si>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</si>
  <si>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</si>
  <si>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</si>
  <si>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</si>
  <si>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</si>
  <si>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</si>
  <si>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</si>
  <si>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</si>
  <si>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</si>
  <si>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</si>
  <si>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</si>
  <si>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</si>
  <si>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</si>
  <si>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</si>
  <si>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</si>
  <si>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</si>
  <si>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</si>
  <si>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</si>
  <si>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</si>
  <si>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</si>
  <si>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</si>
  <si>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</si>
  <si>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</si>
  <si>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</si>
  <si>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</si>
  <si>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</si>
  <si>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</si>
  <si>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</si>
  <si>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</si>
  <si>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</si>
  <si>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</si>
  <si>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</si>
  <si>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</si>
  <si>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</si>
  <si>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</si>
  <si>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</si>
  <si>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</si>
  <si>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</si>
  <si>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</si>
  <si>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</si>
  <si>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</si>
  <si>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</si>
  <si>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</si>
  <si>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</si>
  <si>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</si>
  <si>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</si>
  <si>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</si>
  <si>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</si>
  <si>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</si>
  <si>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</si>
  <si>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</si>
  <si>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</si>
  <si>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</si>
  <si>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</si>
  <si>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</si>
  <si>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</si>
  <si>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</si>
  <si>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</si>
  <si>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</si>
  <si>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</si>
  <si>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</si>
  <si>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</si>
  <si>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</si>
  <si>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</si>
  <si>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</si>
  <si>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</si>
  <si>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</si>
  <si>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</si>
  <si>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</si>
  <si>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</si>
  <si>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</si>
  <si>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</si>
  <si>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</si>
  <si>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</si>
  <si>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</si>
  <si>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</si>
  <si>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</si>
  <si>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</si>
  <si>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</si>
  <si>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</si>
  <si>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</si>
  <si>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</si>
  <si>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</si>
  <si>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</si>
  <si>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</si>
  <si>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</si>
  <si>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</si>
  <si>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</si>
  <si>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</si>
  <si>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</si>
  <si>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</si>
  <si>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</si>
  <si>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</si>
  <si>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</si>
  <si>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</si>
  <si>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</si>
  <si>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</si>
  <si>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</si>
  <si>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</si>
  <si>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</si>
  <si>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</si>
  <si>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</si>
  <si>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</si>
  <si>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</si>
  <si>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</si>
  <si>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</si>
  <si>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</si>
  <si>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</si>
  <si>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</si>
  <si>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</si>
  <si>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</si>
  <si>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</si>
  <si>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</si>
  <si>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</si>
  <si>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</si>
  <si>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</si>
  <si>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</si>
  <si>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</si>
  <si>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</si>
  <si>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</si>
  <si>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</si>
  <si>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</si>
  <si>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</si>
  <si>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</si>
  <si>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</si>
  <si>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</si>
  <si>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</si>
  <si>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</si>
  <si>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</si>
  <si>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</si>
  <si>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</si>
  <si>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</si>
  <si>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</si>
  <si>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</si>
  <si>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</si>
  <si>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</si>
  <si>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</si>
  <si>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</si>
  <si>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</si>
  <si>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</si>
  <si>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</si>
  <si>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</si>
  <si>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</si>
  <si>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</si>
  <si>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</si>
  <si>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</si>
  <si>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</si>
  <si>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</si>
  <si>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</si>
  <si>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</si>
  <si>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</si>
  <si>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</si>
  <si>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</si>
  <si>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</si>
  <si>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</si>
  <si>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</si>
  <si>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</si>
  <si>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</si>
  <si>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</si>
  <si>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</si>
  <si>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</si>
  <si>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</si>
  <si>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</si>
  <si>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</si>
  <si>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</si>
  <si>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</si>
  <si>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</si>
  <si>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</si>
  <si>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</si>
  <si>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</si>
  <si>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</si>
  <si>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</si>
  <si>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</si>
  <si>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</si>
  <si>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</si>
  <si>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</si>
  <si>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</si>
  <si>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</si>
  <si>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</si>
  <si>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</si>
  <si>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</si>
  <si>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</si>
  <si>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</si>
  <si>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</si>
  <si>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</si>
  <si>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</si>
  <si>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</si>
  <si>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</si>
  <si>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</si>
  <si>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</si>
  <si>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</si>
  <si>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</si>
  <si>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</si>
  <si>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</si>
  <si>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</si>
  <si>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</si>
  <si>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</si>
  <si>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</si>
  <si>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</si>
  <si>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</si>
  <si>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</si>
  <si>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</si>
  <si>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</si>
  <si>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</si>
  <si>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</si>
  <si>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</si>
  <si>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</si>
  <si>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</si>
  <si>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</si>
  <si>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</si>
  <si>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</si>
  <si>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</si>
  <si>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</si>
  <si>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</si>
  <si>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</si>
  <si>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</si>
  <si>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</si>
  <si>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</si>
  <si>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</si>
  <si>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</si>
  <si>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</si>
  <si>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</si>
  <si>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</si>
  <si>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</si>
  <si>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</si>
  <si>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</si>
  <si>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</si>
  <si>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</si>
  <si>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</si>
  <si>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</si>
  <si>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</si>
  <si>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</si>
  <si>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</si>
  <si>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</si>
  <si>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</si>
  <si>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</si>
  <si>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</si>
  <si>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</si>
  <si>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</si>
  <si>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</si>
  <si>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</si>
  <si>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</si>
  <si>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</si>
  <si>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</si>
  <si>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</si>
  <si>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</si>
  <si>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</si>
  <si>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</si>
  <si>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</si>
  <si>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</si>
  <si>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</si>
  <si>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</si>
  <si>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</si>
  <si>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</si>
  <si>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</si>
  <si>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</si>
  <si>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</si>
  <si>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</si>
  <si>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</si>
  <si>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</si>
  <si>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</si>
  <si>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</si>
  <si>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</si>
  <si>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</si>
  <si>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</si>
  <si>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</si>
  <si>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</si>
  <si>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</si>
  <si>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</si>
  <si>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</si>
  <si>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</si>
  <si>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</si>
  <si>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</si>
  <si>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</si>
  <si>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</si>
  <si>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</si>
  <si>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</si>
  <si>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</si>
  <si>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</si>
  <si>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</si>
  <si>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</si>
  <si>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</si>
  <si>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</si>
  <si>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</si>
  <si>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</si>
  <si>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</si>
  <si>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</si>
  <si>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</si>
  <si>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</si>
  <si>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</si>
  <si>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</si>
  <si>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</si>
  <si>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</si>
  <si>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</si>
  <si>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</si>
  <si>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</si>
  <si>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</si>
  <si>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</si>
  <si>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</si>
  <si>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</si>
  <si>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</si>
  <si>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</si>
  <si>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</si>
  <si>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</si>
  <si>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</si>
  <si>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</si>
  <si>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</si>
  <si>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</si>
  <si>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</si>
  <si>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</si>
  <si>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</si>
  <si>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</si>
  <si>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</si>
  <si>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</si>
  <si>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</si>
  <si>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</si>
  <si>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</si>
  <si>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</si>
  <si>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</si>
  <si>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</si>
  <si>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</si>
  <si>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</si>
  <si>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</si>
  <si>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</si>
  <si>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</si>
  <si>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</si>
  <si>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</si>
  <si>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</si>
  <si>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</si>
  <si>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</si>
  <si>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</si>
  <si>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</si>
  <si>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</si>
  <si>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</si>
  <si>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</si>
  <si>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</si>
  <si>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</si>
  <si>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</si>
  <si>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</si>
  <si>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</si>
  <si>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</si>
  <si>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</si>
  <si>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</si>
  <si>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</si>
  <si>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</si>
  <si>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</si>
  <si>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</si>
  <si>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</si>
  <si>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</si>
  <si>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</si>
  <si>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</si>
  <si>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</si>
  <si>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</si>
  <si>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</si>
  <si>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</si>
  <si>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</si>
  <si>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</si>
  <si>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</si>
  <si>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</si>
  <si>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</si>
  <si>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</si>
  <si>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</si>
  <si>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</si>
  <si>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</si>
  <si>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</si>
  <si>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</si>
  <si>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</si>
  <si>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</si>
  <si>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</si>
  <si>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</si>
  <si>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</si>
  <si>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</si>
  <si>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</si>
  <si>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</si>
  <si>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</si>
  <si>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</si>
  <si>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</si>
  <si>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</si>
  <si>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</si>
  <si>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</si>
  <si>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</si>
  <si>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</si>
  <si>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</si>
  <si>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</si>
  <si>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</si>
  <si>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</si>
  <si>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</si>
  <si>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</si>
  <si>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</si>
  <si>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</si>
  <si>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</si>
  <si>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</si>
  <si>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</si>
  <si>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</si>
  <si>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</si>
  <si>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</si>
  <si>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</si>
  <si>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</si>
  <si>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</si>
  <si>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</si>
  <si>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</si>
  <si>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</si>
  <si>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</si>
  <si>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</si>
  <si>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</si>
  <si>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</si>
  <si>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</si>
  <si>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</si>
  <si>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</si>
  <si>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</si>
  <si>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</si>
  <si>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</si>
  <si>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</si>
  <si>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</si>
  <si>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</si>
  <si>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</si>
  <si>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</si>
  <si>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</si>
  <si>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</si>
  <si>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</si>
  <si>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</si>
  <si>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</si>
  <si>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</si>
  <si>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</si>
  <si>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</si>
  <si>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</si>
  <si>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</si>
  <si>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</si>
  <si>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</si>
  <si>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</si>
  <si>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</si>
  <si>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</si>
  <si>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</si>
  <si>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</si>
  <si>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</si>
  <si>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</si>
  <si>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</si>
  <si>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</si>
  <si>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</si>
  <si>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</si>
  <si>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</si>
  <si>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</si>
  <si>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</si>
  <si>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</si>
  <si>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</si>
  <si>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</si>
  <si>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</si>
  <si>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</si>
  <si>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</si>
  <si>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</si>
  <si>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</si>
  <si>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</si>
  <si>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</si>
  <si>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</si>
  <si>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</si>
  <si>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</si>
  <si>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</si>
  <si>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</si>
  <si>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</si>
  <si>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</si>
  <si>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</si>
  <si>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</si>
  <si>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</si>
  <si>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</si>
  <si>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</si>
  <si>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</si>
  <si>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</si>
  <si>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</si>
  <si>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</si>
  <si>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</si>
  <si>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</si>
  <si>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</si>
  <si>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</si>
  <si>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</si>
  <si>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</si>
  <si>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</si>
  <si>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</si>
  <si>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</si>
  <si>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</si>
  <si>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</si>
  <si>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</si>
  <si>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</si>
  <si>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</si>
  <si>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</si>
  <si>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</si>
  <si>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</si>
  <si>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</si>
  <si>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</si>
  <si>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</si>
  <si>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</si>
  <si>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</si>
  <si>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</si>
  <si>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</si>
  <si>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</si>
  <si>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</si>
  <si>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</si>
  <si>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</si>
  <si>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</si>
  <si>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</si>
  <si>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</si>
  <si>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</si>
  <si>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</si>
  <si>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</si>
  <si>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</si>
  <si>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</si>
  <si>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</si>
  <si>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</si>
  <si>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</si>
  <si>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</si>
  <si>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</si>
  <si>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</si>
  <si>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</si>
  <si>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</si>
  <si>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</si>
  <si>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</si>
  <si>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</si>
  <si>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</si>
  <si>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</si>
  <si>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</si>
  <si>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</si>
  <si>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</si>
  <si>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</si>
  <si>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</si>
  <si>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</si>
  <si>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</si>
  <si>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</si>
  <si>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</si>
  <si>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</si>
  <si>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</si>
  <si>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</si>
  <si>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</si>
  <si>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</si>
  <si>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</si>
  <si>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</si>
  <si>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</si>
  <si>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</si>
  <si>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</si>
  <si>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</si>
  <si>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</si>
  <si>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</si>
  <si>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</si>
  <si>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</si>
  <si>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</si>
  <si>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</si>
  <si>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</si>
  <si>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</si>
  <si>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</si>
  <si>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</si>
  <si>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</si>
  <si>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</si>
  <si>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</si>
  <si>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</si>
  <si>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</si>
  <si>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</si>
  <si>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</si>
  <si>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</si>
  <si>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</si>
  <si>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</si>
  <si>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</si>
  <si>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</si>
  <si>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</si>
  <si>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</si>
  <si>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</si>
  <si>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</si>
  <si>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</si>
  <si>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</si>
  <si>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</si>
  <si>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</si>
  <si>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</si>
  <si>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</si>
  <si>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</si>
  <si>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</si>
  <si>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</si>
  <si>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</si>
  <si>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</si>
  <si>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</si>
  <si>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</si>
  <si>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</si>
  <si>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</si>
  <si>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</si>
  <si>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</si>
  <si>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</si>
  <si>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</si>
  <si>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</si>
  <si>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</si>
  <si>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</si>
  <si>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</si>
  <si>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</si>
  <si>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</si>
  <si>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</si>
  <si>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</si>
  <si>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</si>
  <si>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</si>
  <si>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</si>
  <si>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</si>
  <si>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</si>
  <si>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</si>
  <si>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</si>
  <si>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</si>
  <si>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</si>
  <si>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</si>
  <si>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</si>
  <si>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</si>
  <si>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</si>
  <si>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</si>
  <si>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</si>
  <si>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</si>
  <si>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</si>
  <si>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</si>
  <si>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</si>
  <si>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</si>
  <si>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</si>
  <si>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</si>
  <si>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</si>
  <si>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</si>
  <si>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</si>
  <si>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</si>
  <si>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</si>
  <si>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</si>
  <si>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</si>
  <si>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</si>
  <si>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</si>
  <si>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</si>
  <si>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</si>
  <si>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</si>
  <si>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</si>
  <si>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</si>
  <si>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</si>
  <si>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</si>
  <si>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</si>
  <si>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</si>
  <si>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</si>
  <si>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</si>
  <si>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</si>
  <si>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</si>
  <si>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</si>
  <si>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</si>
  <si>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</si>
  <si>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</si>
  <si>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</si>
  <si>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</si>
  <si>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</si>
  <si>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</si>
  <si>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</si>
  <si>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</si>
  <si>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</si>
  <si>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</si>
  <si>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</si>
  <si>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</si>
  <si>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</si>
  <si>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</si>
  <si>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</si>
  <si>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</si>
  <si>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</si>
  <si>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</si>
  <si>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</si>
  <si>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</si>
  <si>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</si>
  <si>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</si>
  <si>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</si>
  <si>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</si>
  <si>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</si>
  <si>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</si>
  <si>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</si>
  <si>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</si>
  <si>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</si>
  <si>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</si>
  <si>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</si>
  <si>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</si>
  <si>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</si>
  <si>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</si>
  <si>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</si>
  <si>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</si>
  <si>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</si>
  <si>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</si>
  <si>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</si>
  <si>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</si>
  <si>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</si>
  <si>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</si>
  <si>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</si>
  <si>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</si>
  <si>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</si>
  <si>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</si>
  <si>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</si>
  <si>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</si>
  <si>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</si>
  <si>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</si>
  <si>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</si>
  <si>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</si>
  <si>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</si>
  <si>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</si>
  <si>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</si>
  <si>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</si>
  <si>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</si>
  <si>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</si>
  <si>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</si>
  <si>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</si>
  <si>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</si>
  <si>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</si>
  <si>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</si>
  <si>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</si>
  <si>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</si>
  <si>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</si>
  <si>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</si>
  <si>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</si>
  <si>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</si>
  <si>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</si>
  <si>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</si>
  <si>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</si>
  <si>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</si>
  <si>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</si>
  <si>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</si>
  <si>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</si>
  <si>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</si>
  <si>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</si>
  <si>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</si>
  <si>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</si>
  <si>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</si>
  <si>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</si>
  <si>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</si>
  <si>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</si>
  <si>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</si>
  <si>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</si>
  <si>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</si>
  <si>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</si>
  <si>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</si>
  <si>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</si>
  <si>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</si>
  <si>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</si>
  <si>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</si>
  <si>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</si>
  <si>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</si>
  <si>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</si>
  <si>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</si>
  <si>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</si>
  <si>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</si>
  <si>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</si>
  <si>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</si>
  <si>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</si>
  <si>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</si>
  <si>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</si>
  <si>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</si>
  <si>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</si>
  <si>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</si>
  <si>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</si>
  <si>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</si>
  <si>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</si>
  <si>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</si>
  <si>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</si>
  <si>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</si>
  <si>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</si>
  <si>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</si>
  <si>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</si>
  <si>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</si>
  <si>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</si>
  <si>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</si>
  <si>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</si>
  <si>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</si>
  <si>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</si>
  <si>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</si>
  <si>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</si>
  <si>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</si>
  <si>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</si>
  <si>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</si>
  <si>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</si>
  <si>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</si>
  <si>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</si>
  <si>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</si>
  <si>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</si>
  <si>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</si>
  <si>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</si>
  <si>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</si>
  <si>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</si>
  <si>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</si>
  <si>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</si>
  <si>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</si>
  <si>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</si>
  <si>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</si>
  <si>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</si>
  <si>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</si>
  <si>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</si>
  <si>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</si>
  <si>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</si>
  <si>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</si>
  <si>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</si>
  <si>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</si>
  <si>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</si>
  <si>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</si>
  <si>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</si>
  <si>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</si>
  <si>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</si>
  <si>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</si>
  <si>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</si>
  <si>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</si>
  <si>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</si>
  <si>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</si>
  <si>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</si>
  <si>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</si>
  <si>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</si>
  <si>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</si>
  <si>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</si>
  <si>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</si>
  <si>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</si>
  <si>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</si>
  <si>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</si>
  <si>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</si>
  <si>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</si>
  <si>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</si>
  <si>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</si>
  <si>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</si>
  <si>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</si>
  <si>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</si>
  <si>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</si>
  <si>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</si>
  <si>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</si>
  <si>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</si>
  <si>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</si>
  <si>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</si>
  <si>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</si>
  <si>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</si>
  <si>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</si>
  <si>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</si>
  <si>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</si>
  <si>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</si>
  <si>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</si>
  <si>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</si>
  <si>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</si>
  <si>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</si>
  <si>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</si>
  <si>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</si>
  <si>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</si>
  <si>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</si>
  <si>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</si>
  <si>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</si>
  <si>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</si>
  <si>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</si>
  <si>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</si>
  <si>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</si>
  <si>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</si>
  <si>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</si>
  <si>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</si>
  <si>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</si>
  <si>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</si>
  <si>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</si>
  <si>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</si>
  <si>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</si>
  <si>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</si>
  <si>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</si>
  <si>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</si>
  <si>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</si>
  <si>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</si>
  <si>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</si>
  <si>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</si>
  <si>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</si>
  <si>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</si>
  <si>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</si>
  <si>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</si>
  <si>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</si>
  <si>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</si>
  <si>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</si>
  <si>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</si>
  <si>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</si>
  <si>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</si>
  <si>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</si>
  <si>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</si>
  <si>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</si>
  <si>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</si>
  <si>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</si>
  <si>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</si>
  <si>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</si>
  <si>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</si>
  <si>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</si>
  <si>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</si>
  <si>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</si>
  <si>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</si>
  <si>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</si>
  <si>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</si>
  <si>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</si>
  <si>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</si>
  <si>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</si>
  <si>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</si>
  <si>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</si>
  <si>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</si>
  <si>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</si>
  <si>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</si>
  <si>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</si>
  <si>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</si>
  <si>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</si>
  <si>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</si>
  <si>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</si>
  <si>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</si>
  <si>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</si>
  <si>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</si>
  <si>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</si>
  <si>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</si>
  <si>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</si>
  <si>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</si>
  <si>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</si>
  <si>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</si>
  <si>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</si>
  <si>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</si>
  <si>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</si>
  <si>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</si>
  <si>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</si>
  <si>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</si>
  <si>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</si>
  <si>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</si>
  <si>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</si>
  <si>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</si>
  <si>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</si>
  <si>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</si>
  <si>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</si>
  <si>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</si>
  <si>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</si>
  <si>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</si>
  <si>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</si>
  <si>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</si>
  <si>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</si>
  <si>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</si>
  <si>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</si>
  <si>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</si>
  <si>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</si>
  <si>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</si>
  <si>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</si>
  <si>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</si>
  <si>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</si>
  <si>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</si>
  <si>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</si>
  <si>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</si>
  <si>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</si>
  <si>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</si>
  <si>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</si>
  <si>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</si>
  <si>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</si>
  <si>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</si>
  <si>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</si>
  <si>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</si>
  <si>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</si>
  <si>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</si>
  <si>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</si>
  <si>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</si>
  <si>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</si>
  <si>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</si>
  <si>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</si>
  <si>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</si>
  <si>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</si>
  <si>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</si>
  <si>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</si>
  <si>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</si>
  <si>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</si>
  <si>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</si>
  <si>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</si>
  <si>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</si>
  <si>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</si>
  <si>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</si>
  <si>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</si>
  <si>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</si>
  <si>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</si>
  <si>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</si>
  <si>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</si>
  <si>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</si>
  <si>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</si>
  <si>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</si>
  <si>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</si>
  <si>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</si>
  <si>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</si>
  <si>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</si>
  <si>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</si>
  <si>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</si>
  <si>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</si>
  <si>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</si>
  <si>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</si>
  <si>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</si>
  <si>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</si>
  <si>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</si>
  <si>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</si>
  <si>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</si>
  <si>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</si>
  <si>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</si>
  <si>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</si>
  <si>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</si>
  <si>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</si>
  <si>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</si>
  <si>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</si>
  <si>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</si>
  <si>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</si>
  <si>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</si>
  <si>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</si>
  <si>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</si>
  <si>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</si>
  <si>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</si>
  <si>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</si>
  <si>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</si>
  <si>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</si>
  <si>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</si>
  <si>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</si>
  <si>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</si>
  <si>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</si>
  <si>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</si>
  <si>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</si>
  <si>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</si>
  <si>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</si>
  <si>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</si>
  <si>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</si>
  <si>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</si>
  <si>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</si>
  <si>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</si>
  <si>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</si>
  <si>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</si>
  <si>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</si>
  <si>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</si>
  <si>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</si>
  <si>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</si>
  <si>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</si>
  <si>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</si>
  <si>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</si>
  <si>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</si>
  <si>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</si>
  <si>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</si>
  <si>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</si>
  <si>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</si>
  <si>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</si>
  <si>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</si>
  <si>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</si>
  <si>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</si>
  <si>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</si>
  <si>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</si>
  <si>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</si>
  <si>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</si>
  <si>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</si>
  <si>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</si>
  <si>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</si>
  <si>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</si>
  <si>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</si>
  <si>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</si>
  <si>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</si>
  <si>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</si>
  <si>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</si>
  <si>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</si>
  <si>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</si>
  <si>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</si>
  <si>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</si>
  <si>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</si>
  <si>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</si>
  <si>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</si>
  <si>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</si>
  <si>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</si>
  <si>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</si>
  <si>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</si>
  <si>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</si>
  <si>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</si>
  <si>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</si>
  <si>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</si>
  <si>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</si>
  <si>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</si>
  <si>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</si>
  <si>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</si>
  <si>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</si>
  <si>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</si>
  <si>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</si>
  <si>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</si>
  <si>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</si>
  <si>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</si>
  <si>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</si>
  <si>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</si>
  <si>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</si>
  <si>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</si>
  <si>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</si>
  <si>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</si>
  <si>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</si>
  <si>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</si>
  <si>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</si>
  <si>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</si>
  <si>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</si>
  <si>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</si>
  <si>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</si>
  <si>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</si>
  <si>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</si>
  <si>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</si>
  <si>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</si>
  <si>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</si>
  <si>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</si>
  <si>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</si>
  <si>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</si>
  <si>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</si>
  <si>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</si>
  <si>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</si>
  <si>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</si>
  <si>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</si>
  <si>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</si>
  <si>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</si>
  <si>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</si>
  <si>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</si>
  <si>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</si>
  <si>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</si>
  <si>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</si>
  <si>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</si>
  <si>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</si>
  <si>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</si>
  <si>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</si>
  <si>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</si>
  <si>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</si>
  <si>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</si>
  <si>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</si>
  <si>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</si>
  <si>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</si>
  <si>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</si>
  <si>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</si>
  <si>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</si>
  <si>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</si>
  <si>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</si>
  <si>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</si>
  <si>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</si>
  <si>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</si>
  <si>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</si>
  <si>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</si>
  <si>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</si>
  <si>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</si>
  <si>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</si>
  <si>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</si>
  <si>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</si>
  <si>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</si>
  <si>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</si>
  <si>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</si>
  <si>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</si>
  <si>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</si>
  <si>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</si>
  <si>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</si>
  <si>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</si>
  <si>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</si>
  <si>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</si>
  <si>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</si>
  <si>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</si>
  <si>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</si>
  <si>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</si>
  <si>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</si>
  <si>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</si>
  <si>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</si>
  <si>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</si>
  <si>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</si>
  <si>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</si>
  <si>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</si>
  <si>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</si>
  <si>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</si>
  <si>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</si>
  <si>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</si>
  <si>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</si>
  <si>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</si>
  <si>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</si>
  <si>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</si>
  <si>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</si>
  <si>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</si>
  <si>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</si>
  <si>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</si>
  <si>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</si>
  <si>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</si>
  <si>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</si>
  <si>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</si>
  <si>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</si>
  <si>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</si>
  <si>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</si>
  <si>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</si>
  <si>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</si>
  <si>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</si>
  <si>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</si>
  <si>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</si>
  <si>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</si>
  <si>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</si>
  <si>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</si>
  <si>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</si>
  <si>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</si>
  <si>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</si>
  <si>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</si>
  <si>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</si>
  <si>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</si>
  <si>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</si>
  <si>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</si>
  <si>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</si>
  <si>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</si>
  <si>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</si>
  <si>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</si>
  <si>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</si>
  <si>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</si>
  <si>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</si>
  <si>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</si>
  <si>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</si>
  <si>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</si>
  <si>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</si>
  <si>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</si>
  <si>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</si>
  <si>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</si>
  <si>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</si>
  <si>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</si>
  <si>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</si>
  <si>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</si>
  <si>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</si>
  <si>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</si>
  <si>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</si>
  <si>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</si>
  <si>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</si>
  <si>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</si>
  <si>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</si>
  <si>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</si>
  <si>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</si>
  <si>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</si>
  <si>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</si>
  <si>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</si>
  <si>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</si>
  <si>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</si>
  <si>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</si>
  <si>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</si>
  <si>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</si>
  <si>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</si>
  <si>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</si>
  <si>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</si>
  <si>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</si>
  <si>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</si>
  <si>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</si>
  <si>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</si>
  <si>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</si>
  <si>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</si>
  <si>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</si>
  <si>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</si>
  <si>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</si>
  <si>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</si>
  <si>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</si>
  <si>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</si>
  <si>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</si>
  <si>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</si>
  <si>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</si>
  <si>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</si>
  <si>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</si>
  <si>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</si>
  <si>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</si>
  <si>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</si>
  <si>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</si>
  <si>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</si>
  <si>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</si>
  <si>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</si>
  <si>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</si>
  <si>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</si>
  <si>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</si>
  <si>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</si>
  <si>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</si>
  <si>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</si>
  <si>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</si>
  <si>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</si>
  <si>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</si>
  <si>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</si>
  <si>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</si>
  <si>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</si>
  <si>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</si>
  <si>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</si>
  <si>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</si>
  <si>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</si>
  <si>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</si>
  <si>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</si>
  <si>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</si>
  <si>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</si>
  <si>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</si>
  <si>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</si>
  <si>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</si>
  <si>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</si>
  <si>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</si>
  <si>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</si>
  <si>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</si>
  <si>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</si>
  <si>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</si>
  <si>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</si>
  <si>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</si>
  <si>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</si>
  <si>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</si>
  <si>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</si>
  <si>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</si>
  <si>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</si>
  <si>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</si>
  <si>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</si>
  <si>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</si>
  <si>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</si>
  <si>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</si>
  <si>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</si>
  <si>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</si>
  <si>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</si>
  <si>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</si>
  <si>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</si>
  <si>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</si>
  <si>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</si>
  <si>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</si>
  <si>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</si>
  <si>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</si>
  <si>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</si>
  <si>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</si>
  <si>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</si>
  <si>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</si>
  <si>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</si>
  <si>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</si>
  <si>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</si>
  <si>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</si>
  <si>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</si>
  <si>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</si>
  <si>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</si>
  <si>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</si>
  <si>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</si>
  <si>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</si>
  <si>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</si>
  <si>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</si>
  <si>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</si>
  <si>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</si>
  <si>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</si>
  <si>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</si>
  <si>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</si>
  <si>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</si>
  <si>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</si>
  <si>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</si>
  <si>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</si>
  <si>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</si>
  <si>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</si>
  <si>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</si>
  <si>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</si>
  <si>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</si>
  <si>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</si>
  <si>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</si>
  <si>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</si>
  <si>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</si>
  <si>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</si>
  <si>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</si>
  <si>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</si>
  <si>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</si>
  <si>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</si>
  <si>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</si>
  <si>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</si>
  <si>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</si>
  <si>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</si>
  <si>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</si>
  <si>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</si>
  <si>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</si>
  <si>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</si>
  <si>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</si>
  <si>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</si>
  <si>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</si>
  <si>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</si>
  <si>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</si>
  <si>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</si>
  <si>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</si>
  <si>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</si>
  <si>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</si>
  <si>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</si>
  <si>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</si>
  <si>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</si>
  <si>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</si>
  <si>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</si>
  <si>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</si>
  <si>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</si>
  <si>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</si>
  <si>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</si>
  <si>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</si>
  <si>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</si>
  <si>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</si>
  <si>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</si>
  <si>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</si>
  <si>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</si>
  <si>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</si>
  <si>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</si>
  <si>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</si>
  <si>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</si>
  <si>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</si>
  <si>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</si>
  <si>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</si>
  <si>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</si>
  <si>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</si>
  <si>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</si>
  <si>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</si>
  <si>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</si>
  <si>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</si>
  <si>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</si>
  <si>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</si>
  <si>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</si>
  <si>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</si>
  <si>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</si>
  <si>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</si>
  <si>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</si>
  <si>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</si>
  <si>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</si>
  <si>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</si>
  <si>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</si>
  <si>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</si>
  <si>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</si>
  <si>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</si>
  <si>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</si>
  <si>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</si>
  <si>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</si>
  <si>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</si>
  <si>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</si>
  <si>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</si>
  <si>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</si>
  <si>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</si>
  <si>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</si>
  <si>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</si>
  <si>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</si>
  <si>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</si>
  <si>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</si>
  <si>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</si>
  <si>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</si>
  <si>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</si>
  <si>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</si>
  <si>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</si>
  <si>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</si>
  <si>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</si>
  <si>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</si>
  <si>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</si>
  <si>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</si>
  <si>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</si>
  <si>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</si>
  <si>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</si>
  <si>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</si>
  <si>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</si>
  <si>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</si>
  <si>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</si>
  <si>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</si>
  <si>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</si>
  <si>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</si>
  <si>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</si>
  <si>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</si>
  <si>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</si>
  <si>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</si>
  <si>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</si>
  <si>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</si>
  <si>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</si>
  <si>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</si>
  <si>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</si>
  <si>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</si>
  <si>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</si>
  <si>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</si>
  <si>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</si>
  <si>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</si>
  <si>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</si>
  <si>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</si>
  <si>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</si>
  <si>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</si>
  <si>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</si>
  <si>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</si>
  <si>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</si>
  <si>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</si>
  <si>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</si>
  <si>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</si>
  <si>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</si>
  <si>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</si>
  <si>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</si>
  <si>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</si>
  <si>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</si>
  <si>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</si>
  <si>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</si>
  <si>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</si>
  <si>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</si>
  <si>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</si>
  <si>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</si>
  <si>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</si>
  <si>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</si>
  <si>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</si>
  <si>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</si>
  <si>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</si>
  <si>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</si>
  <si>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</si>
  <si>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</si>
  <si>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</si>
  <si>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</si>
  <si>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</si>
  <si>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</si>
  <si>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</si>
  <si>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</si>
  <si>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</si>
  <si>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</si>
  <si>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</si>
  <si>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</si>
  <si>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</si>
  <si>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</si>
  <si>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</si>
  <si>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</si>
  <si>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</si>
  <si>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</si>
  <si>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</si>
  <si>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</si>
  <si>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</si>
  <si>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</si>
  <si>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</si>
  <si>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</si>
  <si>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</si>
  <si>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</si>
  <si>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</si>
  <si>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</si>
  <si>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</si>
  <si>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</si>
  <si>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</si>
  <si>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</si>
  <si>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</si>
  <si>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</si>
  <si>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</si>
  <si>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</si>
  <si>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</si>
  <si>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</si>
  <si>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</si>
  <si>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</si>
  <si>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</si>
  <si>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</si>
  <si>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</si>
  <si>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</si>
  <si>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</si>
  <si>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</si>
  <si>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</si>
  <si>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</si>
  <si>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</si>
  <si>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</si>
  <si>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</si>
  <si>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</si>
  <si>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</si>
  <si>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</si>
  <si>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</si>
  <si>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</si>
  <si>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</si>
  <si>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</si>
  <si>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</si>
  <si>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</si>
  <si>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</si>
  <si>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</si>
  <si>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</si>
  <si>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</si>
  <si>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</si>
  <si>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</si>
  <si>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</si>
  <si>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</si>
  <si>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</si>
  <si>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</si>
  <si>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</si>
  <si>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</si>
  <si>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</si>
  <si>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</si>
  <si>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</si>
  <si>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</si>
  <si>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</si>
  <si>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</si>
  <si>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</si>
  <si>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</si>
  <si>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</si>
  <si>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</si>
  <si>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</si>
  <si>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</si>
  <si>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</si>
  <si>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</si>
  <si>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</si>
  <si>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</si>
  <si>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</si>
  <si>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</si>
  <si>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</si>
  <si>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</si>
  <si>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</si>
  <si>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</si>
  <si>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</si>
  <si>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</si>
  <si>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</si>
  <si>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</si>
  <si>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</si>
  <si>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</si>
  <si>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</si>
  <si>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</si>
  <si>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</si>
  <si>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</si>
  <si>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</si>
  <si>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</si>
  <si>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</si>
  <si>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</si>
  <si>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</si>
  <si>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</si>
  <si>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</si>
  <si>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</si>
  <si>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</si>
  <si>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</si>
  <si>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</si>
  <si>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</si>
  <si>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</si>
  <si>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</si>
  <si>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</si>
  <si>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</si>
  <si>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</si>
  <si>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</si>
  <si>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</si>
  <si>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</si>
  <si>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</si>
  <si>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</si>
  <si>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</si>
  <si>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</si>
  <si>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</si>
  <si>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</si>
  <si>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</si>
  <si>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</si>
  <si>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</si>
  <si>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</si>
  <si>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</si>
  <si>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</si>
  <si>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</si>
  <si>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</si>
  <si>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</si>
  <si>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</si>
  <si>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</si>
  <si>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</si>
  <si>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</si>
  <si>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</si>
  <si>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</si>
  <si>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</si>
  <si>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</si>
  <si>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</si>
  <si>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</si>
  <si>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</si>
  <si>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</si>
  <si>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</si>
  <si>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</si>
  <si>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</si>
  <si>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</si>
  <si>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</si>
  <si>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</si>
  <si>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</si>
  <si>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</si>
  <si>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</si>
  <si>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</si>
  <si>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</si>
  <si>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</si>
  <si>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</si>
  <si>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</si>
  <si>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</si>
  <si>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</si>
  <si>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</si>
  <si>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</si>
  <si>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</si>
  <si>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</si>
  <si>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</si>
  <si>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</si>
  <si>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</si>
  <si>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</si>
  <si>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</si>
  <si>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</si>
  <si>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</si>
  <si>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</si>
  <si>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</si>
  <si>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</si>
  <si>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</si>
  <si>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</si>
  <si>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</si>
  <si>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</si>
  <si>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</si>
  <si>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</si>
  <si>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</si>
  <si>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</si>
  <si>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</si>
  <si>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</si>
  <si>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</si>
  <si>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</si>
  <si>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</si>
  <si>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</si>
  <si>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</si>
  <si>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</si>
  <si>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</si>
  <si>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</si>
  <si>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</si>
  <si>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</si>
  <si>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</si>
  <si>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</si>
  <si>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</si>
  <si>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</si>
  <si>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</si>
  <si>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</si>
  <si>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</si>
  <si>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</si>
  <si>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</si>
  <si>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</si>
  <si>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</si>
  <si>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</si>
  <si>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</si>
  <si>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</si>
  <si>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</si>
  <si>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</si>
  <si>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</si>
  <si>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</si>
  <si>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</si>
  <si>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</si>
  <si>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</si>
  <si>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</si>
  <si>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</si>
  <si>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</si>
  <si>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</si>
  <si>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</si>
  <si>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</si>
  <si>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</si>
  <si>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</si>
  <si>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</si>
  <si>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</si>
  <si>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</si>
  <si>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</si>
  <si>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</si>
  <si>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</si>
  <si>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</si>
  <si>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</si>
  <si>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</si>
  <si>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</si>
  <si>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</si>
  <si>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</si>
  <si>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</si>
  <si>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</si>
  <si>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</si>
  <si>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</si>
  <si>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</si>
  <si>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</si>
  <si>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</si>
  <si>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</si>
  <si>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</si>
  <si>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</si>
  <si>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</si>
  <si>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</si>
  <si>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</si>
  <si>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</si>
  <si>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</si>
  <si>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</si>
  <si>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</si>
  <si>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</si>
  <si>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</si>
  <si>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</si>
  <si>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</si>
  <si>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</si>
  <si>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</si>
  <si>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</si>
  <si>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</si>
  <si>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</si>
  <si>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</si>
  <si>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</si>
  <si>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</si>
  <si>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</si>
  <si>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</si>
  <si>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</si>
  <si>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</si>
  <si>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</si>
  <si>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</si>
  <si>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</si>
  <si>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</si>
  <si>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</si>
  <si>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</si>
  <si>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</si>
  <si>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</si>
  <si>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</si>
  <si>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</si>
  <si>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</si>
  <si>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</si>
  <si>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</si>
  <si>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</si>
  <si>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</si>
  <si>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</si>
  <si>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</si>
  <si>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</si>
  <si>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</si>
  <si>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</si>
  <si>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</si>
  <si>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</si>
  <si>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</si>
  <si>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</si>
  <si>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</si>
  <si>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</si>
  <si>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</si>
  <si>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</si>
  <si>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</si>
  <si>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</si>
  <si>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</si>
  <si>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</si>
  <si>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</si>
  <si>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</si>
  <si>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</si>
  <si>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</si>
  <si>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</si>
  <si>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</si>
  <si>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</si>
  <si>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</si>
  <si>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</si>
  <si>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</si>
  <si>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</si>
  <si>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</si>
  <si>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</si>
  <si>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</si>
  <si>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</si>
  <si>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</si>
  <si>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</si>
  <si>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</si>
  <si>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</si>
  <si>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</si>
  <si>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</si>
  <si>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</si>
  <si>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</si>
  <si>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</si>
  <si>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</si>
  <si>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</si>
  <si>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</si>
  <si>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</si>
  <si>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</si>
  <si>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</si>
  <si>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</si>
  <si>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</si>
  <si>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</si>
  <si>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</si>
  <si>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</si>
  <si>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</si>
  <si>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</si>
  <si>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</si>
  <si>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</si>
  <si>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</si>
  <si>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</si>
  <si>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</si>
  <si>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</si>
  <si>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</si>
  <si>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</si>
  <si>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</si>
  <si>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</si>
  <si>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</si>
  <si>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</si>
  <si>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</si>
  <si>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</si>
  <si>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</si>
  <si>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</si>
  <si>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</si>
  <si>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</si>
  <si>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</si>
  <si>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</si>
  <si>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</si>
  <si>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</si>
  <si>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</si>
  <si>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</si>
  <si>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</si>
  <si>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</si>
  <si>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</si>
  <si>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</si>
  <si>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</si>
  <si>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</si>
  <si>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</si>
  <si>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</si>
  <si>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</si>
  <si>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</si>
  <si>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</si>
  <si>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</si>
  <si>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</si>
  <si>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</si>
  <si>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</si>
  <si>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</si>
  <si>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</si>
  <si>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</si>
  <si>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</si>
  <si>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</si>
  <si>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</si>
  <si>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</si>
  <si>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</si>
  <si>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</si>
  <si>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</si>
  <si>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</si>
  <si>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</si>
  <si>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</si>
  <si>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</si>
  <si>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</si>
  <si>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</si>
  <si>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</si>
  <si>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</si>
  <si>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</si>
  <si>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</si>
  <si>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</si>
  <si>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</si>
  <si>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</si>
  <si>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</si>
  <si>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</si>
  <si>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</si>
  <si>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</si>
  <si>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</si>
  <si>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</si>
  <si>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</si>
  <si>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</si>
  <si>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</si>
  <si>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</si>
  <si>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</si>
  <si>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</si>
  <si>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</si>
  <si>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</si>
  <si>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</si>
  <si>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</si>
  <si>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</si>
  <si>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</si>
  <si>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</si>
  <si>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</si>
  <si>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</si>
  <si>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</si>
  <si>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</si>
  <si>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</si>
  <si>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</si>
  <si>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</si>
  <si>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</si>
  <si>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</si>
  <si>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</si>
  <si>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</si>
  <si>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</si>
  <si>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</si>
  <si>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</si>
  <si>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</si>
  <si>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</si>
  <si>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</si>
  <si>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</si>
  <si>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</si>
  <si>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</si>
  <si>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</si>
  <si>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</si>
  <si>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</si>
  <si>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</si>
  <si>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</si>
  <si>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</si>
  <si>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</si>
  <si>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</si>
  <si>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</si>
  <si>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</si>
  <si>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</si>
  <si>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</si>
  <si>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</si>
  <si>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</si>
  <si>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</si>
  <si>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</si>
  <si>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</si>
  <si>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</si>
  <si>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</si>
  <si>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</si>
  <si>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</si>
  <si>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</si>
  <si>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</si>
  <si>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</si>
  <si>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</si>
  <si>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</si>
  <si>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</si>
  <si>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</si>
  <si>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</si>
  <si>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</si>
  <si>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</si>
  <si>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</si>
  <si>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</si>
  <si>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</si>
  <si>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</si>
  <si>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</si>
  <si>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</si>
  <si>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</si>
  <si>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</si>
  <si>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</si>
  <si>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</si>
  <si>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</si>
  <si>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</si>
  <si>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</si>
  <si>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</si>
  <si>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</si>
  <si>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</si>
  <si>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</si>
  <si>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</si>
  <si>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</si>
  <si>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</si>
  <si>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</si>
  <si>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</si>
  <si>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</si>
  <si>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</si>
  <si>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</si>
  <si>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</si>
  <si>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</si>
  <si>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</si>
  <si>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</si>
  <si>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</si>
  <si>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</si>
  <si>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</si>
  <si>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</si>
  <si>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</si>
  <si>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</si>
  <si>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</si>
  <si>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</si>
  <si>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</si>
  <si>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</si>
  <si>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</si>
  <si>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</si>
  <si>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</si>
  <si>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</si>
  <si>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</si>
  <si>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</si>
  <si>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</si>
  <si>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</si>
  <si>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</si>
  <si>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</si>
  <si>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</si>
  <si>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</si>
  <si>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</si>
  <si>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</si>
  <si>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</si>
  <si>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</si>
  <si>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</si>
  <si>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</si>
  <si>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</si>
  <si>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</si>
  <si>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</si>
  <si>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</si>
  <si>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</si>
  <si>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</si>
  <si>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</si>
  <si>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</si>
  <si>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</si>
  <si>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</si>
  <si>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</si>
  <si>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</si>
  <si>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</si>
  <si>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</si>
  <si>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</si>
  <si>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</si>
  <si>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</si>
  <si>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</si>
  <si>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</si>
  <si>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</si>
  <si>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</si>
  <si>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</si>
  <si>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</si>
  <si>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</si>
  <si>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</si>
  <si>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</si>
  <si>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</si>
  <si>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</si>
  <si>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</si>
  <si>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</si>
  <si>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</si>
  <si>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</si>
  <si>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</si>
  <si>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</si>
  <si>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</si>
  <si>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</si>
  <si>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</si>
  <si>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</si>
  <si>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</si>
  <si>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</si>
  <si>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</si>
  <si>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</si>
  <si>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</si>
  <si>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</si>
  <si>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</si>
  <si>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</si>
  <si>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</si>
  <si>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</si>
  <si>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</si>
  <si>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</si>
  <si>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</si>
  <si>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</si>
  <si>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</si>
  <si>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</si>
  <si>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</si>
  <si>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</si>
  <si>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</si>
  <si>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</si>
  <si>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</si>
  <si>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</si>
  <si>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</si>
  <si>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</si>
  <si>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</si>
  <si>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</si>
  <si>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</si>
  <si>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</si>
  <si>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</si>
  <si>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</si>
  <si>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</si>
  <si>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</si>
  <si>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</si>
  <si>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</si>
  <si>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</si>
  <si>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</si>
  <si>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</si>
  <si>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</si>
  <si>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</si>
  <si>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</si>
  <si>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</si>
  <si>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</si>
  <si>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</si>
  <si>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</si>
  <si>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</si>
  <si>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</si>
  <si>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</si>
  <si>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</si>
  <si>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</si>
  <si>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</si>
  <si>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</si>
  <si>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</si>
  <si>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</si>
  <si>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</si>
  <si>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</si>
  <si>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</si>
  <si>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</si>
  <si>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</si>
  <si>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</si>
  <si>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</si>
  <si>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</si>
  <si>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</si>
  <si>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</si>
  <si>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</si>
  <si>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</si>
  <si>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</si>
  <si>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</si>
  <si>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</si>
  <si>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</si>
  <si>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</si>
  <si>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</si>
  <si>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</si>
  <si>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</si>
  <si>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</si>
  <si>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</si>
  <si>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</si>
  <si>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</si>
  <si>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</si>
  <si>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</si>
  <si>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</si>
  <si>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</si>
  <si>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</si>
  <si>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</si>
  <si>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</si>
  <si>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</si>
  <si>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</si>
  <si>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</si>
  <si>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</si>
  <si>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</si>
  <si>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</si>
  <si>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</si>
  <si>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</si>
  <si>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</si>
  <si>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</si>
  <si>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</si>
  <si>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</si>
  <si>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</si>
  <si>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</si>
  <si>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</si>
  <si>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</si>
  <si>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</si>
  <si>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</si>
  <si>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</si>
  <si>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</si>
  <si>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</si>
  <si>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</si>
  <si>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</si>
  <si>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</si>
  <si>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</si>
  <si>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</si>
  <si>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</si>
  <si>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</si>
  <si>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</si>
  <si>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</si>
  <si>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</si>
  <si>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</si>
  <si>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</si>
  <si>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</si>
  <si>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</si>
  <si>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</si>
  <si>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</si>
  <si>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</si>
  <si>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</si>
  <si>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</si>
  <si>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</si>
  <si>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</si>
  <si>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</si>
  <si>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</si>
  <si>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</si>
  <si>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</si>
  <si>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</si>
  <si>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</si>
  <si>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</si>
  <si>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</si>
  <si>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</si>
  <si>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</si>
  <si>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</si>
  <si>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</si>
  <si>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</si>
  <si>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</si>
  <si>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</si>
  <si>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</si>
  <si>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</si>
  <si>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</si>
  <si>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</si>
  <si>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</si>
  <si>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</si>
  <si>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</si>
  <si>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</si>
  <si>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</si>
  <si>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</si>
  <si>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</si>
  <si>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</si>
  <si>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</si>
  <si>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</si>
  <si>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</si>
  <si>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</si>
  <si>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</si>
  <si>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</si>
  <si>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</si>
  <si>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</si>
  <si>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</si>
  <si>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</si>
  <si>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</si>
  <si>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</si>
  <si>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</si>
  <si>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</si>
  <si>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</si>
  <si>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</si>
  <si>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</si>
  <si>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</si>
  <si>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</si>
  <si>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</si>
  <si>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</si>
  <si>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</si>
  <si>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</si>
  <si>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</si>
  <si>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</si>
  <si>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</si>
  <si>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</si>
  <si>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</si>
  <si>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</si>
  <si>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</si>
  <si>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</si>
  <si>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</si>
  <si>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</si>
  <si>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</si>
  <si>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</si>
  <si>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</si>
  <si>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</si>
  <si>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</si>
  <si>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</si>
  <si>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</si>
  <si>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</si>
  <si>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</si>
  <si>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</si>
  <si>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</si>
  <si>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</si>
  <si>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</si>
  <si>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</si>
  <si>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</si>
  <si>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</si>
  <si>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</si>
  <si>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</si>
  <si>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</si>
  <si>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</si>
  <si>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</si>
  <si>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</si>
  <si>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</si>
  <si>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</si>
  <si>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</si>
  <si>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</si>
  <si>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</si>
  <si>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</si>
  <si>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</si>
  <si>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</si>
  <si>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</si>
  <si>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</si>
  <si>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</si>
  <si>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</si>
  <si>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</si>
  <si>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</si>
  <si>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</si>
  <si>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</si>
  <si>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</si>
  <si>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</si>
  <si>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</si>
  <si>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</si>
  <si>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</si>
  <si>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</si>
  <si>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</si>
  <si>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</si>
  <si>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</si>
  <si>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</si>
  <si>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</si>
  <si>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</si>
  <si>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</si>
  <si>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</si>
  <si>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</si>
  <si>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</si>
  <si>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</si>
  <si>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</si>
  <si>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</si>
  <si>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</si>
  <si>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</si>
  <si>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</si>
  <si>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</si>
  <si>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</si>
  <si>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</si>
  <si>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</si>
  <si>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</si>
  <si>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</si>
  <si>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</si>
  <si>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</si>
  <si>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</si>
  <si>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</si>
  <si>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</si>
  <si>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</si>
  <si>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</si>
  <si>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</si>
  <si>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</si>
  <si>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</si>
  <si>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</si>
  <si>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</si>
  <si>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</si>
  <si>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</si>
  <si>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</si>
  <si>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</si>
  <si>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</si>
  <si>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</si>
  <si>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</si>
  <si>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</si>
  <si>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</si>
  <si>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</si>
  <si>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</si>
  <si>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</si>
  <si>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</si>
  <si>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</si>
  <si>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</si>
  <si>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</si>
  <si>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</si>
  <si>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</si>
  <si>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</si>
  <si>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</si>
  <si>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</si>
  <si>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</si>
  <si>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</si>
  <si>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</si>
  <si>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</si>
  <si>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</si>
  <si>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</si>
  <si>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</si>
  <si>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</si>
  <si>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</si>
  <si>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</si>
  <si>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</si>
  <si>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</si>
  <si>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</si>
  <si>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</si>
  <si>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</si>
  <si>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</si>
  <si>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</si>
  <si>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</si>
  <si>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</si>
  <si>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</si>
  <si>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</si>
  <si>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</si>
  <si>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</si>
  <si>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</si>
  <si>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</si>
  <si>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</si>
  <si>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</si>
  <si>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</si>
  <si>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</si>
  <si>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</si>
  <si>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</si>
  <si>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</si>
  <si>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</si>
  <si>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</si>
  <si>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</si>
  <si>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</si>
  <si>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</si>
  <si>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</si>
  <si>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</si>
  <si>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</si>
  <si>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</si>
  <si>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</si>
  <si>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</si>
  <si>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</si>
  <si>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</si>
  <si>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</si>
  <si>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</si>
  <si>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</si>
  <si>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</si>
  <si>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</si>
  <si>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</si>
  <si>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</si>
  <si>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</si>
  <si>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</si>
  <si>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</si>
  <si>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</si>
  <si>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</si>
  <si>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</si>
  <si>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</si>
  <si>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</si>
  <si>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</si>
  <si>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</si>
  <si>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</si>
  <si>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</si>
  <si>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</si>
  <si>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</si>
  <si>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</si>
  <si>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</si>
  <si>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</si>
  <si>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</si>
  <si>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</si>
  <si>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</si>
  <si>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</si>
  <si>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</si>
  <si>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</si>
  <si>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</si>
  <si>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</si>
  <si>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</si>
  <si>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</si>
  <si>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</si>
  <si>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</si>
  <si>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</si>
  <si>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</si>
  <si>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</si>
  <si>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</si>
  <si>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</si>
  <si>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</si>
  <si>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</si>
  <si>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</si>
  <si>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</si>
  <si>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</si>
  <si>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</si>
  <si>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</si>
  <si>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</si>
  <si>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</si>
  <si>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</si>
  <si>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</si>
  <si>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</si>
  <si>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</si>
  <si>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</si>
  <si>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</si>
  <si>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</si>
  <si>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</si>
  <si>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</si>
  <si>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</si>
  <si>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</si>
  <si>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</si>
  <si>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</si>
  <si>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</si>
  <si>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</si>
  <si>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</si>
  <si>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</si>
  <si>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</si>
  <si>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</si>
  <si>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</si>
  <si>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</si>
  <si>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</si>
  <si>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</si>
  <si>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</si>
  <si>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</si>
  <si>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</si>
  <si>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</si>
  <si>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</si>
  <si>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</si>
  <si>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</si>
  <si>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</si>
  <si>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</si>
  <si>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</si>
  <si>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</si>
  <si>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</si>
  <si>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</si>
  <si>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</si>
  <si>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</si>
  <si>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</si>
  <si>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</si>
  <si>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</si>
  <si>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</si>
  <si>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</si>
  <si>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</si>
  <si>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</si>
  <si>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</si>
  <si>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</si>
  <si>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</si>
  <si>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</si>
  <si>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</si>
  <si>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</si>
  <si>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</si>
  <si>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</si>
  <si>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</si>
  <si>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</si>
  <si>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</si>
  <si>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</si>
  <si>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</si>
  <si>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</si>
  <si>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</si>
  <si>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</si>
  <si>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</si>
  <si>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</si>
  <si>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</si>
  <si>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</si>
  <si>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</si>
  <si>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</si>
  <si>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</si>
  <si>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</si>
  <si>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</si>
  <si>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</si>
  <si>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</si>
  <si>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</si>
  <si>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</si>
  <si>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</si>
  <si>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</si>
  <si>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</si>
  <si>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</si>
  <si>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</si>
  <si>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</si>
  <si>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</si>
  <si>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</si>
  <si>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</si>
  <si>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</si>
  <si>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</si>
  <si>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</si>
  <si>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</si>
  <si>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</si>
  <si>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</si>
  <si>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</si>
  <si>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</si>
  <si>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</si>
  <si>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</si>
  <si>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</si>
  <si>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</si>
  <si>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</si>
  <si>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</si>
  <si>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</si>
  <si>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</si>
  <si>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</si>
  <si>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</si>
  <si>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</si>
  <si>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</si>
  <si>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</si>
  <si>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</si>
  <si>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</si>
  <si>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</si>
  <si>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</si>
  <si>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</si>
  <si>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</si>
  <si>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</si>
  <si>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</si>
  <si>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</si>
  <si>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</si>
  <si>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</si>
  <si>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</si>
  <si>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</si>
  <si>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</si>
  <si>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</si>
  <si>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</si>
  <si>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</si>
  <si>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</si>
  <si>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</si>
  <si>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</si>
  <si>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</si>
  <si>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</si>
  <si>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</si>
  <si>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</si>
  <si>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</si>
  <si>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</si>
  <si>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</si>
  <si>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</si>
  <si>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</si>
  <si>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</si>
  <si>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</si>
  <si>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</si>
  <si>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</si>
  <si>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</si>
  <si>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</si>
  <si>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</si>
  <si>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</si>
  <si>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</si>
  <si>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</si>
  <si>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</si>
  <si>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</si>
  <si>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</si>
  <si>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</si>
  <si>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</si>
  <si>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</si>
  <si>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</si>
  <si>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</si>
  <si>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</si>
  <si>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</si>
  <si>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</si>
  <si>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</si>
  <si>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</si>
  <si>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</si>
  <si>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</si>
  <si>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</si>
  <si>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</si>
  <si>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</si>
  <si>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</si>
  <si>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</si>
  <si>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</si>
  <si>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</si>
  <si>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</si>
  <si>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</si>
  <si>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</si>
  <si>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</si>
  <si>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</si>
  <si>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</si>
  <si>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</si>
  <si>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</si>
  <si>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</si>
  <si>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</si>
  <si>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</si>
  <si>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</si>
  <si>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</si>
  <si>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</si>
  <si>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</si>
  <si>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</si>
  <si>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</si>
  <si>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</si>
  <si>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</si>
  <si>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</si>
  <si>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</si>
  <si>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</si>
  <si>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</si>
  <si>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</si>
  <si>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</si>
  <si>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</si>
  <si>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</si>
  <si>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</si>
  <si>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</si>
  <si>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</si>
  <si>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</si>
  <si>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</si>
  <si>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</si>
  <si>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</si>
  <si>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</si>
  <si>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</si>
  <si>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</si>
  <si>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</si>
  <si>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</si>
  <si>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</si>
  <si>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</si>
  <si>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</si>
  <si>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</si>
  <si>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</si>
  <si>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</si>
  <si>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</si>
  <si>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</si>
  <si>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</si>
  <si>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</si>
  <si>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</si>
  <si>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</si>
  <si>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</si>
  <si>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</si>
  <si>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</si>
  <si>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</si>
  <si>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</si>
  <si>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</si>
  <si>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</si>
  <si>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</si>
  <si>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</si>
  <si>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</si>
  <si>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</si>
  <si>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</si>
  <si>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抵押</t>
  </si>
  <si>
    <t>其他：</t>
  </si>
  <si>
    <t>企业</t>
  </si>
  <si>
    <t>商业</t>
  </si>
  <si>
    <t>符合</t>
  </si>
  <si>
    <t>一致</t>
  </si>
  <si>
    <t>居住项目</t>
  </si>
  <si>
    <t>售价</t>
  </si>
  <si>
    <t>60-70（含）</t>
  </si>
  <si>
    <t>住宅</t>
    <phoneticPr fontId="21" type="noConversion"/>
  </si>
  <si>
    <t>正常</t>
  </si>
  <si>
    <t>独栋</t>
    <phoneticPr fontId="21" type="noConversion"/>
  </si>
  <si>
    <t>双拼</t>
    <phoneticPr fontId="21" type="noConversion"/>
  </si>
  <si>
    <t>联排</t>
    <phoneticPr fontId="21" type="noConversion"/>
  </si>
  <si>
    <t>叠拼</t>
    <phoneticPr fontId="21" type="noConversion"/>
  </si>
  <si>
    <t>多层</t>
    <phoneticPr fontId="21" type="noConversion"/>
  </si>
  <si>
    <t>小高层</t>
    <phoneticPr fontId="21" type="noConversion"/>
  </si>
  <si>
    <t>高层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</si>
  <si>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</si>
  <si>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</si>
  <si>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</si>
  <si>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</si>
  <si>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</si>
  <si>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平层</t>
    <phoneticPr fontId="21" type="noConversion"/>
  </si>
  <si>
    <t>精装</t>
    <phoneticPr fontId="21" type="noConversion"/>
  </si>
  <si>
    <t>简装</t>
    <phoneticPr fontId="21" type="noConversion"/>
  </si>
  <si>
    <t>毛坯</t>
    <phoneticPr fontId="21" type="noConversion"/>
  </si>
  <si>
    <t>较规则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</si>
  <si>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</si>
  <si>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</si>
  <si>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</si>
  <si>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</si>
  <si>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</si>
  <si>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</si>
  <si>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主干道</t>
    <phoneticPr fontId="26" type="noConversion"/>
  </si>
  <si>
    <t>次干道</t>
    <phoneticPr fontId="26" type="noConversion"/>
  </si>
  <si>
    <t>支路</t>
    <phoneticPr fontId="26" type="noConversion"/>
  </si>
  <si>
    <t>楼面地价</t>
  </si>
  <si>
    <t>项目局部</t>
  </si>
  <si>
    <t>土地</t>
  </si>
  <si>
    <t>比较法-住宅、综合</t>
  </si>
  <si>
    <t>剩余法-待开发</t>
  </si>
  <si>
    <t>澄江县龙街镇立昌村委会（不动产单元号：530422002006GB00005W00000000号及530422002006GB00006W00000000号）共两宗城镇住宅用地</t>
    <phoneticPr fontId="6" type="noConversion"/>
  </si>
  <si>
    <t>城镇住宅用地</t>
    <phoneticPr fontId="6" type="noConversion"/>
  </si>
  <si>
    <t>《不动产权证书》[云（2017）澄江县不动产权第0000375、0000373号]</t>
    <phoneticPr fontId="6" type="noConversion"/>
  </si>
  <si>
    <t>否</t>
  </si>
  <si>
    <t>旅游地产</t>
  </si>
  <si>
    <t>场地未平整</t>
  </si>
  <si>
    <t>宗地红线内地势呈东高西低</t>
    <phoneticPr fontId="6" type="noConversion"/>
  </si>
  <si>
    <t>平整</t>
  </si>
  <si>
    <t>通路</t>
  </si>
  <si>
    <t>通电</t>
  </si>
  <si>
    <t>通上水</t>
  </si>
  <si>
    <t>抵押价格</t>
  </si>
  <si>
    <t>澄江益邦投资有限公司</t>
  </si>
  <si>
    <t>澄江益邦投资有限公司</t>
    <phoneticPr fontId="6" type="noConversion"/>
  </si>
  <si>
    <t>另一块住宅</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</si>
  <si>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</si>
  <si>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</si>
  <si>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</si>
  <si>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</si>
  <si>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</si>
  <si>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</si>
  <si>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</si>
  <si>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</si>
  <si>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</si>
  <si>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</si>
  <si>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</si>
  <si>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</si>
  <si>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</si>
  <si>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保障房类型</t>
  </si>
  <si>
    <t>配建自住房情况</t>
  </si>
  <si>
    <t>成交特殊政策</t>
  </si>
  <si>
    <t>配建养老设施面积情况</t>
  </si>
  <si>
    <t>开发进度</t>
  </si>
  <si>
    <t>成交日期</t>
  </si>
  <si>
    <t>公告编号</t>
  </si>
  <si>
    <t>受让单位</t>
  </si>
  <si>
    <t>成交价(万元)</t>
  </si>
  <si>
    <t>成交每亩价(万元/亩)</t>
  </si>
  <si>
    <t>成交楼面价(元/㎡)</t>
  </si>
  <si>
    <t>溢价率</t>
  </si>
  <si>
    <t>出让年限</t>
  </si>
  <si>
    <t>土地星级</t>
  </si>
  <si>
    <t>澄江县体育馆西侧</t>
  </si>
  <si>
    <t>玉溪市</t>
  </si>
  <si>
    <t>住宅用地</t>
  </si>
  <si>
    <t>澄江县</t>
  </si>
  <si>
    <t>拍卖</t>
  </si>
  <si>
    <t>CTC(2018)32-1</t>
  </si>
  <si>
    <t>其他普通商品住房用地</t>
  </si>
  <si>
    <t>大于1并且小于或等于3.5</t>
  </si>
  <si>
    <t>小于或等于35</t>
  </si>
  <si>
    <t>未开工</t>
  </si>
  <si>
    <t>2018-12-18</t>
  </si>
  <si>
    <t>CJX-TDPM[2018]4号</t>
  </si>
  <si>
    <t>澂江忆成房地产开发有限公司</t>
  </si>
  <si>
    <t>70年</t>
  </si>
  <si>
    <t>0星</t>
  </si>
  <si>
    <t>CTC(2018)32-2</t>
  </si>
  <si>
    <t>玉溪近业房地产开发有限公司</t>
  </si>
  <si>
    <t>云珠小区以西,凤翔路以南</t>
  </si>
  <si>
    <t>CTC(2018)41号</t>
  </si>
  <si>
    <t>大于1并且小于或等于2.5</t>
  </si>
  <si>
    <t>CJX-TDPM[2018]3号</t>
  </si>
  <si>
    <t>澄江华业房地产开发有限公司</t>
  </si>
  <si>
    <t>龙街街道办事处广龙社区</t>
  </si>
  <si>
    <t>CTC(2018)16</t>
  </si>
  <si>
    <t>大于1并且小于或等于1.5</t>
  </si>
  <si>
    <t>小于或等于46</t>
  </si>
  <si>
    <t>开工中</t>
  </si>
  <si>
    <t>2018-06-15</t>
  </si>
  <si>
    <t>CJX-TDPM[2018]2号</t>
  </si>
  <si>
    <t>云南博安建设投资有限公司</t>
  </si>
  <si>
    <t>CTC(2018)14</t>
  </si>
  <si>
    <t>大于1并且小于或等于1.65</t>
  </si>
  <si>
    <t>小于或等于51</t>
  </si>
  <si>
    <t>CTC(2018)21</t>
  </si>
  <si>
    <t>小于或等于45</t>
  </si>
  <si>
    <t>CTC(2018)20</t>
  </si>
  <si>
    <t>CTC(2018)15</t>
  </si>
  <si>
    <t>CTC(2018)3</t>
  </si>
  <si>
    <t>大于1并且小于或等于3</t>
  </si>
  <si>
    <t>2018-05-03</t>
  </si>
  <si>
    <t>CJX-TDPM[2018]1号</t>
  </si>
  <si>
    <t>澄江海诚旅游发展有限公司</t>
  </si>
  <si>
    <t>CTC(2018)7</t>
  </si>
  <si>
    <t>CTC(2018)1</t>
  </si>
  <si>
    <t>澄江县龙街街道立昌社区</t>
  </si>
  <si>
    <t>CTC(2017)13号</t>
  </si>
  <si>
    <t>大于1并且小于或等于1.01</t>
  </si>
  <si>
    <t>小于或等于40</t>
  </si>
  <si>
    <t>2017-10-24</t>
  </si>
  <si>
    <t>CJX-TDPM[2017]4号</t>
  </si>
  <si>
    <t>澄江复城星邦房地产有限公司</t>
  </si>
  <si>
    <t>CTC(2017)14号</t>
  </si>
  <si>
    <t>CTC(2017)15号</t>
  </si>
  <si>
    <t>龙溪路与抚澄河交叉东南角</t>
  </si>
  <si>
    <t>CTC(2017)05号</t>
  </si>
  <si>
    <t>大于1并且小于2.5</t>
  </si>
  <si>
    <t>小于或等于30</t>
  </si>
  <si>
    <t>2017-05-11</t>
  </si>
  <si>
    <t>CJX-TDPM[2017]2号</t>
  </si>
  <si>
    <t>云南省澄江县容大房地产开发有限责任公司</t>
  </si>
  <si>
    <t>CTC(2016)16-1号</t>
  </si>
  <si>
    <t>2017-04-07</t>
  </si>
  <si>
    <t>CJX-TDPM[2017]1号</t>
  </si>
  <si>
    <t>CTC(2016)16-2号</t>
  </si>
  <si>
    <t>澄江县龙街街道忠窑社区小窑一组</t>
  </si>
  <si>
    <t>CTC(2016)03</t>
  </si>
  <si>
    <t>大于1并且小于或等于5</t>
  </si>
  <si>
    <t>小于或等于33</t>
  </si>
  <si>
    <t>已完工</t>
  </si>
  <si>
    <t>2016-07-15</t>
  </si>
  <si>
    <t>CJX-TDPM[2016]01号</t>
  </si>
  <si>
    <t>澄江恺达房地产开发有限责任公司</t>
  </si>
  <si>
    <t>澄江县右所镇矣旧村委会</t>
  </si>
  <si>
    <t>挂牌</t>
  </si>
  <si>
    <t>CTC(2013)05号</t>
  </si>
  <si>
    <t>大于1并且小于或等于1.48</t>
  </si>
  <si>
    <t>小于或等于0.27</t>
  </si>
  <si>
    <t>2013-12-25</t>
  </si>
  <si>
    <t>澄国土资告字[2013]19号</t>
  </si>
  <si>
    <t>云南龙杰旅游开发有限公司</t>
  </si>
  <si>
    <t>CTC(2013)04号</t>
  </si>
  <si>
    <t>大于1并且小于或等于1.11</t>
  </si>
  <si>
    <t>小于或等于0.35</t>
  </si>
  <si>
    <t>CTC(2013)06号</t>
  </si>
  <si>
    <t>大于1并且小于或等于1.49</t>
  </si>
  <si>
    <t>CTC(2013)02</t>
  </si>
  <si>
    <t>CTC(2013)07号</t>
  </si>
  <si>
    <t>澄江县阳宗镇北斗村委会谭葛营</t>
  </si>
  <si>
    <t>CTC(2010)12号</t>
  </si>
  <si>
    <t>大于1</t>
  </si>
  <si>
    <t>2013-12-02</t>
  </si>
  <si>
    <t>澄国土资告字[2013]16号</t>
  </si>
  <si>
    <t>云南澂江天然山水房地产开发有限公司</t>
  </si>
  <si>
    <t>澄江县阳宗镇北斗村委会</t>
  </si>
  <si>
    <t>CTC(2010)11号</t>
  </si>
  <si>
    <t>CTC(2010)05-7号</t>
  </si>
  <si>
    <t>等于1.11</t>
  </si>
  <si>
    <t>2012-02-20</t>
  </si>
  <si>
    <t>澄国土资告字[2012]04号</t>
  </si>
  <si>
    <t>CTC(2010)05-4号</t>
  </si>
  <si>
    <t>等于1.1</t>
  </si>
  <si>
    <t>CTC(2010_05-6号</t>
  </si>
  <si>
    <t>等于1.12</t>
  </si>
  <si>
    <t>CTC(2010)05-1号</t>
  </si>
  <si>
    <t>CTC(2010)05-3号</t>
  </si>
  <si>
    <t>等于1.49</t>
  </si>
  <si>
    <t>小于或等于27</t>
  </si>
  <si>
    <t>CTC(2010)05-5号</t>
  </si>
  <si>
    <t>CTC(2010)05-2号</t>
  </si>
  <si>
    <t>小于1.48</t>
  </si>
  <si>
    <t>小于或等于25</t>
  </si>
  <si>
    <t>CTC(2010)4-4号</t>
  </si>
  <si>
    <t>等于1.27</t>
  </si>
  <si>
    <t>≤27</t>
  </si>
  <si>
    <t>2011-08-15</t>
  </si>
  <si>
    <t>澄国土资告字[2011]9号</t>
  </si>
  <si>
    <t>云南澄德房地产开发有限公司</t>
  </si>
  <si>
    <t>CTC(2010)4-5号</t>
  </si>
  <si>
    <t>等于2.02</t>
  </si>
  <si>
    <t>CTC(2010)4-3号</t>
  </si>
  <si>
    <t>等于2.15</t>
  </si>
  <si>
    <t>≤34</t>
  </si>
  <si>
    <t>CTC(2010)4-6号</t>
  </si>
  <si>
    <t>等于1.62</t>
  </si>
  <si>
    <t>≤65</t>
  </si>
  <si>
    <t>CTC(2010)4-7号</t>
  </si>
  <si>
    <t>等于1.2</t>
  </si>
  <si>
    <t>≤35.76</t>
  </si>
  <si>
    <t>澄江县右所镇小湾村委会</t>
  </si>
  <si>
    <t>CTC(2010)26号</t>
  </si>
  <si>
    <t>等于1.15</t>
  </si>
  <si>
    <t>等于35</t>
  </si>
  <si>
    <t>2011-06-20</t>
  </si>
  <si>
    <t>澄国土资告字[2011]6号</t>
  </si>
  <si>
    <t>云南澄江老鹰地旅游度假村有限公司</t>
  </si>
  <si>
    <t>CTC(2010)20号</t>
  </si>
  <si>
    <t>CTC(2010)25号</t>
  </si>
  <si>
    <t>等于2.5</t>
  </si>
  <si>
    <t>等于28</t>
  </si>
  <si>
    <t>CTC(2010)15号</t>
  </si>
  <si>
    <t>CTC(2010)21号</t>
  </si>
  <si>
    <t>CTC(2010)31号</t>
  </si>
  <si>
    <t>CTC(2010)29号</t>
  </si>
  <si>
    <t>CTC(2010)19号</t>
  </si>
  <si>
    <t>CTC(2010)27号</t>
  </si>
  <si>
    <t>CTC(2010)28号</t>
  </si>
  <si>
    <t>CTC(2010)14号</t>
  </si>
  <si>
    <t>CTC(2010)24号</t>
  </si>
  <si>
    <t>CTC(2010)22号</t>
  </si>
  <si>
    <t>地上</t>
  </si>
  <si>
    <t>住宅</t>
    <phoneticPr fontId="7" type="noConversion"/>
  </si>
  <si>
    <t>城镇住宅用地</t>
  </si>
  <si>
    <t>较规则</t>
  </si>
  <si>
    <t>三通一平</t>
  </si>
  <si>
    <t>较好</t>
  </si>
  <si>
    <t>较适宜</t>
  </si>
  <si>
    <t>较适宜</t>
    <phoneticPr fontId="26" type="noConversion"/>
  </si>
  <si>
    <t>云南省玉溪市</t>
    <phoneticPr fontId="6" type="noConversion"/>
  </si>
  <si>
    <t>折扣</t>
    <phoneticPr fontId="21" type="noConversion"/>
  </si>
  <si>
    <t>钢混</t>
  </si>
  <si>
    <t>中档</t>
  </si>
  <si>
    <t>精装修</t>
  </si>
  <si>
    <t>专业</t>
  </si>
  <si>
    <t>六通</t>
  </si>
  <si>
    <t>毛坯</t>
  </si>
  <si>
    <t>精装</t>
  </si>
  <si>
    <t>联排</t>
  </si>
  <si>
    <t>叠拼</t>
  </si>
  <si>
    <t>多层</t>
  </si>
  <si>
    <t>较差</t>
  </si>
  <si>
    <t>一般</t>
  </si>
  <si>
    <t>支路</t>
  </si>
  <si>
    <t>序号</t>
    <phoneticPr fontId="228" type="noConversion"/>
  </si>
  <si>
    <t>证号</t>
    <phoneticPr fontId="228" type="noConversion"/>
  </si>
  <si>
    <t>不动产权利人</t>
    <phoneticPr fontId="228" type="noConversion"/>
  </si>
  <si>
    <t>坐落</t>
    <phoneticPr fontId="228" type="noConversion"/>
  </si>
  <si>
    <t>澄江益邦投资有限公司</t>
    <phoneticPr fontId="228" type="noConversion"/>
  </si>
  <si>
    <t>澄江县龙街镇立昌村委会</t>
    <phoneticPr fontId="228" type="noConversion"/>
  </si>
  <si>
    <t>不动产单元号</t>
    <phoneticPr fontId="228" type="noConversion"/>
  </si>
  <si>
    <t>530422002006GB00005W00000000</t>
    <phoneticPr fontId="228" type="noConversion"/>
  </si>
  <si>
    <t>土地面积</t>
    <phoneticPr fontId="228" type="noConversion"/>
  </si>
  <si>
    <t>云（2017）澄江县不动产权第0000373号</t>
    <phoneticPr fontId="228" type="noConversion"/>
  </si>
  <si>
    <t>530422002006GB00006W00000000</t>
    <phoneticPr fontId="228" type="noConversion"/>
  </si>
  <si>
    <t>云（2017）澄江县不动产权第0000376号</t>
    <phoneticPr fontId="228" type="noConversion"/>
  </si>
  <si>
    <t>530422002006GB00003W00000000</t>
    <phoneticPr fontId="228" type="noConversion"/>
  </si>
  <si>
    <t>用途</t>
    <phoneticPr fontId="228" type="noConversion"/>
  </si>
  <si>
    <t>城镇住宅</t>
    <phoneticPr fontId="228" type="noConversion"/>
  </si>
  <si>
    <t>住宿餐饮</t>
    <phoneticPr fontId="228" type="noConversion"/>
  </si>
  <si>
    <t>云（2017）澄江县不动产权第0000374号</t>
  </si>
  <si>
    <t>530422002006GB00002W00000000</t>
    <phoneticPr fontId="228" type="noConversion"/>
  </si>
  <si>
    <t>批发零售</t>
    <phoneticPr fontId="228" type="noConversion"/>
  </si>
  <si>
    <t>电子监管号</t>
    <phoneticPr fontId="228" type="noConversion"/>
  </si>
  <si>
    <t>地价款</t>
    <phoneticPr fontId="228" type="noConversion"/>
  </si>
  <si>
    <t>楼面地价</t>
    <phoneticPr fontId="228" type="noConversion"/>
  </si>
  <si>
    <t>规划建筑面积</t>
    <phoneticPr fontId="228" type="noConversion"/>
  </si>
  <si>
    <t>容积率</t>
    <phoneticPr fontId="228" type="noConversion"/>
  </si>
  <si>
    <t>建筑密度</t>
    <phoneticPr fontId="228" type="noConversion"/>
  </si>
  <si>
    <t>5304222017B00111</t>
    <phoneticPr fontId="228" type="noConversion"/>
  </si>
  <si>
    <t>5304222017B00085</t>
    <phoneticPr fontId="228" type="noConversion"/>
  </si>
  <si>
    <t>不高于1</t>
    <phoneticPr fontId="228" type="noConversion"/>
  </si>
  <si>
    <t>不高于45%</t>
    <phoneticPr fontId="228" type="noConversion"/>
  </si>
  <si>
    <t>5304222017B00090</t>
    <phoneticPr fontId="228" type="noConversion"/>
  </si>
  <si>
    <t>不高于1.4</t>
    <phoneticPr fontId="228" type="noConversion"/>
  </si>
  <si>
    <t>云（2017）澄江县不动产权第0000375号</t>
    <phoneticPr fontId="228" type="noConversion"/>
  </si>
  <si>
    <t>5304222017B00107</t>
    <phoneticPr fontId="228" type="noConversion"/>
  </si>
  <si>
    <t>不高于1.01、不低于1</t>
    <phoneticPr fontId="228" type="noConversion"/>
  </si>
  <si>
    <t>不高于35%</t>
    <phoneticPr fontId="228" type="noConversion"/>
  </si>
  <si>
    <t>高层</t>
  </si>
  <si>
    <t>小高层</t>
  </si>
  <si>
    <t>平层</t>
  </si>
  <si>
    <t>万科</t>
    <phoneticPr fontId="3" type="noConversion"/>
  </si>
  <si>
    <t>广龙小镇</t>
    <phoneticPr fontId="3" type="noConversion"/>
  </si>
  <si>
    <t>龙街街道办事处广龙社区</t>
    <phoneticPr fontId="228" type="noConversion"/>
  </si>
  <si>
    <t>澄江县右所镇矣旧村委会</t>
    <phoneticPr fontId="228" type="noConversion"/>
  </si>
  <si>
    <t>澄江县阳宗镇北斗村委会谭葛营</t>
    <phoneticPr fontId="228" type="noConversion"/>
  </si>
  <si>
    <t>澄江县阳宗镇北斗村委会</t>
    <phoneticPr fontId="228" type="noConversion"/>
  </si>
  <si>
    <t>澄江县右所镇小湾村委会</t>
    <phoneticPr fontId="228" type="noConversion"/>
  </si>
  <si>
    <t>澄江县体育馆西侧</t>
    <phoneticPr fontId="228" type="noConversion"/>
  </si>
  <si>
    <r>
      <rPr>
        <sz val="10"/>
        <rFont val="宋体"/>
        <family val="3"/>
        <charset val="134"/>
      </rPr>
      <t>云珠小区以西</t>
    </r>
    <r>
      <rPr>
        <sz val="10"/>
        <rFont val="Arial"/>
        <family val="2"/>
      </rPr>
      <t>,</t>
    </r>
    <r>
      <rPr>
        <sz val="10"/>
        <rFont val="宋体"/>
        <family val="3"/>
        <charset val="134"/>
      </rPr>
      <t>凤翔路以南</t>
    </r>
    <phoneticPr fontId="228" type="noConversion"/>
  </si>
  <si>
    <t>龙溪路与抚澄河交叉东南角</t>
    <phoneticPr fontId="228" type="noConversion"/>
  </si>
  <si>
    <t>澄江县龙街街道忠窑社区小窑一组</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</si>
</sst>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b/>
      <sz val="9"/>
      <color theme="1"/>
      <name val="微软雅黑"/>
      <family val="2"/>
      <charset val="134"/>
    </font>
    <font>
      <sz val="9"/>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FFC00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6" fillId="0" borderId="0" xfId="18"/>
    <xf numFmtId="0" fontId="86" fillId="0" borderId="0" xfId="18" applyAlignment="1">
      <alignment horizontal="left" vertical="center"/>
    </xf>
    <xf numFmtId="0" fontId="86" fillId="17" borderId="0" xfId="18" applyFill="1" applyAlignment="1">
      <alignment horizontal="left" vertical="center"/>
    </xf>
    <xf numFmtId="0" fontId="86" fillId="18" borderId="0" xfId="18" applyFill="1" applyAlignment="1">
      <alignment horizontal="left" vertical="center"/>
    </xf>
    <xf numFmtId="0" fontId="86" fillId="9" borderId="0" xfId="18" applyFill="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6" fillId="0" borderId="0" xfId="18" applyFill="1" applyAlignment="1">
      <alignment horizontal="left" vertical="center"/>
    </xf>
    <xf numFmtId="0" fontId="146" fillId="0" borderId="0" xfId="0" applyFont="1">
      <alignment vertical="center"/>
    </xf>
    <xf numFmtId="0" fontId="276" fillId="0" borderId="0" xfId="0" applyFont="1" applyAlignment="1">
      <alignment horizontal="left" vertical="center"/>
    </xf>
    <xf numFmtId="0" fontId="276" fillId="0" borderId="0" xfId="0" applyFont="1" applyAlignment="1">
      <alignment horizontal="left" vertical="center" wrapText="1"/>
    </xf>
    <xf numFmtId="0" fontId="277" fillId="0" borderId="0" xfId="0" applyFont="1" applyAlignment="1">
      <alignment horizontal="left" vertical="center"/>
    </xf>
    <xf numFmtId="0" fontId="277"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0" fontId="71" fillId="0" borderId="52" xfId="0" applyNumberFormat="1" applyFont="1" applyFill="1" applyBorder="1" applyAlignment="1" applyProtection="1">
      <alignment horizontal="center" vertical="center"/>
      <protection locked="0"/>
    </xf>
    <xf numFmtId="0" fontId="127" fillId="9" borderId="0" xfId="18" applyFont="1" applyFill="1" applyAlignment="1">
      <alignment horizontal="left" vertical="center"/>
    </xf>
    <xf numFmtId="0" fontId="127" fillId="0" borderId="0" xfId="18" applyFont="1" applyAlignment="1">
      <alignment horizontal="left" vertical="center"/>
    </xf>
    <xf numFmtId="176" fontId="11" fillId="19" borderId="2" xfId="0" applyNumberFormat="1" applyFont="1" applyFill="1" applyBorder="1" applyAlignment="1" applyProtection="1">
      <alignment vertical="center" wrapText="1"/>
      <protection locked="0"/>
    </xf>
    <xf numFmtId="0" fontId="117" fillId="19" borderId="2" xfId="0"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protection locked="0"/>
    </xf>
    <xf numFmtId="176" fontId="71" fillId="19" borderId="12" xfId="2" applyNumberFormat="1" applyFont="1" applyFill="1" applyBorder="1" applyAlignment="1" applyProtection="1">
      <alignment horizontal="center" vertical="center"/>
      <protection locked="0"/>
    </xf>
    <xf numFmtId="181" fontId="76" fillId="19" borderId="1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177" fontId="76" fillId="19" borderId="2" xfId="2" applyNumberFormat="1" applyFont="1" applyFill="1" applyBorder="1" applyAlignment="1" applyProtection="1">
      <alignment horizontal="center" vertical="center"/>
      <protection locked="0"/>
    </xf>
    <xf numFmtId="181" fontId="76" fillId="19" borderId="51" xfId="0" applyNumberFormat="1" applyFont="1" applyFill="1" applyBorder="1" applyAlignment="1" applyProtection="1">
      <alignment horizontal="center" vertical="center"/>
      <protection locked="0"/>
    </xf>
    <xf numFmtId="9" fontId="71" fillId="0" borderId="8" xfId="0" applyNumberFormat="1" applyFont="1" applyFill="1" applyBorder="1" applyAlignment="1" applyProtection="1">
      <alignment horizontal="center" vertical="center" wrapText="1"/>
      <protection locked="0"/>
    </xf>
    <xf numFmtId="0" fontId="127" fillId="18" borderId="0" xfId="18" applyFont="1" applyFill="1" applyAlignment="1">
      <alignment horizontal="left" vertical="center"/>
    </xf>
    <xf numFmtId="176"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普通 2" xfId="18"/>
    <cellStyle name="已访问的超链接" xfId="17" builtinId="9" hidden="1"/>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66675</xdr:colOff>
      <xdr:row>30</xdr:row>
      <xdr:rowOff>12732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10475" cy="5156232"/>
        </a:xfrm>
        <a:prstGeom prst="rect">
          <a:avLst/>
        </a:prstGeom>
      </xdr:spPr>
    </xdr:pic>
    <xdr:clientData/>
  </xdr:twoCellAnchor>
  <xdr:twoCellAnchor editAs="oneCell">
    <xdr:from>
      <xdr:col>11</xdr:col>
      <xdr:colOff>37079</xdr:colOff>
      <xdr:row>0</xdr:row>
      <xdr:rowOff>0</xdr:rowOff>
    </xdr:from>
    <xdr:to>
      <xdr:col>22</xdr:col>
      <xdr:colOff>385177</xdr:colOff>
      <xdr:row>30</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80879" y="0"/>
          <a:ext cx="7891898" cy="5162550"/>
        </a:xfrm>
        <a:prstGeom prst="rect">
          <a:avLst/>
        </a:prstGeom>
      </xdr:spPr>
    </xdr:pic>
    <xdr:clientData/>
  </xdr:twoCellAnchor>
  <xdr:twoCellAnchor editAs="oneCell">
    <xdr:from>
      <xdr:col>0</xdr:col>
      <xdr:colOff>0</xdr:colOff>
      <xdr:row>29</xdr:row>
      <xdr:rowOff>152399</xdr:rowOff>
    </xdr:from>
    <xdr:to>
      <xdr:col>10</xdr:col>
      <xdr:colOff>628019</xdr:colOff>
      <xdr:row>60</xdr:row>
      <xdr:rowOff>99974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124449"/>
          <a:ext cx="7486019" cy="5262525"/>
        </a:xfrm>
        <a:prstGeom prst="rect">
          <a:avLst/>
        </a:prstGeom>
      </xdr:spPr>
    </xdr:pic>
    <xdr:clientData/>
  </xdr:twoCellAnchor>
  <xdr:twoCellAnchor editAs="oneCell">
    <xdr:from>
      <xdr:col>10</xdr:col>
      <xdr:colOff>666750</xdr:colOff>
      <xdr:row>31</xdr:row>
      <xdr:rowOff>9525</xdr:rowOff>
    </xdr:from>
    <xdr:to>
      <xdr:col>22</xdr:col>
      <xdr:colOff>609600</xdr:colOff>
      <xdr:row>42</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24750" y="5324475"/>
          <a:ext cx="8172450" cy="1981200"/>
        </a:xfrm>
        <a:prstGeom prst="rect">
          <a:avLst/>
        </a:prstGeom>
      </xdr:spPr>
    </xdr:pic>
    <xdr:clientData/>
  </xdr:twoCellAnchor>
  <xdr:twoCellAnchor editAs="oneCell">
    <xdr:from>
      <xdr:col>0</xdr:col>
      <xdr:colOff>0</xdr:colOff>
      <xdr:row>61</xdr:row>
      <xdr:rowOff>76199</xdr:rowOff>
    </xdr:from>
    <xdr:to>
      <xdr:col>17</xdr:col>
      <xdr:colOff>665232</xdr:colOff>
      <xdr:row>110</xdr:row>
      <xdr:rowOff>66674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534649"/>
          <a:ext cx="12323832" cy="8391525"/>
        </a:xfrm>
        <a:prstGeom prst="rect">
          <a:avLst/>
        </a:prstGeom>
      </xdr:spPr>
    </xdr:pic>
    <xdr:clientData/>
  </xdr:twoCellAnchor>
  <xdr:twoCellAnchor>
    <xdr:from>
      <xdr:col>0</xdr:col>
      <xdr:colOff>304800</xdr:colOff>
      <xdr:row>82</xdr:row>
      <xdr:rowOff>34529</xdr:rowOff>
    </xdr:from>
    <xdr:to>
      <xdr:col>2</xdr:col>
      <xdr:colOff>610791</xdr:colOff>
      <xdr:row>93</xdr:row>
      <xdr:rowOff>11206</xdr:rowOff>
    </xdr:to>
    <xdr:sp macro="" textlink="">
      <xdr:nvSpPr>
        <xdr:cNvPr id="8" name="矩形标注 7"/>
        <xdr:cNvSpPr/>
      </xdr:nvSpPr>
      <xdr:spPr>
        <a:xfrm>
          <a:off x="304800" y="13817764"/>
          <a:ext cx="1673109" cy="1825648"/>
        </a:xfrm>
        <a:prstGeom prst="wedgeRectCallout">
          <a:avLst>
            <a:gd name="adj1" fmla="val 180393"/>
            <a:gd name="adj2" fmla="val 3363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71</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b="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R3.5 130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R1.2 100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160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85</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R3 150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333375</xdr:colOff>
      <xdr:row>77</xdr:row>
      <xdr:rowOff>161924</xdr:rowOff>
    </xdr:from>
    <xdr:to>
      <xdr:col>2</xdr:col>
      <xdr:colOff>639366</xdr:colOff>
      <xdr:row>81</xdr:row>
      <xdr:rowOff>19050</xdr:rowOff>
    </xdr:to>
    <xdr:sp macro="" textlink="">
      <xdr:nvSpPr>
        <xdr:cNvPr id="9" name="矩形标注 8"/>
        <xdr:cNvSpPr/>
      </xdr:nvSpPr>
      <xdr:spPr>
        <a:xfrm>
          <a:off x="333375" y="13363574"/>
          <a:ext cx="1677591" cy="542926"/>
        </a:xfrm>
        <a:prstGeom prst="wedgeRectCallout">
          <a:avLst>
            <a:gd name="adj1" fmla="val 225087"/>
            <a:gd name="adj2" fmla="val 2585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R3.5 300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330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323850</xdr:colOff>
      <xdr:row>70</xdr:row>
      <xdr:rowOff>66674</xdr:rowOff>
    </xdr:from>
    <xdr:to>
      <xdr:col>2</xdr:col>
      <xdr:colOff>629841</xdr:colOff>
      <xdr:row>76</xdr:row>
      <xdr:rowOff>104775</xdr:rowOff>
    </xdr:to>
    <xdr:sp macro="" textlink="">
      <xdr:nvSpPr>
        <xdr:cNvPr id="11" name="矩形标注 10"/>
        <xdr:cNvSpPr/>
      </xdr:nvSpPr>
      <xdr:spPr>
        <a:xfrm>
          <a:off x="323850" y="12068174"/>
          <a:ext cx="1677591" cy="1066801"/>
        </a:xfrm>
        <a:prstGeom prst="wedgeRectCallout">
          <a:avLst>
            <a:gd name="adj1" fmla="val 219409"/>
            <a:gd name="adj2" fmla="val 2049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R2.5 260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442</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eaLnBrk="1" fontAlgn="auto" latinLnBrk="0" hangingPunct="1"/>
          <a:r>
            <a:rPr lang="zh-CN" altLang="en-US" sz="1100" b="0" baseline="0">
              <a:solidFill>
                <a:sysClr val="windowText" lastClr="000000"/>
              </a:solidFill>
              <a:effectLst/>
              <a:latin typeface="+mn-lt"/>
              <a:ea typeface="+mn-ea"/>
              <a:cs typeface="+mn-cs"/>
            </a:rPr>
            <a:t>商业</a:t>
          </a:r>
          <a:r>
            <a:rPr lang="zh-CN" altLang="zh-CN" sz="1100" b="0" baseline="0">
              <a:solidFill>
                <a:sysClr val="windowText" lastClr="000000"/>
              </a:solidFill>
              <a:effectLst/>
              <a:latin typeface="+mn-lt"/>
              <a:ea typeface="+mn-ea"/>
              <a:cs typeface="+mn-cs"/>
            </a:rPr>
            <a:t>：</a:t>
          </a:r>
          <a:endParaRPr lang="zh-CN" altLang="zh-CN">
            <a:solidFill>
              <a:sysClr val="windowText" lastClr="000000"/>
            </a:solidFill>
            <a:effectLst/>
          </a:endParaRPr>
        </a:p>
        <a:p>
          <a:pPr eaLnBrk="1" fontAlgn="auto" latinLnBrk="0" hangingPunct="1"/>
          <a:r>
            <a:rPr lang="en-US" altLang="zh-CN" sz="1100" b="0" baseline="0">
              <a:solidFill>
                <a:sysClr val="windowText" lastClr="000000"/>
              </a:solidFill>
              <a:effectLst/>
              <a:latin typeface="+mn-lt"/>
              <a:ea typeface="+mn-ea"/>
              <a:cs typeface="+mn-cs"/>
            </a:rPr>
            <a:t>R2 200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xdr:txBody>
    </xdr:sp>
    <xdr:clientData/>
  </xdr:twoCellAnchor>
  <xdr:twoCellAnchor>
    <xdr:from>
      <xdr:col>11</xdr:col>
      <xdr:colOff>190500</xdr:colOff>
      <xdr:row>98</xdr:row>
      <xdr:rowOff>105895</xdr:rowOff>
    </xdr:from>
    <xdr:to>
      <xdr:col>13</xdr:col>
      <xdr:colOff>496491</xdr:colOff>
      <xdr:row>101</xdr:row>
      <xdr:rowOff>131109</xdr:rowOff>
    </xdr:to>
    <xdr:sp macro="" textlink="">
      <xdr:nvSpPr>
        <xdr:cNvPr id="12" name="矩形标注 11"/>
        <xdr:cNvSpPr/>
      </xdr:nvSpPr>
      <xdr:spPr>
        <a:xfrm>
          <a:off x="7709647" y="16578542"/>
          <a:ext cx="1673109" cy="529479"/>
        </a:xfrm>
        <a:prstGeom prst="wedgeRectCallout">
          <a:avLst>
            <a:gd name="adj1" fmla="val -169287"/>
            <a:gd name="adj2" fmla="val -10759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R0.4-0.8 20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60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142875</xdr:colOff>
      <xdr:row>84</xdr:row>
      <xdr:rowOff>95249</xdr:rowOff>
    </xdr:from>
    <xdr:to>
      <xdr:col>13</xdr:col>
      <xdr:colOff>448866</xdr:colOff>
      <xdr:row>87</xdr:row>
      <xdr:rowOff>123825</xdr:rowOff>
    </xdr:to>
    <xdr:sp macro="" textlink="">
      <xdr:nvSpPr>
        <xdr:cNvPr id="13" name="矩形标注 12"/>
        <xdr:cNvSpPr/>
      </xdr:nvSpPr>
      <xdr:spPr>
        <a:xfrm>
          <a:off x="7686675" y="1449704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155202</xdr:colOff>
      <xdr:row>88</xdr:row>
      <xdr:rowOff>37539</xdr:rowOff>
    </xdr:from>
    <xdr:to>
      <xdr:col>13</xdr:col>
      <xdr:colOff>461193</xdr:colOff>
      <xdr:row>91</xdr:row>
      <xdr:rowOff>66116</xdr:rowOff>
    </xdr:to>
    <xdr:sp macro="" textlink="">
      <xdr:nvSpPr>
        <xdr:cNvPr id="14" name="矩形标注 13"/>
        <xdr:cNvSpPr/>
      </xdr:nvSpPr>
      <xdr:spPr>
        <a:xfrm>
          <a:off x="7674349" y="14829304"/>
          <a:ext cx="1673109" cy="532841"/>
        </a:xfrm>
        <a:prstGeom prst="wedgeRectCallout">
          <a:avLst>
            <a:gd name="adj1" fmla="val -181632"/>
            <a:gd name="adj2" fmla="val 734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R0.2-1.7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504825</xdr:colOff>
      <xdr:row>69</xdr:row>
      <xdr:rowOff>19049</xdr:rowOff>
    </xdr:from>
    <xdr:to>
      <xdr:col>14</xdr:col>
      <xdr:colOff>125016</xdr:colOff>
      <xdr:row>72</xdr:row>
      <xdr:rowOff>47625</xdr:rowOff>
    </xdr:to>
    <xdr:sp macro="" textlink="">
      <xdr:nvSpPr>
        <xdr:cNvPr id="15" name="矩形标注 14"/>
        <xdr:cNvSpPr/>
      </xdr:nvSpPr>
      <xdr:spPr>
        <a:xfrm>
          <a:off x="8048625" y="1184909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R0.4-1.2 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302559</xdr:colOff>
      <xdr:row>93</xdr:row>
      <xdr:rowOff>90767</xdr:rowOff>
    </xdr:from>
    <xdr:to>
      <xdr:col>2</xdr:col>
      <xdr:colOff>608550</xdr:colOff>
      <xdr:row>103</xdr:row>
      <xdr:rowOff>56030</xdr:rowOff>
    </xdr:to>
    <xdr:sp macro="" textlink="">
      <xdr:nvSpPr>
        <xdr:cNvPr id="16" name="矩形标注 15"/>
        <xdr:cNvSpPr/>
      </xdr:nvSpPr>
      <xdr:spPr>
        <a:xfrm>
          <a:off x="302559" y="15722973"/>
          <a:ext cx="1673109" cy="1646145"/>
        </a:xfrm>
        <a:prstGeom prst="wedgeRectCallout">
          <a:avLst>
            <a:gd name="adj1" fmla="val 182571"/>
            <a:gd name="adj2" fmla="val -715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广龙小镇：</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16-24</a:t>
          </a:r>
          <a:r>
            <a:rPr lang="zh-CN" altLang="en-US">
              <a:solidFill>
                <a:sysClr val="windowText" lastClr="000000"/>
              </a:solidFill>
              <a:effectLst/>
            </a:rPr>
            <a:t>层，均</a:t>
          </a:r>
          <a:r>
            <a:rPr lang="en-US" altLang="zh-CN">
              <a:solidFill>
                <a:sysClr val="windowText" lastClr="000000"/>
              </a:solidFill>
              <a:effectLst/>
            </a:rPr>
            <a:t>9000-12000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1800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独栋商业（作民宿）</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9000-12000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endParaRPr lang="zh-CN" altLang="zh-CN">
            <a:solidFill>
              <a:sysClr val="windowText" lastClr="000000"/>
            </a:solidFill>
            <a:effectLst/>
          </a:endParaRPr>
        </a:p>
      </xdr:txBody>
    </xdr:sp>
    <xdr:clientData/>
  </xdr:twoCellAnchor>
  <xdr:twoCellAnchor>
    <xdr:from>
      <xdr:col>11</xdr:col>
      <xdr:colOff>201706</xdr:colOff>
      <xdr:row>91</xdr:row>
      <xdr:rowOff>146797</xdr:rowOff>
    </xdr:from>
    <xdr:to>
      <xdr:col>13</xdr:col>
      <xdr:colOff>507697</xdr:colOff>
      <xdr:row>98</xdr:row>
      <xdr:rowOff>33618</xdr:rowOff>
    </xdr:to>
    <xdr:sp macro="" textlink="">
      <xdr:nvSpPr>
        <xdr:cNvPr id="17" name="矩形标注 16"/>
        <xdr:cNvSpPr/>
      </xdr:nvSpPr>
      <xdr:spPr>
        <a:xfrm>
          <a:off x="7720853" y="15442826"/>
          <a:ext cx="1673109" cy="1063439"/>
        </a:xfrm>
        <a:prstGeom prst="wedgeRectCallout">
          <a:avLst>
            <a:gd name="adj1" fmla="val -181781"/>
            <a:gd name="adj2" fmla="val -4367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欢乐大世界：</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12</a:t>
          </a:r>
          <a:r>
            <a:rPr lang="zh-CN" altLang="en-US">
              <a:solidFill>
                <a:sysClr val="windowText" lastClr="000000"/>
              </a:solidFill>
              <a:effectLst/>
            </a:rPr>
            <a:t>层，均</a:t>
          </a:r>
          <a:r>
            <a:rPr lang="en-US" altLang="zh-CN">
              <a:solidFill>
                <a:sysClr val="windowText" lastClr="000000"/>
              </a:solidFill>
              <a:effectLst/>
            </a:rPr>
            <a:t>14000-15000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2000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xdr:txBody>
    </xdr:sp>
    <xdr:clientData/>
  </xdr:twoCellAnchor>
  <xdr:twoCellAnchor>
    <xdr:from>
      <xdr:col>11</xdr:col>
      <xdr:colOff>168088</xdr:colOff>
      <xdr:row>102</xdr:row>
      <xdr:rowOff>57149</xdr:rowOff>
    </xdr:from>
    <xdr:to>
      <xdr:col>13</xdr:col>
      <xdr:colOff>474079</xdr:colOff>
      <xdr:row>111</xdr:row>
      <xdr:rowOff>100853</xdr:rowOff>
    </xdr:to>
    <xdr:sp macro="" textlink="">
      <xdr:nvSpPr>
        <xdr:cNvPr id="18" name="矩形标注 17"/>
        <xdr:cNvSpPr/>
      </xdr:nvSpPr>
      <xdr:spPr>
        <a:xfrm>
          <a:off x="7687235" y="17202149"/>
          <a:ext cx="1673109" cy="1556498"/>
        </a:xfrm>
        <a:prstGeom prst="wedgeRectCallout">
          <a:avLst>
            <a:gd name="adj1" fmla="val -167046"/>
            <a:gd name="adj2" fmla="val -1094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万科：</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4-7</a:t>
          </a:r>
          <a:r>
            <a:rPr lang="zh-CN" altLang="en-US">
              <a:solidFill>
                <a:sysClr val="windowText" lastClr="000000"/>
              </a:solidFill>
              <a:effectLst/>
            </a:rPr>
            <a:t>层，均</a:t>
          </a:r>
          <a:r>
            <a:rPr lang="en-US" altLang="zh-CN">
              <a:solidFill>
                <a:sysClr val="windowText" lastClr="000000"/>
              </a:solidFill>
              <a:effectLst/>
            </a:rPr>
            <a:t>1300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zh-CN" altLang="en-US" baseline="0">
              <a:solidFill>
                <a:sysClr val="windowText" lastClr="000000"/>
              </a:solidFill>
              <a:effectLst/>
            </a:rPr>
            <a:t>）</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合院，</a:t>
          </a:r>
          <a:r>
            <a:rPr lang="en-US" altLang="zh-CN" baseline="0">
              <a:solidFill>
                <a:sysClr val="windowText" lastClr="000000"/>
              </a:solidFill>
              <a:effectLst/>
            </a:rPr>
            <a:t>1</a:t>
          </a:r>
          <a:r>
            <a:rPr lang="zh-CN" altLang="en-US" baseline="0">
              <a:solidFill>
                <a:sysClr val="windowText" lastClr="000000"/>
              </a:solidFill>
              <a:effectLst/>
            </a:rPr>
            <a:t>层</a:t>
          </a:r>
          <a:r>
            <a:rPr lang="en-US" altLang="zh-CN" baseline="0">
              <a:solidFill>
                <a:sysClr val="windowText" lastClr="000000"/>
              </a:solidFill>
              <a:effectLst/>
            </a:rPr>
            <a:t>120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73</a:t>
          </a:r>
          <a:r>
            <a:rPr lang="zh-CN" altLang="en-US" baseline="0">
              <a:solidFill>
                <a:sysClr val="windowText" lastClr="000000"/>
              </a:solidFill>
              <a:effectLst/>
            </a:rPr>
            <a:t>平；</a:t>
          </a:r>
          <a:r>
            <a:rPr lang="en-US" altLang="zh-CN" baseline="0">
              <a:solidFill>
                <a:sysClr val="windowText" lastClr="000000"/>
              </a:solidFill>
              <a:effectLst/>
            </a:rPr>
            <a:t>2</a:t>
          </a:r>
          <a:r>
            <a:rPr lang="zh-CN" altLang="en-US" baseline="0">
              <a:solidFill>
                <a:sysClr val="windowText" lastClr="000000"/>
              </a:solidFill>
              <a:effectLst/>
            </a:rPr>
            <a:t>层</a:t>
          </a:r>
          <a:r>
            <a:rPr lang="en-US" altLang="zh-CN" baseline="0">
              <a:solidFill>
                <a:sysClr val="windowText" lastClr="000000"/>
              </a:solidFill>
              <a:effectLst/>
            </a:rPr>
            <a:t>150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90</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联排（目前停售）</a:t>
          </a:r>
          <a:r>
            <a:rPr lang="en-US" altLang="zh-CN" baseline="0">
              <a:solidFill>
                <a:sysClr val="windowText" lastClr="000000"/>
              </a:solidFill>
              <a:effectLst/>
            </a:rPr>
            <a:t>180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112</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xdr:txBody>
    </xdr:sp>
    <xdr:clientData/>
  </xdr:twoCellAnchor>
  <xdr:twoCellAnchor editAs="oneCell">
    <xdr:from>
      <xdr:col>22</xdr:col>
      <xdr:colOff>417490</xdr:colOff>
      <xdr:row>0</xdr:row>
      <xdr:rowOff>0</xdr:rowOff>
    </xdr:from>
    <xdr:to>
      <xdr:col>31</xdr:col>
      <xdr:colOff>524996</xdr:colOff>
      <xdr:row>25</xdr:row>
      <xdr:rowOff>0</xdr:rowOff>
    </xdr:to>
    <xdr:pic>
      <xdr:nvPicPr>
        <xdr:cNvPr id="6" name="图片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55784" y="0"/>
          <a:ext cx="6259536" cy="4202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41</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82050" cy="7058025"/>
        </a:xfrm>
        <a:prstGeom prst="rect">
          <a:avLst/>
        </a:prstGeom>
      </xdr:spPr>
    </xdr:pic>
    <xdr:clientData/>
  </xdr:twoCellAnchor>
  <xdr:twoCellAnchor editAs="oneCell">
    <xdr:from>
      <xdr:col>0</xdr:col>
      <xdr:colOff>0</xdr:colOff>
      <xdr:row>44</xdr:row>
      <xdr:rowOff>0</xdr:rowOff>
    </xdr:from>
    <xdr:to>
      <xdr:col>9</xdr:col>
      <xdr:colOff>552450</xdr:colOff>
      <xdr:row>84</xdr:row>
      <xdr:rowOff>142875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6724650" cy="700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242;&#20185;&#28246;&#19968;&#26399;&#21830;&#19994;&#65289;-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
      <sheetName val="数据-汇总表"/>
      <sheetName val="数据-取费表"/>
      <sheetName val="估价对象房地状况"/>
      <sheetName val="系统读取表"/>
      <sheetName val="典型户型修正"/>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案例（商业）"/>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84438</v>
          </cell>
          <cell r="C14">
            <v>60313</v>
          </cell>
          <cell r="D14">
            <v>14283</v>
          </cell>
        </row>
      </sheetData>
      <sheetData sheetId="17">
        <row r="25">
          <cell r="B25">
            <v>74692</v>
          </cell>
          <cell r="S25">
            <v>14655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云南省玉溪市澄江县龙街镇立昌村委会（不动产单元号：530422002006GB00005W00000000号及530422002006GB00006W00000000号）共两宗城镇住宅用地出让国有建设用地使用权抵押价格预评估</v>
      </c>
      <c r="AX2" s="2850"/>
      <c r="AZ2" s="2850"/>
      <c r="BA2" s="2851"/>
      <c r="BC2" s="2851"/>
    </row>
    <row r="3" spans="1:55" s="2852" customFormat="1">
      <c r="A3" s="2831" t="s">
        <v>2658</v>
      </c>
      <c r="B3" s="2834" t="str">
        <f>'预评函-封皮'!B40</f>
        <v>中信信托有限责任公司</v>
      </c>
    </row>
    <row r="4" spans="1:55" s="2833" customFormat="1">
      <c r="A4" s="2831" t="s">
        <v>2659</v>
      </c>
      <c r="B4" s="2832" t="str">
        <f>'预评函-封皮'!B46</f>
        <v>王鹏、郑燚</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受贵公司委托，我公司对云南省玉溪市澄江县龙街镇立昌村委会（不动产单元号：530422002006GB00005W00000000号及530422002006GB00006W00000000号）共两宗城镇住宅用地出让国有建设用地使用权抵押价格进行了预评估。</v>
      </c>
      <c r="AM6" s="2856"/>
    </row>
    <row r="7" spans="1:55" s="2830" customFormat="1">
      <c r="A7" s="2831" t="s">
        <v>2654</v>
      </c>
      <c r="B7" s="2832" t="str">
        <f>'预评函-1'!A6</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2019年4月16日（评估专业人员勘察现场之日）</v>
      </c>
    </row>
    <row r="11" spans="1:55" s="2830" customFormat="1">
      <c r="A11" s="2831" t="s">
        <v>2662</v>
      </c>
      <c r="B11" s="2832" t="str">
        <f>'预评函-1'!A14</f>
        <v>根据《不动产权证书》[云（2017）澄江县不动产权第0000375、0000373号]，本次评估估价对象证载（地类）用途为城镇住宅用地。</v>
      </c>
    </row>
    <row r="12" spans="1:55" s="2830" customFormat="1">
      <c r="A12" s="2831" t="s">
        <v>2663</v>
      </c>
      <c r="B12" s="2832" t="str">
        <f>'预评函-1'!A15</f>
        <v>本次评估设定用途即为证载用途城镇住宅用地。</v>
      </c>
    </row>
    <row r="13" spans="1:55" s="2830" customFormat="1">
      <c r="A13" s="2831" t="s">
        <v>2664</v>
      </c>
      <c r="B13" s="2832" t="str">
        <f>'预评函-1'!A17</f>
        <v>根据委托估价方介绍及评估专业人员现场勘查，本次评估估价对象实际土地开发程度为红线外市政基础设施达“七通”（即通路、通电、通上水、、、、）、宗地红线内场地未平整，宗地红线内地势呈东高西低。</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不动产权证书》[云（2017）澄江县不动产权第0000375、0000373号]，估价对象（分摊）出让国有建设用地使用权面积为37003平方米。根据《建设工程规划许可证》[]、《出让合同》[]，估价对象规划建筑面积为37003平方米。</v>
      </c>
    </row>
    <row r="16" spans="1:55" s="2830" customFormat="1">
      <c r="A16" s="2831" t="s">
        <v>2666</v>
      </c>
      <c r="B16" s="2832" t="str">
        <f>'预评函-1'!A22</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估价期日：2019年4月16日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v>
      </c>
      <c r="AV32" s="2836"/>
    </row>
    <row r="33" spans="1:2">
      <c r="A33" s="2831" t="s">
        <v>2710</v>
      </c>
      <c r="B33" s="2832">
        <f>'预评函-2'!F5</f>
        <v>258</v>
      </c>
    </row>
    <row r="34" spans="1:2">
      <c r="A34" s="2831" t="s">
        <v>2711</v>
      </c>
      <c r="B34" s="2832" t="str">
        <f>'预评函-2'!G5</f>
        <v>城镇住宅用地</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红线外七通、宗地红线内场地未平整</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37003</v>
      </c>
    </row>
    <row r="44" spans="1:2">
      <c r="A44" s="2831" t="s">
        <v>2737</v>
      </c>
      <c r="B44" s="2832" t="str">
        <f>'预评函-2'!O3</f>
        <v>规划建筑面积/㎡</v>
      </c>
    </row>
    <row r="45" spans="1:2">
      <c r="A45" s="2831" t="s">
        <v>2719</v>
      </c>
      <c r="B45" s="2832">
        <f>'预评函-2'!O5</f>
        <v>37003</v>
      </c>
    </row>
    <row r="46" spans="1:2">
      <c r="A46" s="2831" t="s">
        <v>2720</v>
      </c>
      <c r="B46" s="2832">
        <f ca="1">'预评函-2'!P5</f>
        <v>1765</v>
      </c>
    </row>
    <row r="47" spans="1:2">
      <c r="A47" s="2831" t="s">
        <v>2721</v>
      </c>
      <c r="B47" s="2832">
        <f ca="1">'预评函-2'!Q5</f>
        <v>1765</v>
      </c>
    </row>
    <row r="48" spans="1:2">
      <c r="A48" s="2831" t="s">
        <v>2722</v>
      </c>
      <c r="B48" s="2832">
        <f ca="1">'预评函-2'!R5</f>
        <v>6532</v>
      </c>
    </row>
    <row r="49" spans="1:2">
      <c r="A49" s="2831" t="s">
        <v>2738</v>
      </c>
      <c r="B49" s="2832" t="str">
        <f>'预评函-2'!A6</f>
        <v>抵押价格</v>
      </c>
    </row>
    <row r="50" spans="1:2">
      <c r="A50" s="2831" t="s">
        <v>2723</v>
      </c>
      <c r="B50" s="2832">
        <f ca="1">'预评函-2'!R6</f>
        <v>6532</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1.权利限制：根据估价对象《不动产权证书》复印件，截至估价期日，估价对象抵押权未见登记。未设定租赁等其他他项权利。</v>
      </c>
    </row>
    <row r="56" spans="1:2">
      <c r="A56" s="2831" t="s">
        <v>2676</v>
      </c>
      <c r="B56" s="2832" t="str">
        <f>'预评函-3'!A3</f>
        <v>2.基础设施条件：估价对象实际开发程度为红线外七通、宗地红线内场地未平整；本次评估设定开发程度为红线外七通、宗地红线内场地平整。</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（1）根据估价对象《不动产权证书》复印件，截至估价期日，估价对象抵押权未见登记。</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5" thickBot="1">
      <c r="A72" s="2853" t="s">
        <v>2688</v>
      </c>
      <c r="B72" s="2859">
        <f ca="1">'预评函-3'!B21</f>
        <v>2014110011</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I39" sqref="I3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52" t="str">
        <f>IF(B10="北京市","北京市",C10)&amp;F10&amp;B16&amp;"国有建设用地使用权"&amp;B9&amp;"预评估"</f>
        <v>云南省玉溪市澄江县龙街镇立昌村委会（不动产单元号：530422002006GB00005W00000000号及530422002006GB00006W00000000号）共两宗城镇住宅用地出让国有建设用地使用权抵押价格预评估</v>
      </c>
      <c r="C1" s="3253"/>
      <c r="D1" s="3253"/>
      <c r="E1" s="3253"/>
      <c r="F1" s="3253"/>
      <c r="G1" s="3253"/>
      <c r="H1" s="3253"/>
      <c r="I1" s="3254"/>
      <c r="J1" s="1676"/>
      <c r="K1" s="2417" t="str">
        <f>IF(B10="北京市","北京市",C10)&amp;F10&amp;B16&amp;"国有建设用地使用权"&amp;B9</f>
        <v>云南省玉溪市澄江县龙街镇立昌村委会（不动产单元号：530422002006GB00005W00000000号及530422002006GB00006W00000000号）共两宗城镇住宅用地出让国有建设用地使用权抵押价格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云南省玉溪市澄江县龙街镇立昌村委会（不动产单元号：530422002006GB00005W00000000号及530422002006GB00006W00000000号）共两宗城镇住宅用地出让国有建设用地使用权</v>
      </c>
      <c r="L2" s="1705"/>
      <c r="M2" s="1705"/>
      <c r="N2" s="1676"/>
      <c r="O2" s="1677"/>
      <c r="P2" s="1676"/>
      <c r="Q2" s="1676"/>
      <c r="R2" s="1676"/>
      <c r="S2" s="1676"/>
      <c r="T2" s="1676"/>
      <c r="U2" s="1676"/>
    </row>
    <row r="3" spans="1:21">
      <c r="A3" s="1643" t="s">
        <v>1939</v>
      </c>
      <c r="B3" s="1644">
        <v>43571</v>
      </c>
      <c r="C3" s="1645" t="s">
        <v>1993</v>
      </c>
      <c r="D3" s="1644">
        <f>B3</f>
        <v>43571</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2989</v>
      </c>
      <c r="C4" s="1828">
        <f ca="1">SUMIF(土地估价师,B4,估价师及机构信息!E3:E24)</f>
        <v>2002110030</v>
      </c>
      <c r="D4" s="1825" t="s">
        <v>2990</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中信信托有限责任公司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t="s">
        <v>2991</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2704</v>
      </c>
      <c r="B7" s="1771" t="str">
        <f>C11</f>
        <v>澄江益邦投资有限公司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58" t="s">
        <v>1944</v>
      </c>
      <c r="E8" s="1826" t="s">
        <v>3045</v>
      </c>
      <c r="F8" s="1654"/>
      <c r="G8" s="1642"/>
      <c r="H8" s="1642"/>
      <c r="I8" s="1689"/>
      <c r="J8" s="1676"/>
      <c r="K8" s="1756"/>
      <c r="L8" s="1705"/>
      <c r="M8" s="1705"/>
      <c r="N8" s="1676"/>
      <c r="O8" s="1677"/>
      <c r="P8" s="1676"/>
      <c r="Q8" s="1676"/>
      <c r="R8" s="1676"/>
      <c r="S8" s="1676"/>
      <c r="T8" s="1676"/>
      <c r="U8" s="1676"/>
    </row>
    <row r="9" spans="1:21" ht="15" thickBot="1">
      <c r="A9" s="1655" t="s">
        <v>1943</v>
      </c>
      <c r="B9" s="1656" t="s">
        <v>3045</v>
      </c>
      <c r="C9" s="1657"/>
      <c r="D9" s="3259"/>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2993</v>
      </c>
      <c r="C10" s="1658" t="s">
        <v>3233</v>
      </c>
      <c r="D10" s="1649"/>
      <c r="E10" s="1659" t="s">
        <v>1946</v>
      </c>
      <c r="F10" s="1660" t="s">
        <v>3034</v>
      </c>
      <c r="G10" s="1727"/>
      <c r="H10" s="1728"/>
      <c r="I10" s="1649"/>
      <c r="J10" s="1676"/>
      <c r="K10" s="1756"/>
      <c r="L10" s="1705"/>
      <c r="M10" s="1705"/>
      <c r="N10" s="1676"/>
      <c r="O10" s="1677"/>
      <c r="P10" s="1676"/>
      <c r="Q10" s="1676"/>
      <c r="R10" s="1676"/>
      <c r="S10" s="1676"/>
      <c r="T10" s="1676"/>
      <c r="U10" s="1676"/>
    </row>
    <row r="11" spans="1:21" ht="28.5">
      <c r="A11" s="1679" t="s">
        <v>1998</v>
      </c>
      <c r="B11" s="1680" t="s">
        <v>2994</v>
      </c>
      <c r="C11" s="1661" t="s">
        <v>3047</v>
      </c>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55" t="s">
        <v>3035</v>
      </c>
      <c r="C12" s="3256"/>
      <c r="D12" s="3257"/>
      <c r="E12" s="1681" t="s">
        <v>2059</v>
      </c>
      <c r="F12" s="3273" t="s">
        <v>3036</v>
      </c>
      <c r="G12" s="3274"/>
      <c r="H12" s="3274"/>
      <c r="I12" s="3275"/>
      <c r="J12" s="1676"/>
      <c r="K12" s="1756"/>
      <c r="L12" s="1705"/>
      <c r="M12" s="1705"/>
      <c r="N12" s="1676"/>
      <c r="O12" s="1677"/>
      <c r="P12" s="1676"/>
      <c r="Q12" s="1676"/>
      <c r="R12" s="1676"/>
      <c r="S12" s="1676"/>
      <c r="T12" s="1676"/>
      <c r="U12" s="1676"/>
    </row>
    <row r="13" spans="1:21">
      <c r="A13" s="1669" t="s">
        <v>2057</v>
      </c>
      <c r="B13" s="3255" t="str">
        <f>B12</f>
        <v>城镇住宅用地</v>
      </c>
      <c r="C13" s="3256"/>
      <c r="D13" s="3257"/>
      <c r="E13" s="1681" t="s">
        <v>2059</v>
      </c>
      <c r="F13" s="3273" t="s">
        <v>2886</v>
      </c>
      <c r="G13" s="3274"/>
      <c r="H13" s="3274"/>
      <c r="I13" s="3275"/>
      <c r="J13" s="1676"/>
      <c r="K13" s="1756"/>
      <c r="L13" s="1705"/>
      <c r="M13" s="1705"/>
      <c r="N13" s="1676"/>
      <c r="O13" s="1677"/>
      <c r="P13" s="1676"/>
      <c r="Q13" s="1676"/>
      <c r="R13" s="1676"/>
      <c r="S13" s="1676"/>
      <c r="T13" s="1676"/>
      <c r="U13" s="1676"/>
    </row>
    <row r="14" spans="1:21">
      <c r="A14" s="1643" t="s">
        <v>2060</v>
      </c>
      <c r="B14" s="1681"/>
      <c r="C14" s="1827" t="s">
        <v>2997</v>
      </c>
      <c r="D14" s="1715" t="str">
        <f>IF(C14="不一致","是否符合证载地类范围","")</f>
        <v/>
      </c>
      <c r="E14" s="1681"/>
      <c r="F14" s="1772" t="s">
        <v>2996</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2985</v>
      </c>
      <c r="C16" s="1681" t="s">
        <v>1948</v>
      </c>
      <c r="D16" s="2608" t="s">
        <v>1949</v>
      </c>
      <c r="E16" s="1704" t="s">
        <v>2995</v>
      </c>
      <c r="F16" s="1704"/>
      <c r="G16" s="1704" t="s">
        <v>35</v>
      </c>
      <c r="H16" s="1704"/>
      <c r="I16" s="1668" t="s">
        <v>1954</v>
      </c>
      <c r="J16" s="1676"/>
      <c r="K16" s="2418" t="str">
        <f>IF(D17="","",D16&amp;TEXT(D17,"yyyy年m月d日;;"))</f>
        <v>住宅2087年6月19日</v>
      </c>
      <c r="L16" s="1681" t="str">
        <f>IF(OR(K16="",M16=""),"","、")</f>
        <v>、</v>
      </c>
      <c r="M16" s="2418" t="str">
        <f>IF(E17="","",E16&amp;TEXT(E17,"yyyy年m月d日;;"))</f>
        <v>商业2057年6月19日</v>
      </c>
      <c r="N16" s="1681" t="str">
        <f>IF(OR(M16="",O16=""),"","、")</f>
        <v/>
      </c>
      <c r="O16" s="2418" t="str">
        <f>IF(F17="","",F16&amp;TEXT(F17,"yyyy年m月d日;;"))</f>
        <v/>
      </c>
      <c r="P16" s="1681" t="str">
        <f>IF(OR(O16="",Q16=""),"","、")</f>
        <v/>
      </c>
      <c r="Q16" s="2418" t="str">
        <f>IF(G17="","",G16&amp;TEXT(G17,"yyyy年m月d日;;"))</f>
        <v>地下车库2067年6月19日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68472</v>
      </c>
      <c r="E17" s="1682">
        <v>57515</v>
      </c>
      <c r="F17" s="1682"/>
      <c r="G17" s="1682">
        <v>61167</v>
      </c>
      <c r="H17" s="1682"/>
      <c r="I17" s="1682"/>
      <c r="J17" s="1676"/>
      <c r="K17" s="2417" t="str">
        <f>CONCATENATE(K16,L16,M16,N16,O16,P16,Q16,R16,S16,T16,,U16)</f>
        <v>住宅2087年6月19日、商业2057年6月19日地下车库2067年6月19日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68.22</v>
      </c>
      <c r="E19" s="1667">
        <f>IF(B16="出让",IF(E17="","",ROUNDDOWN(MIN((E17-$D$3)/365,E18),2)),E18)</f>
        <v>38.200000000000003</v>
      </c>
      <c r="F19" s="1667" t="str">
        <f>IF(B16="出让",IF(F17="","",ROUNDDOWN(MIN((F17-$D$3)/365,F18),2)),F18)</f>
        <v/>
      </c>
      <c r="G19" s="1667">
        <f>IF(B16="出让",IF(G17="","",ROUNDDOWN(MIN((G17-$D$3)/365,G18),2)),G18)</f>
        <v>48.2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0"/>
      <c r="E20" s="3271"/>
      <c r="F20" s="3271"/>
      <c r="G20" s="3271"/>
      <c r="H20" s="3271"/>
      <c r="I20" s="3272"/>
      <c r="J20" s="1676"/>
      <c r="K20" s="1756"/>
      <c r="L20" s="1705"/>
      <c r="M20" s="1705"/>
      <c r="N20" s="1676"/>
      <c r="O20" s="1677"/>
      <c r="P20" s="1676"/>
      <c r="Q20" s="1676"/>
      <c r="R20" s="1676"/>
      <c r="S20" s="1676"/>
      <c r="T20" s="1676"/>
      <c r="U20" s="1676"/>
    </row>
    <row r="21" spans="1:21">
      <c r="A21" s="1745" t="s">
        <v>1958</v>
      </c>
      <c r="B21" s="1746" t="s">
        <v>1959</v>
      </c>
      <c r="C21" s="1741">
        <f>'数据-汇总表'!E3</f>
        <v>37003</v>
      </c>
      <c r="D21" s="1742" t="s">
        <v>1960</v>
      </c>
      <c r="E21" s="3260" t="s">
        <v>1996</v>
      </c>
      <c r="F21" s="3261"/>
      <c r="G21" s="3261"/>
      <c r="H21" s="3261"/>
      <c r="I21" s="3262"/>
      <c r="J21" s="1676"/>
      <c r="K21" s="1756"/>
      <c r="L21" s="1705"/>
      <c r="M21" s="1705"/>
      <c r="N21" s="1676"/>
      <c r="O21" s="1677"/>
      <c r="P21" s="1676"/>
      <c r="Q21" s="1676"/>
      <c r="R21" s="1676"/>
      <c r="S21" s="1676"/>
      <c r="T21" s="1676"/>
      <c r="U21" s="1676"/>
    </row>
    <row r="22" spans="1:21">
      <c r="A22" s="3095" t="s">
        <v>952</v>
      </c>
      <c r="B22" s="1643" t="s">
        <v>1961</v>
      </c>
      <c r="C22" s="1668">
        <f>'数据-汇总表'!D3</f>
        <v>37003</v>
      </c>
      <c r="D22" s="1669" t="s">
        <v>1960</v>
      </c>
      <c r="E22" s="3260" t="str">
        <f>F12</f>
        <v>《不动产权证书》[云（2017）澄江县不动产权第0000375、0000373号]</v>
      </c>
      <c r="F22" s="3261"/>
      <c r="G22" s="3261"/>
      <c r="H22" s="3261"/>
      <c r="I22" s="3262"/>
      <c r="J22" s="1676"/>
      <c r="K22" s="1756"/>
      <c r="L22" s="1705"/>
      <c r="M22" s="1705"/>
      <c r="N22" s="1676"/>
      <c r="O22" s="1677"/>
      <c r="P22" s="1676"/>
      <c r="Q22" s="1676"/>
      <c r="R22" s="1676"/>
      <c r="S22" s="1676"/>
      <c r="T22" s="1676"/>
      <c r="U22" s="1676"/>
    </row>
    <row r="23" spans="1:21" ht="43.5" thickBot="1">
      <c r="A23" s="1747" t="s">
        <v>1962</v>
      </c>
      <c r="B23" s="1683" t="s">
        <v>1963</v>
      </c>
      <c r="C23" s="1684" t="s">
        <v>3037</v>
      </c>
      <c r="D23" s="1685" t="s">
        <v>1964</v>
      </c>
      <c r="E23" s="1686" t="s">
        <v>952</v>
      </c>
      <c r="F23" s="1687" t="str">
        <f>IF(AND(C23="是",E23="否"),"是否提供他项权证或相关说明","")</f>
        <v/>
      </c>
      <c r="G23" s="1688" t="s">
        <v>952</v>
      </c>
      <c r="H23" s="1676"/>
      <c r="I23" s="1689"/>
      <c r="J23" s="1676"/>
      <c r="K23" s="1756"/>
      <c r="L23" s="1705"/>
      <c r="M23" s="1705"/>
      <c r="N23" s="1676"/>
      <c r="O23" s="1677"/>
      <c r="P23" s="1676"/>
      <c r="Q23" s="1676"/>
      <c r="R23" s="1676"/>
      <c r="S23" s="1676"/>
      <c r="T23" s="1676"/>
      <c r="U23" s="1676"/>
    </row>
    <row r="24" spans="1:21">
      <c r="A24" s="1732" t="s">
        <v>1965</v>
      </c>
      <c r="B24" s="3263" t="s">
        <v>1966</v>
      </c>
      <c r="C24" s="3264"/>
      <c r="D24" s="3265" t="s">
        <v>1967</v>
      </c>
      <c r="E24" s="3266"/>
      <c r="F24" s="1690" t="s">
        <v>1968</v>
      </c>
      <c r="G24" s="1676"/>
      <c r="H24" s="1676"/>
      <c r="I24" s="1689"/>
      <c r="J24" s="1676"/>
      <c r="K24" s="3251" t="s">
        <v>1969</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2323</v>
      </c>
      <c r="C25" s="1691" t="s">
        <v>2324</v>
      </c>
      <c r="D25" s="1692"/>
      <c r="E25" s="1693" t="s">
        <v>952</v>
      </c>
      <c r="F25" s="1694"/>
      <c r="G25" s="1676"/>
      <c r="H25" s="1676"/>
      <c r="I25" s="1689"/>
      <c r="J25" s="1676"/>
      <c r="K25" s="325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t="s">
        <v>952</v>
      </c>
      <c r="C26" s="1691" t="s">
        <v>952</v>
      </c>
      <c r="D26" s="1642"/>
      <c r="E26" s="1642"/>
      <c r="F26" s="1670"/>
      <c r="G26" s="1676"/>
      <c r="H26" s="1676"/>
      <c r="I26" s="1689"/>
      <c r="J26" s="1676"/>
      <c r="K26" s="325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78" t="s">
        <v>1999</v>
      </c>
      <c r="B31" s="1746" t="s">
        <v>2000</v>
      </c>
      <c r="C31" s="3276" t="s">
        <v>2998</v>
      </c>
      <c r="D31" s="3277"/>
      <c r="E31" s="1676"/>
      <c r="F31" s="1676"/>
      <c r="G31" s="1676"/>
      <c r="H31" s="1676"/>
      <c r="I31" s="1689"/>
      <c r="J31" s="1676"/>
      <c r="K31" s="2420"/>
      <c r="L31" s="1676"/>
      <c r="M31" s="1676"/>
      <c r="N31" s="1676"/>
      <c r="O31" s="1676"/>
      <c r="P31" s="1676"/>
      <c r="Q31" s="1676"/>
      <c r="R31" s="1676"/>
      <c r="S31" s="1676"/>
      <c r="T31" s="1676"/>
      <c r="U31" s="1676"/>
    </row>
    <row r="32" spans="1:21">
      <c r="A32" s="3278"/>
      <c r="B32" s="1643" t="s">
        <v>2001</v>
      </c>
      <c r="C32" s="1701" t="s">
        <v>3038</v>
      </c>
      <c r="D32" s="1702"/>
      <c r="E32" s="1676"/>
      <c r="F32" s="1676"/>
      <c r="G32" s="1676"/>
      <c r="H32" s="1676"/>
      <c r="I32" s="1689"/>
      <c r="J32" s="1676"/>
      <c r="K32" s="2420"/>
      <c r="L32" s="1676"/>
      <c r="M32" s="1676"/>
      <c r="N32" s="1676"/>
      <c r="O32" s="1676"/>
      <c r="P32" s="1676"/>
      <c r="Q32" s="1676"/>
      <c r="R32" s="1676"/>
      <c r="S32" s="1676"/>
      <c r="T32" s="1676"/>
      <c r="U32" s="1676"/>
    </row>
    <row r="33" spans="1:21">
      <c r="A33" s="3278"/>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9"/>
      <c r="B34" s="1643" t="s">
        <v>2003</v>
      </c>
      <c r="C34" s="3280"/>
      <c r="D34" s="3281"/>
      <c r="E34" s="1676"/>
      <c r="F34" s="1676"/>
      <c r="G34" s="1676"/>
      <c r="H34" s="1676"/>
      <c r="I34" s="1689"/>
      <c r="J34" s="1676"/>
      <c r="K34" s="2420"/>
      <c r="L34" s="1676"/>
      <c r="M34" s="1676"/>
      <c r="N34" s="1676"/>
      <c r="O34" s="1676"/>
      <c r="P34" s="1676"/>
      <c r="Q34" s="1676"/>
      <c r="R34" s="1676"/>
      <c r="S34" s="1676"/>
      <c r="T34" s="1676"/>
      <c r="U34" s="1676"/>
    </row>
    <row r="35" spans="1:21">
      <c r="A35" s="3282" t="s">
        <v>847</v>
      </c>
      <c r="B35" s="1704" t="s">
        <v>3039</v>
      </c>
      <c r="C35" s="1758" t="str">
        <f>IF(B35="场地平整","——","具体情况：")</f>
        <v>具体情况：</v>
      </c>
      <c r="D35" s="3284" t="s">
        <v>3040</v>
      </c>
      <c r="E35" s="3285"/>
      <c r="F35" s="3285"/>
      <c r="G35" s="3285"/>
      <c r="H35" s="3285"/>
      <c r="I35" s="3286"/>
      <c r="J35" s="1676"/>
      <c r="K35" s="1757"/>
      <c r="L35" s="1705"/>
      <c r="M35" s="1705"/>
      <c r="N35" s="1676"/>
      <c r="O35" s="1677"/>
      <c r="P35" s="1676"/>
      <c r="Q35" s="1676"/>
      <c r="R35" s="1676"/>
      <c r="S35" s="1676"/>
      <c r="T35" s="1676"/>
      <c r="U35" s="1676"/>
    </row>
    <row r="36" spans="1:21" ht="28.5">
      <c r="A36" s="3278"/>
      <c r="B36" s="3287" t="s">
        <v>2052</v>
      </c>
      <c r="C36" s="3288"/>
      <c r="D36" s="1774" t="s">
        <v>3041</v>
      </c>
      <c r="E36" s="3289"/>
      <c r="F36" s="3289"/>
      <c r="G36" s="1669" t="str">
        <f>IF(B35="场地未平整","估价结果处理","")</f>
        <v>估价结果处理</v>
      </c>
      <c r="H36" s="3290"/>
      <c r="I36" s="3290"/>
      <c r="J36" s="1676"/>
      <c r="K36" s="1757"/>
      <c r="L36" s="1705"/>
      <c r="M36" s="1705"/>
      <c r="N36" s="1676"/>
      <c r="O36" s="1677"/>
      <c r="P36" s="1676"/>
      <c r="Q36" s="1676"/>
      <c r="R36" s="1676"/>
      <c r="S36" s="1676"/>
      <c r="T36" s="1676"/>
      <c r="U36" s="1676"/>
    </row>
    <row r="37" spans="1:21" ht="28.5">
      <c r="A37" s="3278"/>
      <c r="B37" s="326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78"/>
      <c r="B38" s="3268"/>
      <c r="C38" s="1651"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79"/>
      <c r="B39" s="326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3042</v>
      </c>
      <c r="C40" s="1672" t="s">
        <v>3043</v>
      </c>
      <c r="D40" s="1672" t="s">
        <v>3044</v>
      </c>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0" t="s">
        <v>1983</v>
      </c>
      <c r="T40" s="1713" t="str">
        <f>NUMBERSTRING(7-K40,1)&amp;"通"</f>
        <v>七通</v>
      </c>
      <c r="U40" s="1676"/>
    </row>
    <row r="41" spans="1:21" ht="28.5">
      <c r="A41" s="1645"/>
      <c r="B41" s="3283" t="s">
        <v>1721</v>
      </c>
      <c r="C41" s="3283"/>
      <c r="D41" s="3283"/>
      <c r="E41" s="3283"/>
      <c r="F41" s="1714" t="str">
        <f>C10</f>
        <v>云南省玉溪市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50"/>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2887</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2"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37003</v>
      </c>
      <c r="B3" s="22">
        <f>IF(C3="否",G5-AT5,G5)</f>
        <v>37003</v>
      </c>
      <c r="C3" s="23" t="s">
        <v>952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37003</v>
      </c>
      <c r="H5" s="27">
        <f t="shared" ref="H5:AT5" si="0">SUM(H13:H641)</f>
        <v>37003</v>
      </c>
      <c r="I5" s="27">
        <f t="shared" si="0"/>
        <v>37003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37003</v>
      </c>
      <c r="BA5" s="29">
        <f t="shared" si="1"/>
        <v>37003</v>
      </c>
      <c r="BB5" s="29">
        <f t="shared" si="1"/>
        <v>37003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37003</v>
      </c>
      <c r="F6" s="27" t="s">
        <v>1</v>
      </c>
      <c r="G6" s="27" t="s">
        <v>2</v>
      </c>
      <c r="H6" s="33">
        <f>SUMIF(I$12:AB$12,"总值",I6:AB6)</f>
        <v>37003</v>
      </c>
      <c r="I6" s="27">
        <f t="shared" ref="I6:AB6" si="2">ROUND($A$3*I5/$B$3,2)</f>
        <v>37003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37003</v>
      </c>
      <c r="AZ6" s="27" t="s">
        <v>3</v>
      </c>
      <c r="BA6" s="27">
        <f>ROUND($AY$6*BA5/$AZ$5,2)</f>
        <v>37003</v>
      </c>
      <c r="BB6" s="27">
        <f>ROUND($AY$6*BB5/$AZ$5,2)</f>
        <v>37003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3225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1678</v>
      </c>
      <c r="E13" s="27">
        <f t="shared" ref="E13:E20" si="6">IF($C$3="是",ROUND($A$3*G13/$B$3,2),ROUND($A$3*(G13-AT13)/$B$3,2))</f>
        <v>37003</v>
      </c>
      <c r="F13" s="81"/>
      <c r="G13" s="82">
        <f t="shared" ref="G13:G20" si="7">H13+AC13+AT13</f>
        <v>37003</v>
      </c>
      <c r="H13" s="33">
        <f t="shared" ref="H13:H20" si="8">SUMIF(I$12:AB$12,"总值",I13:AB13)</f>
        <v>37003</v>
      </c>
      <c r="I13" s="3211">
        <f>地块汇总!K2</f>
        <v>37003</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37003</v>
      </c>
      <c r="AZ13" s="27">
        <f t="shared" ref="AZ13:AZ20" si="12">BA13+BL13</f>
        <v>37003</v>
      </c>
      <c r="BA13" s="27">
        <f t="shared" ref="BA13:BA20" si="13">SUM(BB13:BK13)</f>
        <v>37003</v>
      </c>
      <c r="BB13" s="27">
        <f t="shared" ref="BB13:BB20" si="14">IF($D13="是",I13-J13,0)</f>
        <v>37003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D1" workbookViewId="0">
      <selection activeCell="H10" sqref="H10"/>
    </sheetView>
  </sheetViews>
  <sheetFormatPr defaultRowHeight="14.25"/>
  <cols>
    <col min="1" max="1" width="6.625" style="3200" customWidth="1"/>
    <col min="2" max="2" width="22.25" style="3201" customWidth="1"/>
    <col min="3" max="3" width="13.625" style="3201" customWidth="1"/>
    <col min="4" max="4" width="17.375" style="3201" customWidth="1"/>
    <col min="5" max="5" width="19.75" style="3201" customWidth="1"/>
    <col min="6" max="6" width="10.25" style="3201" customWidth="1"/>
    <col min="7" max="7" width="9.125" style="3201" bestFit="1" customWidth="1"/>
    <col min="8" max="8" width="19.625" style="3201" customWidth="1"/>
    <col min="9" max="9" width="10.75" style="3201" bestFit="1" customWidth="1"/>
    <col min="10" max="10" width="9.125" style="3201" bestFit="1" customWidth="1"/>
    <col min="11" max="11" width="14.125" style="3201" customWidth="1"/>
    <col min="12" max="12" width="19.75" style="3201" customWidth="1"/>
    <col min="13" max="13" width="11" style="3201" customWidth="1"/>
  </cols>
  <sheetData>
    <row r="1" spans="1:13" s="3197" customFormat="1" ht="23.25" customHeight="1">
      <c r="A1" s="3198" t="s">
        <v>3248</v>
      </c>
      <c r="B1" s="3199" t="s">
        <v>3249</v>
      </c>
      <c r="C1" s="3199" t="s">
        <v>3250</v>
      </c>
      <c r="D1" s="3199" t="s">
        <v>3251</v>
      </c>
      <c r="E1" s="3199" t="s">
        <v>3254</v>
      </c>
      <c r="F1" s="3199" t="s">
        <v>3261</v>
      </c>
      <c r="G1" s="3199" t="s">
        <v>3256</v>
      </c>
      <c r="H1" s="3199" t="s">
        <v>3267</v>
      </c>
      <c r="I1" s="3199" t="s">
        <v>3268</v>
      </c>
      <c r="J1" s="3199" t="s">
        <v>3269</v>
      </c>
      <c r="K1" s="3199" t="s">
        <v>3270</v>
      </c>
      <c r="L1" s="3199" t="s">
        <v>3271</v>
      </c>
      <c r="M1" s="3199" t="s">
        <v>3272</v>
      </c>
    </row>
    <row r="2" spans="1:13" ht="36.75" customHeight="1">
      <c r="A2" s="3200">
        <v>1</v>
      </c>
      <c r="B2" s="3201" t="s">
        <v>3279</v>
      </c>
      <c r="C2" s="3201" t="s">
        <v>3252</v>
      </c>
      <c r="D2" s="3201" t="s">
        <v>3253</v>
      </c>
      <c r="E2" s="3201" t="s">
        <v>3255</v>
      </c>
      <c r="F2" s="3201" t="s">
        <v>3262</v>
      </c>
      <c r="G2" s="3201">
        <v>37003</v>
      </c>
      <c r="H2" s="3201" t="s">
        <v>3280</v>
      </c>
      <c r="I2" s="3201">
        <v>16300000</v>
      </c>
      <c r="J2" s="3201">
        <f>ROUND(I2/K2,0)</f>
        <v>441</v>
      </c>
      <c r="K2" s="3201">
        <v>37003</v>
      </c>
      <c r="L2" s="3201" t="s">
        <v>3281</v>
      </c>
      <c r="M2" s="3201" t="s">
        <v>3282</v>
      </c>
    </row>
    <row r="3" spans="1:13" ht="36.75" customHeight="1">
      <c r="A3" s="3200">
        <v>2</v>
      </c>
      <c r="B3" s="3201" t="s">
        <v>3257</v>
      </c>
      <c r="C3" s="3201" t="s">
        <v>3252</v>
      </c>
      <c r="D3" s="3201" t="s">
        <v>3253</v>
      </c>
      <c r="E3" s="3201" t="s">
        <v>3258</v>
      </c>
      <c r="F3" s="3201" t="s">
        <v>3262</v>
      </c>
      <c r="G3" s="3201">
        <v>45684</v>
      </c>
      <c r="H3" s="3201" t="s">
        <v>3273</v>
      </c>
      <c r="I3" s="3201">
        <v>20200000</v>
      </c>
      <c r="J3" s="3201">
        <f t="shared" ref="J3:J5" si="0">ROUND(I3/K3,0)</f>
        <v>442</v>
      </c>
      <c r="K3" s="3201">
        <v>45684</v>
      </c>
      <c r="L3" s="3201" t="s">
        <v>3281</v>
      </c>
      <c r="M3" s="3201" t="s">
        <v>3282</v>
      </c>
    </row>
    <row r="4" spans="1:13" ht="36.75" customHeight="1">
      <c r="A4" s="3200">
        <v>3</v>
      </c>
      <c r="B4" s="3201" t="s">
        <v>3264</v>
      </c>
      <c r="C4" s="3201" t="s">
        <v>3252</v>
      </c>
      <c r="D4" s="3201" t="s">
        <v>3253</v>
      </c>
      <c r="E4" s="3201" t="s">
        <v>3265</v>
      </c>
      <c r="F4" s="3201" t="s">
        <v>3266</v>
      </c>
      <c r="G4" s="3201">
        <v>74692</v>
      </c>
      <c r="H4" s="3201" t="s">
        <v>3274</v>
      </c>
      <c r="I4" s="3201">
        <v>63000000</v>
      </c>
      <c r="J4" s="3201">
        <f t="shared" si="0"/>
        <v>843</v>
      </c>
      <c r="K4" s="3201">
        <v>74692</v>
      </c>
      <c r="L4" s="3201" t="s">
        <v>3275</v>
      </c>
      <c r="M4" s="3201" t="s">
        <v>3276</v>
      </c>
    </row>
    <row r="5" spans="1:13" ht="36.75" customHeight="1">
      <c r="A5" s="3200">
        <v>4</v>
      </c>
      <c r="B5" s="3201" t="s">
        <v>3259</v>
      </c>
      <c r="C5" s="3201" t="s">
        <v>3252</v>
      </c>
      <c r="D5" s="3201" t="s">
        <v>3253</v>
      </c>
      <c r="E5" s="3201" t="s">
        <v>3260</v>
      </c>
      <c r="F5" s="3201" t="s">
        <v>3263</v>
      </c>
      <c r="G5" s="3201">
        <v>60313</v>
      </c>
      <c r="H5" s="3201" t="s">
        <v>3277</v>
      </c>
      <c r="I5" s="3201">
        <v>51000000</v>
      </c>
      <c r="J5" s="3201">
        <f t="shared" si="0"/>
        <v>604</v>
      </c>
      <c r="K5" s="3201">
        <v>84438</v>
      </c>
      <c r="L5" s="3201" t="s">
        <v>3278</v>
      </c>
      <c r="M5" s="3201" t="s">
        <v>3276</v>
      </c>
    </row>
    <row r="10" spans="1:13">
      <c r="F10" s="3201">
        <f>ROUND(G2/666.67,0)</f>
        <v>56</v>
      </c>
      <c r="G10" s="3201">
        <v>40</v>
      </c>
      <c r="H10" s="3201">
        <f>F10*G10</f>
        <v>2240</v>
      </c>
    </row>
    <row r="11" spans="1:13">
      <c r="F11" s="3201">
        <f>ROUND(G3/666.67,0)</f>
        <v>69</v>
      </c>
      <c r="G11" s="3201">
        <v>40</v>
      </c>
      <c r="H11" s="3201">
        <f>F11*G11</f>
        <v>2760</v>
      </c>
    </row>
    <row r="12" spans="1:13">
      <c r="F12" s="3201">
        <f t="shared" ref="F12:F13" si="1">ROUND(G4/666.67,0)</f>
        <v>112</v>
      </c>
      <c r="G12" s="3201">
        <v>30</v>
      </c>
      <c r="H12" s="3201">
        <f t="shared" ref="H12:H13" si="2">F12*G12</f>
        <v>3360</v>
      </c>
    </row>
    <row r="13" spans="1:13">
      <c r="F13" s="3201">
        <f t="shared" si="1"/>
        <v>90</v>
      </c>
      <c r="G13" s="3201">
        <v>30</v>
      </c>
      <c r="H13" s="3201">
        <f t="shared" si="2"/>
        <v>2700</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36" sqref="F36"/>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02" t="s">
        <v>203</v>
      </c>
      <c r="B2" s="3302"/>
      <c r="C2" s="3302"/>
      <c r="D2" s="1958" t="s">
        <v>204</v>
      </c>
      <c r="E2" s="106" t="s">
        <v>205</v>
      </c>
      <c r="F2" s="1967"/>
      <c r="G2" s="1192"/>
      <c r="H2" s="1193"/>
      <c r="I2" s="1194" t="s">
        <v>857</v>
      </c>
      <c r="J2" s="1967"/>
      <c r="K2" s="1967"/>
      <c r="L2" s="1967"/>
    </row>
    <row r="3" spans="1:16" ht="15.75" thickBot="1">
      <c r="A3" s="3303" t="s">
        <v>206</v>
      </c>
      <c r="B3" s="3303"/>
      <c r="C3" s="3303"/>
      <c r="D3" s="107">
        <f>'数据-基础表'!AY6</f>
        <v>37003</v>
      </c>
      <c r="E3" s="107">
        <f>'数据-基础表'!AZ5</f>
        <v>37003</v>
      </c>
      <c r="F3" s="1967"/>
      <c r="G3" s="278" t="s">
        <v>858</v>
      </c>
      <c r="H3" s="273" t="s">
        <v>859</v>
      </c>
      <c r="I3" s="1959">
        <f>ROUND('数据-基础表'!B3/'数据-基础表'!A3,2)</f>
        <v>1</v>
      </c>
      <c r="J3" s="1967"/>
      <c r="K3" s="1967"/>
      <c r="L3" s="1967"/>
    </row>
    <row r="4" spans="1:16" ht="15">
      <c r="A4" s="3304"/>
      <c r="B4" s="3305"/>
      <c r="C4" s="3306"/>
      <c r="D4" s="108" t="s">
        <v>204</v>
      </c>
      <c r="E4" s="109" t="s">
        <v>205</v>
      </c>
      <c r="F4" s="1967"/>
      <c r="G4" s="1195"/>
      <c r="H4" s="273" t="s">
        <v>860</v>
      </c>
      <c r="I4" s="1959">
        <f>ROUND(SUMIF('数据-基础表'!I9:AS9,"地上",'数据-基础表'!I5:AS5)/'数据-基础表'!A3,2)</f>
        <v>1</v>
      </c>
      <c r="J4" s="1967"/>
      <c r="K4" s="1967"/>
      <c r="L4" s="1967"/>
    </row>
    <row r="5" spans="1:16">
      <c r="A5" s="110" t="s">
        <v>207</v>
      </c>
      <c r="B5" s="3307" t="s">
        <v>230</v>
      </c>
      <c r="C5" s="3307"/>
      <c r="D5" s="111">
        <f>ROUND($D$3*E5/$E$3,2)</f>
        <v>37003</v>
      </c>
      <c r="E5" s="112">
        <f>SUMIF('数据-基础表'!$11:$11,"住宅",'数据-基础表'!$5:$5)</f>
        <v>37003</v>
      </c>
      <c r="F5" s="1967"/>
      <c r="G5" s="278" t="s">
        <v>861</v>
      </c>
      <c r="H5" s="273" t="s">
        <v>859</v>
      </c>
      <c r="I5" s="1959">
        <f>ROUND(E31/D31,2)</f>
        <v>1</v>
      </c>
      <c r="J5" s="1967"/>
      <c r="K5" s="1967"/>
      <c r="L5" s="1967"/>
    </row>
    <row r="6" spans="1:16" ht="15" thickBot="1">
      <c r="A6" s="113"/>
      <c r="B6" s="3307" t="s">
        <v>208</v>
      </c>
      <c r="C6" s="3307"/>
      <c r="D6" s="111">
        <f>ROUND($D$3*E6/$E$3,2)</f>
        <v>0</v>
      </c>
      <c r="E6" s="112">
        <f>E3-E5</f>
        <v>0</v>
      </c>
      <c r="F6" s="1967"/>
      <c r="G6" s="1195"/>
      <c r="H6" s="273" t="s">
        <v>860</v>
      </c>
      <c r="I6" s="1959">
        <f>ROUND(F31/D31,2)</f>
        <v>1</v>
      </c>
      <c r="J6" s="1967"/>
      <c r="K6" s="1967"/>
      <c r="L6" s="1967"/>
    </row>
    <row r="7" spans="1:16" ht="15">
      <c r="A7" s="3299"/>
      <c r="B7" s="3300"/>
      <c r="C7" s="3301"/>
      <c r="D7" s="108" t="s">
        <v>204</v>
      </c>
      <c r="E7" s="114" t="s">
        <v>231</v>
      </c>
      <c r="F7" s="1967"/>
      <c r="G7" s="1150" t="s">
        <v>1645</v>
      </c>
      <c r="H7" s="1151"/>
      <c r="I7" s="1829"/>
      <c r="J7" s="1967"/>
      <c r="K7" s="1967"/>
      <c r="L7" s="1967"/>
    </row>
    <row r="8" spans="1:16">
      <c r="A8" s="110" t="s">
        <v>209</v>
      </c>
      <c r="B8" s="115" t="s">
        <v>210</v>
      </c>
      <c r="C8" s="111" t="s">
        <v>211</v>
      </c>
      <c r="D8" s="111">
        <f t="shared" ref="D8:D15" si="0">ROUND($D$3*E8/$E$3,2)</f>
        <v>37003</v>
      </c>
      <c r="E8" s="116">
        <f>SUMIF('数据-基础表'!BB10:BK10,"地上",'数据-基础表'!BB5:BK5)</f>
        <v>37003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37003</v>
      </c>
      <c r="E16" s="120">
        <f>SUM(E8:E15)</f>
        <v>37003</v>
      </c>
      <c r="F16" s="1967"/>
      <c r="G16" s="1969"/>
      <c r="H16" s="966" t="s">
        <v>219</v>
      </c>
      <c r="I16" s="967"/>
      <c r="J16" s="1967"/>
      <c r="K16" s="3293" t="s">
        <v>2564</v>
      </c>
      <c r="L16" s="3294"/>
      <c r="M16" s="3294"/>
      <c r="N16" s="3294"/>
      <c r="O16" s="3294"/>
      <c r="P16" s="3295"/>
    </row>
    <row r="17" spans="1:19" ht="15">
      <c r="A17" s="121" t="s">
        <v>216</v>
      </c>
      <c r="B17" s="122" t="s">
        <v>217</v>
      </c>
      <c r="C17" s="2281" t="s">
        <v>2311</v>
      </c>
      <c r="D17" s="108" t="s">
        <v>204</v>
      </c>
      <c r="E17" s="124" t="s">
        <v>205</v>
      </c>
      <c r="F17" s="125"/>
      <c r="G17" s="1360"/>
      <c r="H17" s="968" t="s">
        <v>218</v>
      </c>
      <c r="I17" s="969" t="s">
        <v>2310</v>
      </c>
      <c r="J17" s="1967"/>
      <c r="K17" s="3296" t="s">
        <v>2565</v>
      </c>
      <c r="L17" s="3297"/>
      <c r="M17" s="3298"/>
      <c r="N17" s="3296" t="s">
        <v>2566</v>
      </c>
      <c r="O17" s="3297"/>
      <c r="P17" s="3298"/>
      <c r="R17" s="2282" t="s">
        <v>2309</v>
      </c>
      <c r="S17" s="144"/>
    </row>
    <row r="18" spans="1:19" ht="15">
      <c r="A18" s="117"/>
      <c r="B18" s="128"/>
      <c r="C18" s="129"/>
      <c r="D18" s="2604"/>
      <c r="E18" s="130" t="s">
        <v>220</v>
      </c>
      <c r="F18" s="131" t="s">
        <v>221</v>
      </c>
      <c r="G18" s="1361" t="s">
        <v>222</v>
      </c>
      <c r="H18" s="970" t="s">
        <v>223</v>
      </c>
      <c r="I18" s="971"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5" t="s">
        <v>3226</v>
      </c>
      <c r="D19" s="111">
        <f t="shared" ref="D19:D26" si="1">ROUND($D$3*E19/$E$3,2)</f>
        <v>37003</v>
      </c>
      <c r="E19" s="134">
        <f t="shared" ref="E19:E26" si="2">SUM(F19:G19)</f>
        <v>37003</v>
      </c>
      <c r="F19" s="135">
        <f>'数据-基础表'!I13</f>
        <v>37003</v>
      </c>
      <c r="G19" s="1362"/>
      <c r="H19" s="972">
        <f>ROUND($D$3*I19/$E$3,2)</f>
        <v>0</v>
      </c>
      <c r="I19" s="116">
        <f>IF($I$17="自定义",P19,M19)</f>
        <v>0</v>
      </c>
      <c r="J19" s="1967"/>
      <c r="K19" s="2570">
        <f t="shared" ref="K19:K26" si="3">ROUND(E$28*E19/E$27,2)</f>
        <v>0</v>
      </c>
      <c r="L19" s="273">
        <f t="shared" ref="L19:L26" si="4">ROUND(IF(COUNTIF(C19,"*住宅*")&gt;0,E$29*E19/E$32,0),2)</f>
        <v>0</v>
      </c>
      <c r="M19" s="2571">
        <f>K19+L19</f>
        <v>0</v>
      </c>
      <c r="N19" s="2572"/>
      <c r="O19" s="2573"/>
      <c r="P19" s="2574">
        <f>N19+O19</f>
        <v>0</v>
      </c>
      <c r="R19" s="273">
        <f t="shared" ref="R19:S26" si="5">D19+H19</f>
        <v>37003</v>
      </c>
      <c r="S19" s="2284">
        <f t="shared" si="5"/>
        <v>37003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37003</v>
      </c>
      <c r="E27" s="143">
        <f>IF(SUM(E19:E26)='数据-基础表'!BA5,SUM(E19:E26),IF(F27="地上面积有误","面积有误","地下面积有误"))</f>
        <v>37003</v>
      </c>
      <c r="F27" s="134">
        <f>IF(SUM(F19:F26)=E8,SUM(F19:F26),"地上面积有误")</f>
        <v>37003</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37003</v>
      </c>
      <c r="S27" s="273">
        <f>IF(SUM(S19:S26)=$E$3,SUM(S19:S26),SUM(S19:S26)&amp;"误差"&amp;ROUND(SUM(S19:S26)-E3,2))</f>
        <v>37003</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37003</v>
      </c>
      <c r="E31" s="1366">
        <f>E27+E30</f>
        <v>37003</v>
      </c>
      <c r="F31" s="1367">
        <f>F27+F30</f>
        <v>37003</v>
      </c>
      <c r="G31" s="1368">
        <f>G27+G30</f>
        <v>0</v>
      </c>
      <c r="H31" s="1967"/>
      <c r="I31" s="1967"/>
      <c r="J31" s="1967"/>
      <c r="K31" s="1967"/>
      <c r="L31" s="1967"/>
    </row>
    <row r="32" spans="1:19">
      <c r="A32" s="1967"/>
      <c r="B32" s="2325" t="s">
        <v>2319</v>
      </c>
      <c r="C32" s="2609"/>
      <c r="D32" s="1195"/>
      <c r="E32" s="1195">
        <f>SUMIF(C19:C26,"*住宅*",E19:E26)</f>
        <v>37003</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D6" activePane="bottomRight" state="frozen"/>
      <selection pane="topRight" activeCell="D1" sqref="D1"/>
      <selection pane="bottomLeft" activeCell="A4" sqref="A4"/>
      <selection pane="bottomRight" activeCell="F28" sqref="F28"/>
    </sheetView>
  </sheetViews>
  <sheetFormatPr defaultColWidth="13.8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8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875" style="1197" customWidth="1"/>
    <col min="25" max="25" width="8.125" style="1197" customWidth="1"/>
    <col min="26" max="30" width="6.875" style="1197" customWidth="1"/>
    <col min="31" max="31" width="6.5" style="1197" customWidth="1"/>
    <col min="32" max="34" width="7.125" style="1197" customWidth="1"/>
    <col min="35" max="39" width="8" style="1197" customWidth="1"/>
    <col min="40" max="41" width="13.875" style="1981"/>
    <col min="42" max="42" width="0" style="1981" hidden="1" customWidth="1"/>
    <col min="43" max="83" width="13.875" style="1981"/>
    <col min="84" max="16384" width="13.8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43571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68472</v>
      </c>
      <c r="F6" s="174">
        <f>SUMIF(项目基本情况!D$15:I$15,C6,项目基本情况!D$19:I$19)</f>
        <v>68.22</v>
      </c>
      <c r="G6" s="175">
        <f>IF(ISERROR(ROUND(POWER(1+H6,D6-F6)*(POWER(1+H6,F6)-1)/(POWER(1+H6,D6)-1),3)),0,ROUND(POWER(1+H6,D6-F6)*(POWER(1+H6,F6)-1)/(POWER(1+H6,D6)-1),3))</f>
        <v>0.996</v>
      </c>
      <c r="H6" s="2976">
        <v>4.4999999999999998E-2</v>
      </c>
      <c r="I6" s="2976">
        <v>5.5E-2</v>
      </c>
      <c r="J6" s="176">
        <v>8.5000000000000006E-2</v>
      </c>
      <c r="K6" s="179">
        <f>SUMIF('数据-汇总表'!C$19:C$33,'数据-取费表'!A6,'数据-汇总表'!E$19:E$33)</f>
        <v>37003</v>
      </c>
      <c r="L6" s="3217">
        <v>4250</v>
      </c>
      <c r="M6" s="177">
        <f t="shared" ref="M6:M14" si="0">ROUND(K6*L6/10000,0)</f>
        <v>15726</v>
      </c>
      <c r="N6" s="2978">
        <v>0</v>
      </c>
      <c r="O6" s="177">
        <f>IF($N$5="成新度","——",ROUND(M6*N6,0))</f>
        <v>0</v>
      </c>
      <c r="P6" s="178">
        <f>IF($N$5="成新度","——",M6-O6)</f>
        <v>15726</v>
      </c>
      <c r="Q6" s="3216">
        <v>0.3</v>
      </c>
      <c r="R6" s="179">
        <f>SUMIF('数据-汇总表'!C$19:C$33,A6,'数据-汇总表'!R$19:R$33)</f>
        <v>37003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37003</v>
      </c>
      <c r="L16" s="206">
        <f>ROUND(M16*10000/SUM(K6:K14),0)</f>
        <v>4250</v>
      </c>
      <c r="M16" s="206">
        <f>SUM(M6:M14)</f>
        <v>15726</v>
      </c>
      <c r="N16" s="207">
        <f>ROUND(SUMPRODUCT(M6:M14,N6:N14)/M16,3)</f>
        <v>0</v>
      </c>
      <c r="O16" s="206">
        <f>SUM(O6:O14)</f>
        <v>0</v>
      </c>
      <c r="P16" s="206">
        <f>SUM(P6:P14)</f>
        <v>15726</v>
      </c>
      <c r="Q16" s="208">
        <f>ROUND(SUMPRODUCT(Q6:Q13,K6:K13)/SUMPRODUCT((Q6:Q13&gt;0)*(K6:K13)),2)</f>
        <v>0.3</v>
      </c>
      <c r="R16" s="2294">
        <f>SUM(R6:R13)</f>
        <v>37003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v>0.3</v>
      </c>
      <c r="K19" s="1974">
        <f>K16*J19</f>
        <v>11100.9</v>
      </c>
      <c r="L19" s="1974">
        <v>2500</v>
      </c>
      <c r="M19" s="1972">
        <f>L19*K19</f>
        <v>27752250</v>
      </c>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14">
        <v>2.5</v>
      </c>
      <c r="C20" s="2326" t="s">
        <v>2333</v>
      </c>
      <c r="D20" s="1976"/>
      <c r="E20" s="1975"/>
      <c r="F20" s="1975"/>
      <c r="G20" s="1975"/>
      <c r="H20" s="1975"/>
      <c r="I20" s="1975"/>
      <c r="J20" s="1975"/>
      <c r="K20" s="3221">
        <f>K16</f>
        <v>37003</v>
      </c>
      <c r="L20" s="1974">
        <v>3500</v>
      </c>
      <c r="M20" s="1972">
        <f>L20*K20</f>
        <v>129510500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f>(M19+M20)/K16</f>
        <v>4250</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2336</v>
      </c>
      <c r="B27" s="227">
        <v>120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2337</v>
      </c>
      <c r="B28" s="229">
        <v>160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0.05</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0.16500000000000001</v>
      </c>
      <c r="C36" s="2327" t="s">
        <v>2891</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218">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3215">
        <v>0.03</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v>0</v>
      </c>
      <c r="C47" s="3024"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3208">
        <v>0.03</v>
      </c>
      <c r="C48" s="3025"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1096</v>
      </c>
      <c r="C53" s="3026" t="s">
        <v>2899</v>
      </c>
      <c r="D53" s="3027" t="s">
        <v>2900</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2901</v>
      </c>
      <c r="B54" s="186">
        <v>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2902</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2903</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2904</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2905</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2906</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2907</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2908</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2909</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2910</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08" t="s">
        <v>1663</v>
      </c>
      <c r="B1" s="3309"/>
      <c r="C1" s="3309"/>
      <c r="D1" s="3309"/>
      <c r="E1" s="3309"/>
      <c r="F1" s="3309"/>
      <c r="G1" s="3309"/>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2917</v>
      </c>
      <c r="D3" s="1992"/>
      <c r="E3" s="1223" t="s">
        <v>1666</v>
      </c>
      <c r="F3" s="1224" t="s">
        <v>1654</v>
      </c>
      <c r="G3" s="3035" t="s">
        <v>2916</v>
      </c>
      <c r="H3" s="1991"/>
      <c r="I3" s="1991"/>
      <c r="J3" s="1991"/>
      <c r="K3" s="1991"/>
      <c r="L3" s="1991"/>
      <c r="M3" s="1991"/>
      <c r="N3" s="1991"/>
      <c r="O3" s="1991"/>
      <c r="P3" s="1991"/>
      <c r="Q3" s="1991"/>
      <c r="R3" s="1991"/>
    </row>
    <row r="4" spans="1:18" ht="41.25">
      <c r="A4" s="1223"/>
      <c r="B4" s="1225" t="s">
        <v>1667</v>
      </c>
      <c r="C4" s="3032" t="s">
        <v>2918</v>
      </c>
      <c r="D4" s="1992"/>
      <c r="E4" s="1226"/>
      <c r="F4" s="1227" t="s">
        <v>1668</v>
      </c>
      <c r="G4" s="3033" t="s">
        <v>2913</v>
      </c>
      <c r="H4" s="1991"/>
      <c r="I4" s="1991"/>
      <c r="J4" s="1991"/>
      <c r="K4" s="1991"/>
      <c r="L4" s="1991"/>
      <c r="M4" s="1991"/>
      <c r="N4" s="1991"/>
      <c r="O4" s="1991"/>
      <c r="P4" s="1991"/>
      <c r="Q4" s="1991"/>
      <c r="R4" s="1991"/>
    </row>
    <row r="5" spans="1:18" ht="41.25">
      <c r="A5" s="1223"/>
      <c r="B5" s="1225" t="s">
        <v>1669</v>
      </c>
      <c r="C5" s="3032" t="s">
        <v>2919</v>
      </c>
      <c r="D5" s="1992"/>
      <c r="E5" s="1226"/>
      <c r="F5" s="1225" t="s">
        <v>2544</v>
      </c>
      <c r="G5" s="3033" t="s">
        <v>2914</v>
      </c>
      <c r="H5" s="1991"/>
      <c r="I5" s="1991"/>
      <c r="J5" s="1991"/>
      <c r="K5" s="1991"/>
      <c r="L5" s="1991"/>
      <c r="M5" s="1991"/>
      <c r="N5" s="1991"/>
      <c r="O5" s="1991"/>
      <c r="P5" s="1991"/>
      <c r="Q5" s="1991"/>
      <c r="R5" s="1991"/>
    </row>
    <row r="6" spans="1:18" ht="54">
      <c r="A6" s="1223"/>
      <c r="B6" s="1225" t="s">
        <v>1655</v>
      </c>
      <c r="C6" s="3033" t="s">
        <v>2913</v>
      </c>
      <c r="D6" s="1992"/>
      <c r="E6" s="1226"/>
      <c r="F6" s="1225" t="s">
        <v>2545</v>
      </c>
      <c r="G6" s="3033" t="s">
        <v>2911</v>
      </c>
      <c r="H6" s="1991"/>
      <c r="I6" s="1991"/>
      <c r="J6" s="1991"/>
      <c r="K6" s="1991"/>
      <c r="L6" s="1991"/>
      <c r="M6" s="1991"/>
      <c r="N6" s="1991"/>
      <c r="O6" s="1991"/>
      <c r="P6" s="1991"/>
      <c r="Q6" s="1991"/>
      <c r="R6" s="1991"/>
    </row>
    <row r="7" spans="1:18" ht="41.25" thickBot="1">
      <c r="A7" s="1223"/>
      <c r="B7" s="1225" t="s">
        <v>2544</v>
      </c>
      <c r="C7" s="3033" t="s">
        <v>2914</v>
      </c>
      <c r="D7" s="1993"/>
      <c r="E7" s="1228"/>
      <c r="F7" s="1229" t="s">
        <v>1670</v>
      </c>
      <c r="G7" s="3036" t="s">
        <v>2915</v>
      </c>
      <c r="H7" s="1991"/>
      <c r="I7" s="1991"/>
      <c r="J7" s="1991"/>
      <c r="K7" s="1991"/>
      <c r="L7" s="1991"/>
      <c r="M7" s="1991"/>
      <c r="N7" s="1991"/>
      <c r="O7" s="1991"/>
      <c r="P7" s="1991"/>
      <c r="Q7" s="1991"/>
      <c r="R7" s="1991"/>
    </row>
    <row r="8" spans="1:18" ht="27">
      <c r="A8" s="1223"/>
      <c r="B8" s="1225" t="s">
        <v>2545</v>
      </c>
      <c r="C8" s="3033" t="s">
        <v>2911</v>
      </c>
      <c r="D8" s="1993"/>
      <c r="E8" s="1993"/>
      <c r="F8" s="1538"/>
      <c r="G8" s="1538"/>
      <c r="H8" s="1991"/>
      <c r="I8" s="1991"/>
      <c r="J8" s="1991"/>
      <c r="K8" s="1991"/>
      <c r="L8" s="1991"/>
      <c r="M8" s="1991"/>
      <c r="N8" s="1991"/>
      <c r="O8" s="1991"/>
      <c r="P8" s="1991"/>
      <c r="Q8" s="1991"/>
      <c r="R8" s="1991"/>
    </row>
    <row r="9" spans="1:18" ht="40.5">
      <c r="A9" s="1223"/>
      <c r="B9" s="1225" t="s">
        <v>1656</v>
      </c>
      <c r="C9" s="3032" t="s">
        <v>2912</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2544</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2545</v>
      </c>
      <c r="G20" s="1003" t="str">
        <f>G6</f>
        <v>估价对象所在区域基础设施水平</v>
      </c>
    </row>
    <row r="21" spans="1:7" ht="27">
      <c r="A21" s="2551"/>
      <c r="B21" s="1225" t="s">
        <v>2544</v>
      </c>
      <c r="C21" s="1003" t="str">
        <f>C7</f>
        <v>估价对象所在区域公共配套设施齐备情况</v>
      </c>
      <c r="D21" s="1992"/>
      <c r="E21" s="2548"/>
      <c r="F21" s="1241" t="s">
        <v>1661</v>
      </c>
      <c r="G21" s="3037"/>
    </row>
    <row r="22" spans="1:7" ht="27">
      <c r="A22" s="2551"/>
      <c r="B22" s="1225" t="s">
        <v>2545</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G27" sqref="G27"/>
    </sheetView>
  </sheetViews>
  <sheetFormatPr defaultColWidth="14.625" defaultRowHeight="13.5"/>
  <cols>
    <col min="1" max="1" width="24.375" customWidth="1"/>
  </cols>
  <sheetData>
    <row r="1" spans="1:9" ht="16.5">
      <c r="A1" s="2995" t="s">
        <v>2841</v>
      </c>
      <c r="B1" s="2995">
        <f>SUM(B14:B23)</f>
        <v>241817</v>
      </c>
      <c r="C1" s="2996"/>
      <c r="D1" s="2996"/>
      <c r="E1" s="2996"/>
      <c r="F1" s="2996"/>
    </row>
    <row r="2" spans="1:9" ht="16.5">
      <c r="A2" s="2995" t="s">
        <v>2842</v>
      </c>
      <c r="B2" s="2995">
        <f>SUM(C14:C23)</f>
        <v>217692</v>
      </c>
      <c r="C2" s="2996"/>
      <c r="D2" s="2996"/>
      <c r="E2" s="2996"/>
      <c r="F2" s="2996"/>
    </row>
    <row r="3" spans="1:9" ht="16.5">
      <c r="A3" s="2995" t="s">
        <v>2843</v>
      </c>
      <c r="B3" s="2997">
        <f>项目基本情况!D3</f>
        <v>43571</v>
      </c>
      <c r="C3" s="2996"/>
      <c r="D3" s="2996"/>
      <c r="E3" s="2996"/>
      <c r="F3" s="2996"/>
    </row>
    <row r="4" spans="1:9" ht="33">
      <c r="A4" s="2995" t="s">
        <v>2844</v>
      </c>
      <c r="B4" s="2995" t="s">
        <v>2845</v>
      </c>
      <c r="C4" s="2995" t="s">
        <v>2846</v>
      </c>
      <c r="D4" s="2995" t="s">
        <v>2847</v>
      </c>
      <c r="E4" s="2996"/>
      <c r="F4" s="2996"/>
    </row>
    <row r="5" spans="1:9" ht="16.5">
      <c r="A5" s="2995" t="s">
        <v>2848</v>
      </c>
      <c r="B5" s="2995">
        <f ca="1">SUM(D14:D23)</f>
        <v>43533</v>
      </c>
      <c r="C5" s="2995">
        <f ca="1">ROUND(B5*10000/$B$1,0)</f>
        <v>1800</v>
      </c>
      <c r="D5" s="2995">
        <f ca="1">ROUND(B5*10000/$B$2,0)</f>
        <v>2000</v>
      </c>
      <c r="E5" s="2996"/>
      <c r="F5" s="2996"/>
    </row>
    <row r="6" spans="1:9" ht="16.5">
      <c r="A6" s="2995" t="s">
        <v>2849</v>
      </c>
      <c r="B6" s="2995">
        <f ca="1">SUM(G14:G23)</f>
        <v>43533</v>
      </c>
      <c r="C6" s="2995">
        <f t="shared" ref="C6:C8" ca="1" si="0">ROUND(B6*10000/$B$1,0)</f>
        <v>1800</v>
      </c>
      <c r="D6" s="2995">
        <f t="shared" ref="D6:D8" ca="1" si="1">ROUND(B6*10000/$B$2,0)</f>
        <v>2000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37003</v>
      </c>
      <c r="C14" s="2999">
        <f>结果表!K38</f>
        <v>37003</v>
      </c>
      <c r="D14" s="2999">
        <f ca="1">结果表!C42</f>
        <v>6532</v>
      </c>
      <c r="E14" s="2999">
        <f ca="1">ROUND(D14*10000/B14,0)</f>
        <v>1765</v>
      </c>
      <c r="F14" s="2999">
        <f ca="1">ROUND(D14*10000/C14,0)</f>
        <v>1765</v>
      </c>
      <c r="G14" s="2999">
        <f ca="1">结果表!C44</f>
        <v>6532</v>
      </c>
      <c r="H14" s="2999" t="str">
        <f>结果表!C45</f>
        <v>——</v>
      </c>
      <c r="I14" s="2999" t="str">
        <f>结果表!C46</f>
        <v>——</v>
      </c>
    </row>
    <row r="15" spans="1:9" ht="16.5">
      <c r="A15" s="3002" t="s">
        <v>2858</v>
      </c>
      <c r="B15" s="3003">
        <f>典型户型修正!B25</f>
        <v>45684</v>
      </c>
      <c r="C15" s="3003">
        <f>地块汇总!G3</f>
        <v>45684</v>
      </c>
      <c r="D15" s="3003">
        <f ca="1">典型户型修正!S25</f>
        <v>8063</v>
      </c>
      <c r="E15" s="2999">
        <f t="shared" ref="E15:E23" ca="1" si="2">ROUND(D15*10000/B15,0)</f>
        <v>1765</v>
      </c>
      <c r="F15" s="2999">
        <f t="shared" ref="F15:F23" ca="1" si="3">ROUND(D15*10000/C15,0)</f>
        <v>1765</v>
      </c>
      <c r="G15" s="3000">
        <f ca="1">D15</f>
        <v>8063</v>
      </c>
      <c r="H15" s="3000"/>
      <c r="I15" s="3003"/>
    </row>
    <row r="16" spans="1:9" ht="16.5">
      <c r="A16" s="3002" t="s">
        <v>2859</v>
      </c>
      <c r="B16" s="3003">
        <f>[1]系统读取表!$B$14</f>
        <v>84438</v>
      </c>
      <c r="C16" s="3003">
        <f>[1]系统读取表!$C$14</f>
        <v>60313</v>
      </c>
      <c r="D16" s="3003">
        <f ca="1">[1]系统读取表!$D$14</f>
        <v>14283</v>
      </c>
      <c r="E16" s="2999">
        <f t="shared" ca="1" si="2"/>
        <v>1692</v>
      </c>
      <c r="F16" s="2999">
        <f t="shared" ca="1" si="3"/>
        <v>2368</v>
      </c>
      <c r="G16" s="3000">
        <f ca="1">D16</f>
        <v>14283</v>
      </c>
      <c r="H16" s="3000"/>
      <c r="I16" s="3003"/>
    </row>
    <row r="17" spans="1:9" ht="16.5">
      <c r="A17" s="3002" t="s">
        <v>2860</v>
      </c>
      <c r="B17" s="3003">
        <f>[1]典型户型修正!$B$25</f>
        <v>74692</v>
      </c>
      <c r="C17" s="3003">
        <f>地块汇总!G4</f>
        <v>74692</v>
      </c>
      <c r="D17" s="3003">
        <f ca="1">[1]典型户型修正!$S$25</f>
        <v>14655</v>
      </c>
      <c r="E17" s="2999">
        <f t="shared" ca="1" si="2"/>
        <v>1962</v>
      </c>
      <c r="F17" s="2999">
        <f t="shared" ca="1" si="3"/>
        <v>1962</v>
      </c>
      <c r="G17" s="3000">
        <f ca="1">D17</f>
        <v>14655</v>
      </c>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S35" sqref="S35"/>
    </sheetView>
  </sheetViews>
  <sheetFormatPr defaultColWidth="9" defaultRowHeight="12.75"/>
  <cols>
    <col min="1" max="1" width="11.5" style="1244" customWidth="1"/>
    <col min="2" max="2" width="9.125" style="1212" customWidth="1"/>
    <col min="3" max="3" width="11.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313" t="s">
        <v>2302</v>
      </c>
      <c r="D1" s="3314"/>
      <c r="E1" s="3314"/>
      <c r="F1" s="3314"/>
      <c r="G1" s="3314"/>
      <c r="H1" s="3314"/>
      <c r="I1" s="3314"/>
      <c r="J1" s="3314"/>
      <c r="K1" s="3314"/>
      <c r="L1" s="3314"/>
      <c r="M1" s="3314"/>
      <c r="N1" s="3314"/>
      <c r="O1" s="3314"/>
      <c r="P1" s="3314"/>
      <c r="Q1" s="3314"/>
      <c r="R1" s="3314"/>
      <c r="S1" s="3315"/>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2304</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v>0</v>
      </c>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2922</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2921</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188" t="s">
        <v>1961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 ca="1">S22</f>
        <v>14594</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f ca="1">R22</f>
        <v>1765</v>
      </c>
      <c r="C21" s="1974"/>
      <c r="D21" s="1974"/>
      <c r="E21" s="1974"/>
      <c r="F21" s="1974"/>
      <c r="G21" s="1974"/>
      <c r="H21" s="1974"/>
      <c r="I21" s="1974"/>
      <c r="J21" s="1974"/>
      <c r="K21" s="1974"/>
      <c r="L21" s="1974"/>
      <c r="M21" s="1974"/>
      <c r="N21" s="1974"/>
      <c r="O21" s="1974"/>
      <c r="P21" s="1974"/>
      <c r="Q21" s="1974"/>
      <c r="R21" s="2209"/>
      <c r="S21" s="2012"/>
    </row>
    <row r="22" spans="1:45">
      <c r="A22" s="797" t="s">
        <v>830</v>
      </c>
      <c r="B22" s="53">
        <f>SUM(B24:B10000)</f>
        <v>82687</v>
      </c>
      <c r="C22" s="3310" t="s">
        <v>20</v>
      </c>
      <c r="D22" s="3311"/>
      <c r="E22" s="3311"/>
      <c r="F22" s="3311"/>
      <c r="G22" s="3311"/>
      <c r="H22" s="3311"/>
      <c r="I22" s="3311"/>
      <c r="J22" s="3311"/>
      <c r="K22" s="3311"/>
      <c r="L22" s="3311"/>
      <c r="M22" s="3311"/>
      <c r="N22" s="3311"/>
      <c r="O22" s="3311"/>
      <c r="P22" s="3311"/>
      <c r="Q22" s="3312"/>
      <c r="R22" s="488">
        <f ca="1">ROUND(S22*10000/B22,0)</f>
        <v>1765</v>
      </c>
      <c r="S22" s="53">
        <f ca="1">SUM(S24:S10000)</f>
        <v>14594</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土地面积</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3212">
        <f>结果表!L38</f>
        <v>37003</v>
      </c>
      <c r="C24" s="960">
        <v>1</v>
      </c>
      <c r="D24" s="961"/>
      <c r="E24" s="960">
        <v>1</v>
      </c>
      <c r="F24" s="961"/>
      <c r="G24" s="960">
        <v>1</v>
      </c>
      <c r="H24" s="961"/>
      <c r="I24" s="960">
        <v>1</v>
      </c>
      <c r="J24" s="961"/>
      <c r="K24" s="960">
        <v>1</v>
      </c>
      <c r="L24" s="961"/>
      <c r="M24" s="960">
        <v>1</v>
      </c>
      <c r="N24" s="961"/>
      <c r="O24" s="960">
        <v>1</v>
      </c>
      <c r="P24" s="961"/>
      <c r="Q24" s="960">
        <v>1</v>
      </c>
      <c r="R24" s="962">
        <f ca="1">结果表!N38</f>
        <v>1765</v>
      </c>
      <c r="S24" s="960">
        <f t="shared" ref="S24:S54" ca="1" si="11">ROUND(R24*B24/10000,0)</f>
        <v>6531</v>
      </c>
      <c r="T24" s="1957"/>
      <c r="U24" s="1957"/>
      <c r="V24" s="1957"/>
      <c r="W24" s="1957"/>
      <c r="X24" s="1957"/>
      <c r="Y24" s="1957"/>
      <c r="Z24" s="1957"/>
      <c r="AA24" s="1957"/>
      <c r="AB24" s="1957"/>
      <c r="AC24" s="1957"/>
      <c r="AD24" s="1957"/>
      <c r="AE24" s="1957"/>
      <c r="AF24" s="1957"/>
      <c r="AG24" s="1957"/>
      <c r="AH24" s="1957"/>
      <c r="AI24" s="1957"/>
    </row>
    <row r="25" spans="1:45">
      <c r="A25" s="3187" t="s">
        <v>3048</v>
      </c>
      <c r="B25" s="3213">
        <f>地块汇总!K3</f>
        <v>45684</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 ca="1">IF(B25="",0,ROUND($R$24*C25*E25*G25*I25*K25*M25*O25*Q25,0))</f>
        <v>1765</v>
      </c>
      <c r="S25" s="797">
        <f t="shared" ca="1" si="11"/>
        <v>8063</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F28" sqref="F28"/>
    </sheetView>
  </sheetViews>
  <sheetFormatPr defaultColWidth="12.625" defaultRowHeight="21.75" customHeight="1"/>
  <cols>
    <col min="1" max="2" width="12.875" style="1244" bestFit="1" customWidth="1"/>
    <col min="3" max="4" width="12.625" style="1244" customWidth="1"/>
    <col min="5" max="9" width="12.875" style="1244" bestFit="1" customWidth="1"/>
    <col min="10" max="10" width="2.125" style="255" customWidth="1"/>
    <col min="11" max="12" width="12.625" style="255" customWidth="1"/>
    <col min="13" max="13" width="12.625" style="255"/>
    <col min="14" max="14" width="15.625" style="255" bestFit="1" customWidth="1"/>
    <col min="15" max="19" width="12.875" style="255" bestFit="1" customWidth="1"/>
    <col min="20" max="26" width="12.625" style="255"/>
    <col min="27" max="16384" width="12.625" style="1244"/>
  </cols>
  <sheetData>
    <row r="1" spans="1:22" ht="21.75" customHeight="1" thickBot="1">
      <c r="A1" s="1759" t="s">
        <v>2053</v>
      </c>
      <c r="B1" s="1760"/>
      <c r="C1" s="1788" t="s">
        <v>2054</v>
      </c>
      <c r="D1" s="1789" t="s">
        <v>3030</v>
      </c>
      <c r="E1" s="1788" t="s">
        <v>2055</v>
      </c>
      <c r="F1" s="1790" t="s">
        <v>3031</v>
      </c>
      <c r="G1" s="309"/>
      <c r="H1" s="309"/>
      <c r="I1" s="309"/>
      <c r="J1" s="2012"/>
      <c r="K1" s="2012"/>
      <c r="L1" s="2012"/>
      <c r="M1" s="2012"/>
      <c r="N1" s="2012"/>
      <c r="O1" s="2012"/>
      <c r="P1" s="2012"/>
      <c r="Q1" s="2012"/>
      <c r="R1" s="2012"/>
      <c r="S1" s="2012"/>
      <c r="T1" s="2012"/>
      <c r="U1" s="2012"/>
      <c r="V1" s="2012"/>
    </row>
    <row r="2" spans="1:22" ht="21.75" customHeight="1" thickBot="1">
      <c r="A2" s="3361" t="str">
        <f>项目基本情况!K2</f>
        <v>云南省玉溪市澄江县龙街镇立昌村委会（不动产单元号：530422002006GB00005W00000000号及530422002006GB00006W00000000号）共两宗城镇住宅用地出让国有建设用地使用权</v>
      </c>
      <c r="B2" s="3362"/>
      <c r="C2" s="3363"/>
      <c r="D2" s="3363"/>
      <c r="E2" s="3363"/>
      <c r="F2" s="3363"/>
      <c r="G2" s="3362"/>
      <c r="H2" s="3362"/>
      <c r="I2" s="3364"/>
      <c r="J2" s="2013"/>
      <c r="K2" s="2012"/>
      <c r="L2" s="2012"/>
      <c r="M2" s="2012"/>
      <c r="N2" s="2012"/>
      <c r="O2" s="2012"/>
      <c r="P2" s="2012"/>
      <c r="Q2" s="2012"/>
      <c r="R2" s="2012"/>
      <c r="S2" s="2012"/>
      <c r="T2" s="2012"/>
      <c r="U2" s="2012"/>
      <c r="V2" s="2012"/>
    </row>
    <row r="3" spans="1:22" ht="14.25">
      <c r="A3" s="3372" t="s">
        <v>298</v>
      </c>
      <c r="B3" s="3373"/>
      <c r="C3" s="3373"/>
      <c r="D3" s="3373"/>
      <c r="E3" s="3373"/>
      <c r="F3" s="3373"/>
      <c r="G3" s="3373"/>
      <c r="H3" s="3373"/>
      <c r="I3" s="3373"/>
      <c r="J3" s="2013"/>
      <c r="K3" s="2012"/>
      <c r="L3" s="2012"/>
      <c r="M3" s="2012"/>
      <c r="N3" s="2012"/>
      <c r="O3" s="2012"/>
      <c r="P3" s="2012"/>
      <c r="Q3" s="2012"/>
      <c r="R3" s="2012"/>
      <c r="S3" s="2012"/>
      <c r="T3" s="2012"/>
      <c r="U3" s="2012"/>
      <c r="V3" s="2012"/>
    </row>
    <row r="4" spans="1:22" ht="14.25">
      <c r="A4" s="256" t="s">
        <v>299</v>
      </c>
      <c r="B4" s="257" t="s">
        <v>300</v>
      </c>
      <c r="C4" s="258" t="s">
        <v>3032</v>
      </c>
      <c r="D4" s="258" t="s">
        <v>3033</v>
      </c>
      <c r="E4" s="3336" t="s">
        <v>301</v>
      </c>
      <c r="F4" s="3378"/>
      <c r="G4" s="3378"/>
      <c r="H4" s="3378"/>
      <c r="I4" s="3337"/>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5" t="s">
        <v>302</v>
      </c>
      <c r="B5" s="3366">
        <v>25</v>
      </c>
      <c r="C5" s="3374"/>
      <c r="D5" s="3377"/>
      <c r="E5" s="259" t="s">
        <v>303</v>
      </c>
      <c r="F5" s="260"/>
      <c r="G5" s="260"/>
      <c r="H5" s="260"/>
      <c r="I5" s="261"/>
      <c r="J5" s="2013"/>
      <c r="K5" s="2012"/>
      <c r="L5" s="2012"/>
      <c r="M5" s="2012"/>
      <c r="N5" s="2012"/>
      <c r="O5" s="2012"/>
      <c r="P5" s="2012"/>
      <c r="Q5" s="2012"/>
      <c r="R5" s="2012"/>
      <c r="S5" s="2012"/>
      <c r="T5" s="2012"/>
      <c r="U5" s="2012"/>
      <c r="V5" s="2012"/>
    </row>
    <row r="6" spans="1:22" ht="14.25">
      <c r="A6" s="3365"/>
      <c r="B6" s="3366"/>
      <c r="C6" s="3375"/>
      <c r="D6" s="3377"/>
      <c r="E6" s="259" t="s">
        <v>304</v>
      </c>
      <c r="F6" s="260"/>
      <c r="G6" s="260"/>
      <c r="H6" s="260"/>
      <c r="I6" s="261"/>
      <c r="J6" s="2013"/>
      <c r="K6" s="2012"/>
      <c r="L6" s="2012"/>
      <c r="M6" s="2012"/>
      <c r="N6" s="2012"/>
      <c r="O6" s="2012"/>
      <c r="P6" s="2012"/>
      <c r="Q6" s="2012"/>
      <c r="R6" s="2012"/>
      <c r="S6" s="2012"/>
      <c r="T6" s="2012"/>
      <c r="U6" s="2012"/>
      <c r="V6" s="2012"/>
    </row>
    <row r="7" spans="1:22" ht="14.25">
      <c r="A7" s="3365"/>
      <c r="B7" s="3366"/>
      <c r="C7" s="3376"/>
      <c r="D7" s="3377"/>
      <c r="E7" s="259" t="s">
        <v>305</v>
      </c>
      <c r="F7" s="260"/>
      <c r="G7" s="260"/>
      <c r="H7" s="260"/>
      <c r="I7" s="261"/>
      <c r="J7" s="2013"/>
      <c r="K7" s="2012"/>
      <c r="L7" s="2012"/>
      <c r="M7" s="2012"/>
      <c r="N7" s="2012"/>
      <c r="O7" s="2012"/>
      <c r="P7" s="2012"/>
      <c r="Q7" s="2012"/>
      <c r="R7" s="2012"/>
      <c r="S7" s="2012"/>
      <c r="T7" s="2012"/>
      <c r="U7" s="2012"/>
      <c r="V7" s="2012"/>
    </row>
    <row r="8" spans="1:22" ht="14.25">
      <c r="A8" s="3365" t="s">
        <v>306</v>
      </c>
      <c r="B8" s="3366">
        <v>15</v>
      </c>
      <c r="C8" s="3374"/>
      <c r="D8" s="3377"/>
      <c r="E8" s="259" t="s">
        <v>307</v>
      </c>
      <c r="F8" s="260"/>
      <c r="G8" s="260"/>
      <c r="H8" s="260"/>
      <c r="I8" s="261"/>
      <c r="J8" s="2013"/>
      <c r="K8" s="2012"/>
      <c r="L8" s="2012"/>
      <c r="M8" s="2012"/>
      <c r="N8" s="2012"/>
      <c r="O8" s="2012"/>
      <c r="P8" s="2012"/>
      <c r="Q8" s="2012"/>
      <c r="R8" s="2012"/>
      <c r="S8" s="2012"/>
      <c r="T8" s="2012"/>
      <c r="U8" s="2012"/>
      <c r="V8" s="2012"/>
    </row>
    <row r="9" spans="1:22" ht="14.25">
      <c r="A9" s="3365"/>
      <c r="B9" s="3366"/>
      <c r="C9" s="3376"/>
      <c r="D9" s="3377"/>
      <c r="E9" s="259" t="s">
        <v>308</v>
      </c>
      <c r="F9" s="260"/>
      <c r="G9" s="260"/>
      <c r="H9" s="260"/>
      <c r="I9" s="261"/>
      <c r="J9" s="2013"/>
      <c r="K9" s="2012"/>
      <c r="L9" s="2012"/>
      <c r="M9" s="2012"/>
      <c r="N9" s="2012"/>
      <c r="O9" s="2012"/>
      <c r="P9" s="2012"/>
      <c r="Q9" s="2012"/>
      <c r="R9" s="2012"/>
      <c r="S9" s="2012"/>
      <c r="T9" s="2012"/>
      <c r="U9" s="2012"/>
      <c r="V9" s="2012"/>
    </row>
    <row r="10" spans="1:22" ht="14.25">
      <c r="A10" s="3365" t="s">
        <v>309</v>
      </c>
      <c r="B10" s="3366">
        <v>15</v>
      </c>
      <c r="C10" s="3374"/>
      <c r="D10" s="3377"/>
      <c r="E10" s="259" t="s">
        <v>310</v>
      </c>
      <c r="F10" s="260"/>
      <c r="G10" s="260"/>
      <c r="H10" s="260"/>
      <c r="I10" s="261"/>
      <c r="J10" s="2013"/>
      <c r="K10" s="2012"/>
      <c r="L10" s="2012"/>
      <c r="M10" s="2012"/>
      <c r="N10" s="2012"/>
      <c r="O10" s="2012"/>
      <c r="P10" s="2012"/>
      <c r="Q10" s="2012"/>
      <c r="R10" s="2012"/>
      <c r="S10" s="2012"/>
      <c r="T10" s="2012"/>
      <c r="U10" s="2012"/>
      <c r="V10" s="2012"/>
    </row>
    <row r="11" spans="1:22" ht="14.25">
      <c r="A11" s="3365"/>
      <c r="B11" s="3366"/>
      <c r="C11" s="3376"/>
      <c r="D11" s="3377"/>
      <c r="E11" s="259" t="s">
        <v>311</v>
      </c>
      <c r="F11" s="260"/>
      <c r="G11" s="260"/>
      <c r="H11" s="260"/>
      <c r="I11" s="261"/>
      <c r="J11" s="2013"/>
      <c r="K11" s="2012"/>
      <c r="L11" s="2012"/>
      <c r="M11" s="2012"/>
      <c r="N11" s="2012"/>
      <c r="O11" s="2012"/>
      <c r="P11" s="2012"/>
      <c r="Q11" s="2012"/>
      <c r="R11" s="2012"/>
      <c r="S11" s="2012"/>
      <c r="T11" s="2012"/>
      <c r="U11" s="2012"/>
      <c r="V11" s="2012"/>
    </row>
    <row r="12" spans="1:22" ht="14.25">
      <c r="A12" s="3365" t="s">
        <v>312</v>
      </c>
      <c r="B12" s="3366">
        <v>15</v>
      </c>
      <c r="C12" s="3374"/>
      <c r="D12" s="3377"/>
      <c r="E12" s="259" t="s">
        <v>313</v>
      </c>
      <c r="F12" s="260"/>
      <c r="G12" s="260"/>
      <c r="H12" s="260"/>
      <c r="I12" s="261"/>
      <c r="J12" s="2013"/>
      <c r="K12" s="2012"/>
      <c r="L12" s="2012"/>
      <c r="M12" s="2012"/>
      <c r="N12" s="2012"/>
      <c r="O12" s="2012"/>
      <c r="P12" s="2012"/>
      <c r="Q12" s="2012"/>
      <c r="R12" s="2012"/>
      <c r="S12" s="2012"/>
      <c r="T12" s="2012"/>
      <c r="U12" s="2012"/>
      <c r="V12" s="2012"/>
    </row>
    <row r="13" spans="1:22" ht="14.25">
      <c r="A13" s="3365"/>
      <c r="B13" s="3366"/>
      <c r="C13" s="3376"/>
      <c r="D13" s="3377"/>
      <c r="E13" s="259" t="s">
        <v>314</v>
      </c>
      <c r="F13" s="260"/>
      <c r="G13" s="260"/>
      <c r="H13" s="260"/>
      <c r="I13" s="261"/>
      <c r="J13" s="2013"/>
      <c r="K13" s="2012"/>
      <c r="L13" s="2012"/>
      <c r="M13" s="2012"/>
      <c r="N13" s="2012"/>
      <c r="O13" s="2012"/>
      <c r="P13" s="2012"/>
      <c r="Q13" s="2012"/>
      <c r="R13" s="2012"/>
      <c r="S13" s="2012"/>
      <c r="T13" s="2012"/>
      <c r="U13" s="2012"/>
      <c r="V13" s="2012"/>
    </row>
    <row r="14" spans="1:22" ht="14.25">
      <c r="A14" s="3365" t="s">
        <v>315</v>
      </c>
      <c r="B14" s="3366">
        <v>30</v>
      </c>
      <c r="C14" s="3374">
        <v>45</v>
      </c>
      <c r="D14" s="3377">
        <v>55</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65"/>
      <c r="B15" s="3366"/>
      <c r="C15" s="3375"/>
      <c r="D15" s="3377"/>
      <c r="E15" s="259" t="s">
        <v>317</v>
      </c>
      <c r="F15" s="260"/>
      <c r="G15" s="260"/>
      <c r="H15" s="260"/>
      <c r="I15" s="261"/>
      <c r="J15" s="2013"/>
      <c r="K15" s="2012"/>
      <c r="L15" s="2012"/>
      <c r="M15" s="2012"/>
      <c r="N15" s="2012"/>
      <c r="O15" s="2012"/>
      <c r="P15" s="2012"/>
      <c r="Q15" s="2012"/>
      <c r="R15" s="2012"/>
      <c r="S15" s="2012"/>
      <c r="T15" s="2012"/>
      <c r="U15" s="2012"/>
      <c r="V15" s="2012"/>
    </row>
    <row r="16" spans="1:22" ht="14.25">
      <c r="A16" s="3365"/>
      <c r="B16" s="3366"/>
      <c r="C16" s="3376"/>
      <c r="D16" s="3377"/>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45</v>
      </c>
      <c r="D17" s="263">
        <f>SUM(D5:D16)</f>
        <v>55</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0.45</v>
      </c>
      <c r="D18" s="265">
        <f>1-C18</f>
        <v>0.55000000000000004</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2635</v>
      </c>
      <c r="D19" s="269">
        <f ca="1">SUMIF(INDIRECT("'"&amp;D4&amp;"'"&amp;"!A:A"),结果表!B19,INDIRECT("'"&amp;D4&amp;"'"&amp;"!B:B"))</f>
        <v>9720</v>
      </c>
      <c r="E19" s="266" t="s">
        <v>323</v>
      </c>
      <c r="F19" s="267" t="s">
        <v>322</v>
      </c>
      <c r="G19" s="270">
        <f ca="1">ROUND(C19*$C$18+D19*$D$18,0)</f>
        <v>6532</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712</v>
      </c>
      <c r="D20" s="275">
        <f ca="1">SUMIF(INDIRECT("'"&amp;D4&amp;"'"&amp;"!A:A"),结果表!B20,INDIRECT("'"&amp;D4&amp;"'"&amp;"!B:B"))</f>
        <v>2627</v>
      </c>
      <c r="E20" s="272"/>
      <c r="F20" s="273" t="s">
        <v>325</v>
      </c>
      <c r="G20" s="276">
        <f ca="1">ROUND(C20*$C$18+D20*$D$18,0)</f>
        <v>1765</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712</v>
      </c>
      <c r="D21" s="151">
        <f ca="1">SUMIF(INDIRECT("'"&amp;D4&amp;"'"&amp;"!A:A"),结果表!B21,INDIRECT("'"&amp;D4&amp;"'"&amp;"!B:B"))</f>
        <v>2627</v>
      </c>
      <c r="E21" s="272"/>
      <c r="F21" s="278" t="s">
        <v>327</v>
      </c>
      <c r="G21" s="280">
        <f ca="1">ROUND(C21*$C$18+D21*$D$18,0)</f>
        <v>1765</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2.6888045540796965</v>
      </c>
      <c r="E22" s="282"/>
      <c r="F22" s="283"/>
      <c r="G22" s="284">
        <f ca="1">ROUND(G19/('数据-汇总表'!D3/666.67),0)</f>
        <v>118</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38"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80"/>
      <c r="B25" s="1315" t="s">
        <v>331</v>
      </c>
      <c r="C25" s="288">
        <f>IF(B30=0,0,C30)</f>
        <v>0</v>
      </c>
      <c r="D25" s="289"/>
      <c r="E25" s="309"/>
      <c r="F25" s="309"/>
      <c r="G25" s="309"/>
      <c r="H25" s="309"/>
      <c r="I25" s="309"/>
      <c r="J25" s="2012"/>
      <c r="K25" s="1249" t="str">
        <f ca="1">项目基本情况!B16&amp;"国有建设用地使用权价格："&amp;O38&amp;"万元"</f>
        <v>出让国有建设用地使用权价格：6532万元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大写金额：人民币陆仟伍佰叁拾贰万元整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单位面积地价：1765元/平方米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楼面地价：1765元/平方米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抵押价格：6532万元</v>
      </c>
      <c r="L29" s="1246"/>
      <c r="M29" s="1246"/>
      <c r="N29" s="1246"/>
      <c r="O29" s="1245"/>
      <c r="P29" s="2012"/>
      <c r="V29" s="2012"/>
    </row>
    <row r="30" spans="1:26" ht="18.75" thickBot="1">
      <c r="A30" s="3080" t="s">
        <v>336</v>
      </c>
      <c r="B30" s="307"/>
      <c r="C30" s="307"/>
      <c r="D30" s="308"/>
      <c r="E30" s="3081" t="s">
        <v>2963</v>
      </c>
      <c r="F30" s="309"/>
      <c r="G30" s="309"/>
      <c r="H30" s="309"/>
      <c r="I30" s="309"/>
      <c r="J30" s="2012"/>
      <c r="K30" s="1252" t="str">
        <f ca="1">IF(K29="——","——","大写金额：人民币"&amp;NUMBERSTRING(INT(O39*10000),2)&amp;"元整")</f>
        <v>大写金额：人民币陆仟伍佰叁拾贰万元整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1688</v>
      </c>
      <c r="C32" s="1377">
        <f ca="1">G19-C24</f>
        <v>6532</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1690</v>
      </c>
      <c r="C33" s="262">
        <f ca="1">ROUND(C32*10000/'数据-汇总表'!E3,0)</f>
        <v>1765</v>
      </c>
      <c r="D33" s="1380" t="s">
        <v>1691</v>
      </c>
      <c r="E33" s="3338" t="s">
        <v>338</v>
      </c>
      <c r="F33" s="294" t="s">
        <v>339</v>
      </c>
      <c r="G33" s="295"/>
      <c r="H33" s="978"/>
      <c r="I33" s="1253"/>
      <c r="J33" s="2012"/>
      <c r="K33" s="1252" t="str">
        <f>IF(项目基本情况!E9="——","——","抵押净值："&amp;C46&amp;"万元")</f>
        <v>——</v>
      </c>
      <c r="L33" s="1246"/>
      <c r="M33" s="1246"/>
      <c r="N33" s="1246"/>
      <c r="O33" s="1245"/>
      <c r="P33" s="2012"/>
      <c r="V33" s="2012"/>
    </row>
    <row r="34" spans="1:26" s="1248" customFormat="1" ht="18.75" thickBot="1">
      <c r="A34" s="298"/>
      <c r="B34" s="1381" t="s">
        <v>1692</v>
      </c>
      <c r="C34" s="262">
        <f ca="1">ROUND(C32*10000/'数据-汇总表'!D3,0)</f>
        <v>1765</v>
      </c>
      <c r="D34" s="1382" t="s">
        <v>1691</v>
      </c>
      <c r="E34" s="3339"/>
      <c r="F34" s="127" t="s">
        <v>341</v>
      </c>
      <c r="G34" s="297"/>
      <c r="H34" s="105"/>
      <c r="I34" s="309"/>
      <c r="J34" s="2012"/>
      <c r="K34" s="1255" t="str">
        <f>IF(K33="——","——","大写金额：人民币"&amp;NUMBERSTRING(INT(O41*10000),2)&amp;"元整")</f>
        <v>——</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118</v>
      </c>
      <c r="D35" s="1385" t="s">
        <v>1693</v>
      </c>
      <c r="E35" s="3340"/>
      <c r="F35" s="299" t="s">
        <v>342</v>
      </c>
      <c r="G35" s="980"/>
      <c r="H35" s="979" t="s">
        <v>343</v>
      </c>
      <c r="I35" s="309"/>
      <c r="J35" s="2012"/>
      <c r="K35" s="3344" t="s">
        <v>350</v>
      </c>
      <c r="L35" s="3344" t="s">
        <v>351</v>
      </c>
      <c r="M35" s="1258" t="s">
        <v>352</v>
      </c>
      <c r="N35" s="3344" t="s">
        <v>353</v>
      </c>
      <c r="O35" s="3344" t="s">
        <v>354</v>
      </c>
      <c r="P35" s="2012"/>
      <c r="V35" s="2012"/>
    </row>
    <row r="36" spans="1:26" ht="16.5" customHeight="1">
      <c r="A36" s="301" t="s">
        <v>344</v>
      </c>
      <c r="B36" s="302" t="s">
        <v>333</v>
      </c>
      <c r="C36" s="303" t="s">
        <v>345</v>
      </c>
      <c r="D36" s="303" t="s">
        <v>346</v>
      </c>
      <c r="E36" s="304" t="s">
        <v>347</v>
      </c>
      <c r="F36" s="309"/>
      <c r="G36" s="309"/>
      <c r="H36" s="309"/>
      <c r="I36" s="309"/>
      <c r="J36" s="2014"/>
      <c r="K36" s="3345"/>
      <c r="L36" s="3345"/>
      <c r="M36" s="1260" t="s">
        <v>355</v>
      </c>
      <c r="N36" s="3345"/>
      <c r="O36" s="3345"/>
      <c r="P36" s="2012"/>
      <c r="V36" s="2012"/>
    </row>
    <row r="37" spans="1:26" ht="16.5" customHeight="1" thickBot="1">
      <c r="A37" s="1254" t="s">
        <v>348</v>
      </c>
      <c r="B37" s="305"/>
      <c r="C37" s="292"/>
      <c r="D37" s="292"/>
      <c r="E37" s="293"/>
      <c r="F37" s="309"/>
      <c r="G37" s="309"/>
      <c r="H37" s="309"/>
      <c r="I37" s="309"/>
      <c r="J37" s="2014"/>
      <c r="K37" s="3346"/>
      <c r="L37" s="3346"/>
      <c r="M37" s="1261"/>
      <c r="N37" s="3346"/>
      <c r="O37" s="3346"/>
      <c r="P37" s="2012"/>
      <c r="V37" s="2012"/>
    </row>
    <row r="38" spans="1:26" ht="16.5" customHeight="1" thickBot="1">
      <c r="A38" s="1254" t="s">
        <v>349</v>
      </c>
      <c r="B38" s="305"/>
      <c r="C38" s="292"/>
      <c r="D38" s="292"/>
      <c r="E38" s="293"/>
      <c r="F38" s="309"/>
      <c r="G38" s="309"/>
      <c r="H38" s="309"/>
      <c r="I38" s="309"/>
      <c r="J38" s="2014"/>
      <c r="K38" s="1262">
        <f>'数据-汇总表'!D3</f>
        <v>37003</v>
      </c>
      <c r="L38" s="1263">
        <f>'数据-汇总表'!E3</f>
        <v>37003</v>
      </c>
      <c r="M38" s="1263">
        <f ca="1">C34</f>
        <v>1765</v>
      </c>
      <c r="N38" s="1263">
        <f ca="1">C33</f>
        <v>1765</v>
      </c>
      <c r="O38" s="1264">
        <f ca="1">C32</f>
        <v>6532</v>
      </c>
      <c r="P38" s="2012"/>
      <c r="V38" s="2012"/>
    </row>
    <row r="39" spans="1:26" ht="16.5" customHeight="1" thickBot="1">
      <c r="A39" s="1259"/>
      <c r="B39" s="306"/>
      <c r="C39" s="307"/>
      <c r="D39" s="307"/>
      <c r="E39" s="308"/>
      <c r="F39" s="309"/>
      <c r="G39" s="309"/>
      <c r="H39" s="309"/>
      <c r="I39" s="309"/>
      <c r="J39" s="2014"/>
      <c r="K39" s="3321" t="str">
        <f>MID(A44,3,LEN(A44)-2)</f>
        <v>抵押价格</v>
      </c>
      <c r="L39" s="3322"/>
      <c r="M39" s="3322"/>
      <c r="N39" s="3323"/>
      <c r="O39" s="1387">
        <f ca="1">C44</f>
        <v>6532</v>
      </c>
      <c r="P39" s="2012"/>
      <c r="V39" s="2012"/>
    </row>
    <row r="40" spans="1:26" ht="19.5" thickBot="1">
      <c r="A40" s="104" t="s">
        <v>873</v>
      </c>
      <c r="B40" s="309"/>
      <c r="C40" s="309"/>
      <c r="D40" s="309"/>
      <c r="E40" s="309"/>
      <c r="F40" s="309"/>
      <c r="G40" s="309"/>
      <c r="H40" s="309"/>
      <c r="I40" s="309"/>
      <c r="J40" s="2014"/>
      <c r="K40" s="3321" t="str">
        <f t="shared" ref="K40:K41" si="0">MID(A45,3,LEN(A45)-2)</f>
        <v/>
      </c>
      <c r="L40" s="3322"/>
      <c r="M40" s="3322"/>
      <c r="N40" s="3323"/>
      <c r="O40" s="1387" t="str">
        <f>C45</f>
        <v>——</v>
      </c>
      <c r="P40" s="2012"/>
      <c r="V40" s="2012"/>
    </row>
    <row r="41" spans="1:26" ht="16.5" thickBot="1">
      <c r="A41" s="310" t="s">
        <v>356</v>
      </c>
      <c r="B41" s="311"/>
      <c r="C41" s="312" t="s">
        <v>357</v>
      </c>
      <c r="D41" s="313" t="s">
        <v>358</v>
      </c>
      <c r="E41" s="313" t="s">
        <v>359</v>
      </c>
      <c r="F41" s="314" t="s">
        <v>360</v>
      </c>
      <c r="G41" s="309"/>
      <c r="H41" s="309"/>
      <c r="I41" s="309"/>
      <c r="J41" s="2014"/>
      <c r="K41" s="3321" t="str">
        <f t="shared" si="0"/>
        <v/>
      </c>
      <c r="L41" s="3322"/>
      <c r="M41" s="3322"/>
      <c r="N41" s="3323"/>
      <c r="O41" s="1387" t="str">
        <f>C46</f>
        <v>——</v>
      </c>
      <c r="P41" s="2012"/>
      <c r="V41" s="2012"/>
    </row>
    <row r="42" spans="1:26" ht="29.25">
      <c r="A42" s="3381" t="s">
        <v>2065</v>
      </c>
      <c r="B42" s="3382"/>
      <c r="C42" s="262">
        <f ca="1">C32</f>
        <v>6532</v>
      </c>
      <c r="D42" s="315">
        <f ca="1">C33</f>
        <v>1765</v>
      </c>
      <c r="E42" s="315">
        <f ca="1">C34</f>
        <v>1765</v>
      </c>
      <c r="F42" s="316">
        <f ca="1">C35</f>
        <v>118</v>
      </c>
      <c r="G42" s="309"/>
      <c r="H42" s="309"/>
      <c r="I42" s="317"/>
      <c r="J42" s="2014"/>
      <c r="K42" s="1265" t="s">
        <v>361</v>
      </c>
      <c r="L42" s="2031" t="s">
        <v>362</v>
      </c>
      <c r="M42" s="1266" t="s">
        <v>363</v>
      </c>
      <c r="N42" s="2032" t="s">
        <v>364</v>
      </c>
      <c r="O42" s="2033" t="s">
        <v>365</v>
      </c>
      <c r="P42" s="2012"/>
      <c r="V42" s="2012"/>
    </row>
    <row r="43" spans="1:26" ht="30">
      <c r="A43" s="3391" t="s">
        <v>2727</v>
      </c>
      <c r="B43" s="3392"/>
      <c r="C43" s="262">
        <f>IF(H33="正常操作",G33+G34+G35,G34+G35)</f>
        <v>0</v>
      </c>
      <c r="D43" s="315" t="s">
        <v>43</v>
      </c>
      <c r="E43" s="315" t="s">
        <v>44</v>
      </c>
      <c r="F43" s="316" t="s">
        <v>44</v>
      </c>
      <c r="G43" s="2820" t="s">
        <v>952</v>
      </c>
      <c r="H43" s="309"/>
      <c r="I43" s="317"/>
      <c r="J43" s="2014"/>
      <c r="K43" s="1267" t="str">
        <f>C4</f>
        <v>比较法-住宅、综合</v>
      </c>
      <c r="L43" s="1268">
        <f ca="1">IF(L42="估价结果/万元",C19,C20)</f>
        <v>2635</v>
      </c>
      <c r="M43" s="1269">
        <f>C18</f>
        <v>0.45</v>
      </c>
      <c r="N43" s="1270">
        <f ca="1">IF(N42="测算结果/万元",G19,G20)</f>
        <v>6532</v>
      </c>
      <c r="O43" s="1271">
        <f ca="1">IF(O42="最终结果/万元",C32,C33)</f>
        <v>6532</v>
      </c>
      <c r="P43" s="2012"/>
      <c r="V43" s="2012"/>
    </row>
    <row r="44" spans="1:26" ht="30.75" thickBot="1">
      <c r="A44" s="3381" t="str">
        <f>IF(OR(项目基本情况!E8="抵押价格",项目基本情况!E8="已注销及未注销"),"3.抵押价格","——")</f>
        <v>3.抵押价格</v>
      </c>
      <c r="B44" s="3382"/>
      <c r="C44" s="262">
        <f ca="1">IF(A44="——","——",C42-C43)</f>
        <v>6532</v>
      </c>
      <c r="D44" s="315">
        <f ca="1">ROUND(C44*10000/'数据-汇总表'!E3,0)</f>
        <v>1765</v>
      </c>
      <c r="E44" s="315">
        <f ca="1">ROUND(C44*10000/'数据-汇总表'!D3,0)</f>
        <v>1765</v>
      </c>
      <c r="F44" s="316">
        <f ca="1">ROUND(C44/('数据-汇总表'!D3/666.67),0)</f>
        <v>118</v>
      </c>
      <c r="G44" s="309"/>
      <c r="H44" s="309"/>
      <c r="I44" s="317"/>
      <c r="J44" s="2014"/>
      <c r="K44" s="1272" t="str">
        <f>D4</f>
        <v>剩余法-待开发</v>
      </c>
      <c r="L44" s="1273">
        <f ca="1">IF(L42="估价结果/万元",D19,D20)</f>
        <v>9720</v>
      </c>
      <c r="M44" s="1274">
        <f>D18</f>
        <v>0.55000000000000004</v>
      </c>
      <c r="N44" s="1275"/>
      <c r="O44" s="1276"/>
      <c r="P44" s="2012"/>
      <c r="V44" s="2012"/>
    </row>
    <row r="45" spans="1:26" ht="15">
      <c r="A45" s="3386" t="str">
        <f>IF(项目基本情况!E8="已注销及未注销","4.抵押担保权已注销时的抵押价格",IF(项目基本情况!E8="已注销","3.抵押担保权已注销时的抵押价格","——"))</f>
        <v>——</v>
      </c>
      <c r="B45" s="3387"/>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83" t="str">
        <f>IF(项目基本情况!E9="抵押净值",IF(A45="——","4.抵押净值","5.抵押净值"),"——")</f>
        <v>——</v>
      </c>
      <c r="B46" s="3384"/>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9" t="s">
        <v>374</v>
      </c>
      <c r="B63" s="3350"/>
      <c r="C63" s="3351"/>
      <c r="D63" s="339">
        <f ca="1">ROUND(C42*F63,0)</f>
        <v>3919</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388" t="s">
        <v>378</v>
      </c>
      <c r="B64" s="3389"/>
      <c r="C64" s="3389"/>
      <c r="D64" s="3389"/>
      <c r="E64" s="3389"/>
      <c r="F64" s="3389"/>
      <c r="G64" s="3390"/>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85" t="s">
        <v>386</v>
      </c>
      <c r="B66" s="3356"/>
      <c r="C66" s="3356"/>
      <c r="D66" s="259">
        <f ca="1">IF(H66="情况1",0,IF(H66="情况2",D70,IF(H66="情况3",D71,IF(H66="情况4",D72))))</f>
        <v>209</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25" t="s">
        <v>385</v>
      </c>
      <c r="M66" s="3326"/>
      <c r="N66" s="2421"/>
      <c r="O66" s="2422"/>
      <c r="P66" s="2423"/>
      <c r="Q66" s="2012"/>
      <c r="R66" s="2012"/>
      <c r="S66" s="2012"/>
      <c r="T66" s="2012"/>
      <c r="U66" s="2012"/>
      <c r="V66" s="2012"/>
    </row>
    <row r="67" spans="1:22" ht="25.5" customHeight="1">
      <c r="A67" s="350" t="s">
        <v>390</v>
      </c>
      <c r="B67" s="3368" t="s">
        <v>391</v>
      </c>
      <c r="C67" s="3368"/>
      <c r="D67" s="351">
        <v>0</v>
      </c>
      <c r="E67" s="41" t="s">
        <v>392</v>
      </c>
      <c r="F67" s="62" t="s">
        <v>21</v>
      </c>
      <c r="G67" s="3352"/>
      <c r="H67" s="309"/>
      <c r="I67" s="1286"/>
      <c r="J67" s="2019"/>
      <c r="K67" s="1960">
        <v>2</v>
      </c>
      <c r="L67" s="3324" t="s">
        <v>389</v>
      </c>
      <c r="M67" s="3324"/>
      <c r="N67" s="1319">
        <f>'数据-取费表'!B2</f>
        <v>43571</v>
      </c>
      <c r="O67" s="1319"/>
      <c r="P67" s="1319"/>
      <c r="Q67" s="2012"/>
      <c r="R67" s="2012"/>
      <c r="S67" s="2012"/>
      <c r="T67" s="2012"/>
      <c r="U67" s="2012"/>
      <c r="V67" s="2012"/>
    </row>
    <row r="68" spans="1:22" ht="25.5" customHeight="1">
      <c r="A68" s="352"/>
      <c r="B68" s="3368" t="s">
        <v>394</v>
      </c>
      <c r="C68" s="3368"/>
      <c r="D68" s="353"/>
      <c r="E68" s="77"/>
      <c r="F68" s="354"/>
      <c r="G68" s="3353"/>
      <c r="H68" s="309"/>
      <c r="I68" s="1286"/>
      <c r="J68" s="2019"/>
      <c r="K68" s="1960">
        <v>3</v>
      </c>
      <c r="L68" s="3324" t="s">
        <v>393</v>
      </c>
      <c r="M68" s="3324"/>
      <c r="N68" s="1287">
        <f ca="1">C42</f>
        <v>6532</v>
      </c>
      <c r="O68" s="1287"/>
      <c r="P68" s="1287"/>
      <c r="Q68" s="2012"/>
      <c r="R68" s="2012"/>
      <c r="S68" s="2012"/>
      <c r="T68" s="2012"/>
      <c r="U68" s="2012"/>
      <c r="V68" s="2012"/>
    </row>
    <row r="69" spans="1:22" ht="12" customHeight="1">
      <c r="A69" s="355"/>
      <c r="B69" s="3368" t="s">
        <v>395</v>
      </c>
      <c r="C69" s="3368"/>
      <c r="D69" s="356"/>
      <c r="E69" s="73"/>
      <c r="F69" s="354"/>
      <c r="G69" s="3354"/>
      <c r="H69" s="309"/>
      <c r="I69" s="1286"/>
      <c r="J69" s="2019"/>
      <c r="K69" s="1288">
        <v>4</v>
      </c>
      <c r="L69" s="3330" t="s">
        <v>2880</v>
      </c>
      <c r="M69" s="3331"/>
      <c r="N69" s="1289">
        <f ca="1">C44</f>
        <v>6532</v>
      </c>
      <c r="O69" s="1289"/>
      <c r="P69" s="1289"/>
      <c r="Q69" s="2012"/>
      <c r="R69" s="2012"/>
      <c r="S69" s="2012"/>
      <c r="T69" s="2012"/>
      <c r="U69" s="2012"/>
      <c r="V69" s="2012"/>
    </row>
    <row r="70" spans="1:22" ht="24" customHeight="1">
      <c r="A70" s="357" t="s">
        <v>396</v>
      </c>
      <c r="B70" s="3368" t="s">
        <v>397</v>
      </c>
      <c r="C70" s="3368"/>
      <c r="D70" s="356">
        <f ca="1">ROUND(D63*'数据-取费表'!B41/(1+'数据-取费表'!C42),0)</f>
        <v>209</v>
      </c>
      <c r="E70" s="17" t="s">
        <v>398</v>
      </c>
      <c r="F70" s="358">
        <f>'数据-取费表'!B41</f>
        <v>5.6000000000000001E-2</v>
      </c>
      <c r="G70" s="359"/>
      <c r="H70" s="309"/>
      <c r="I70" s="1286"/>
      <c r="J70" s="2019"/>
      <c r="K70" s="3012"/>
      <c r="L70" s="3013"/>
      <c r="M70" s="3013"/>
      <c r="N70" s="3014" t="s">
        <v>2885</v>
      </c>
      <c r="O70" s="3013"/>
      <c r="P70" s="3015"/>
      <c r="Q70" s="2012"/>
      <c r="R70" s="2012"/>
      <c r="S70" s="2012"/>
      <c r="T70" s="2012"/>
      <c r="U70" s="2012"/>
      <c r="V70" s="2012"/>
    </row>
    <row r="71" spans="1:22" ht="12" customHeight="1">
      <c r="A71" s="357" t="s">
        <v>404</v>
      </c>
      <c r="B71" s="3367" t="s">
        <v>405</v>
      </c>
      <c r="C71" s="3379"/>
      <c r="D71" s="356">
        <f ca="1">ROUND(D63*'数据-取费表'!B41/(1+'数据-取费表'!C42),0)</f>
        <v>209</v>
      </c>
      <c r="E71" s="17" t="s">
        <v>398</v>
      </c>
      <c r="F71" s="358">
        <f>'数据-取费表'!B41</f>
        <v>5.6000000000000001E-2</v>
      </c>
      <c r="G71" s="359"/>
      <c r="H71" s="309"/>
      <c r="I71" s="1286"/>
      <c r="J71" s="2019"/>
      <c r="K71" s="3011" t="s">
        <v>399</v>
      </c>
      <c r="L71" s="3332" t="s">
        <v>400</v>
      </c>
      <c r="M71" s="3332"/>
      <c r="N71" s="3011" t="s">
        <v>401</v>
      </c>
      <c r="O71" s="3011" t="s">
        <v>402</v>
      </c>
      <c r="P71" s="3011" t="s">
        <v>403</v>
      </c>
      <c r="Q71" s="2012"/>
      <c r="R71" s="2012"/>
      <c r="S71" s="2012"/>
      <c r="T71" s="2012"/>
      <c r="U71" s="2012"/>
      <c r="V71" s="2012"/>
    </row>
    <row r="72" spans="1:22" ht="12" customHeight="1">
      <c r="A72" s="357" t="s">
        <v>407</v>
      </c>
      <c r="B72" s="3367" t="s">
        <v>408</v>
      </c>
      <c r="C72" s="3379"/>
      <c r="D72" s="356">
        <f ca="1">C86</f>
        <v>97</v>
      </c>
      <c r="E72" s="73" t="s">
        <v>409</v>
      </c>
      <c r="F72" s="358">
        <f>'数据-取费表'!B41</f>
        <v>5.6000000000000001E-2</v>
      </c>
      <c r="G72" s="359"/>
      <c r="H72" s="1292"/>
      <c r="I72" s="1286"/>
      <c r="J72" s="2019"/>
      <c r="K72" s="1960">
        <v>1</v>
      </c>
      <c r="L72" s="3329" t="s">
        <v>406</v>
      </c>
      <c r="M72" s="3329"/>
      <c r="N72" s="1290">
        <f ca="1">D66</f>
        <v>209</v>
      </c>
      <c r="O72" s="1843" t="str">
        <f>E66</f>
        <v>销售额×税（费）率</v>
      </c>
      <c r="P72" s="1291">
        <f>F66</f>
        <v>5.6000000000000001E-2</v>
      </c>
      <c r="Q72" s="2012"/>
      <c r="R72" s="2012"/>
      <c r="S72" s="2012"/>
      <c r="T72" s="2012"/>
      <c r="U72" s="2012"/>
      <c r="V72" s="2012"/>
    </row>
    <row r="73" spans="1:22" ht="24" customHeight="1">
      <c r="A73" s="3355" t="s">
        <v>411</v>
      </c>
      <c r="B73" s="3356"/>
      <c r="C73" s="3356"/>
      <c r="D73" s="360">
        <f>IF(H73="个人住宅",0,ROUND(D63*I73,0))</f>
        <v>0</v>
      </c>
      <c r="E73" s="17" t="s">
        <v>412</v>
      </c>
      <c r="F73" s="358" t="str">
        <f>IF(H73="正常",I73,"免征")</f>
        <v>免征</v>
      </c>
      <c r="G73" s="359"/>
      <c r="H73" s="191" t="s">
        <v>2453</v>
      </c>
      <c r="I73" s="358">
        <f>'数据-取费表'!B49</f>
        <v>5.0000000000000001E-4</v>
      </c>
      <c r="J73" s="2019"/>
      <c r="K73" s="1960">
        <v>2</v>
      </c>
      <c r="L73" s="3329" t="s">
        <v>410</v>
      </c>
      <c r="M73" s="3329"/>
      <c r="N73" s="1290">
        <f t="shared" ref="N73:P74" si="1">D73</f>
        <v>0</v>
      </c>
      <c r="O73" s="1843" t="str">
        <f t="shared" si="1"/>
        <v>销售额×税（费）率</v>
      </c>
      <c r="P73" s="1291" t="str">
        <f t="shared" si="1"/>
        <v>免征</v>
      </c>
      <c r="Q73" s="2012"/>
      <c r="R73" s="2012"/>
      <c r="S73" s="2012"/>
      <c r="T73" s="2012"/>
      <c r="U73" s="2012"/>
      <c r="V73" s="2012"/>
    </row>
    <row r="74" spans="1:22" ht="24.75">
      <c r="A74" s="3355" t="s">
        <v>415</v>
      </c>
      <c r="B74" s="3356"/>
      <c r="C74" s="3356"/>
      <c r="D74" s="360">
        <f ca="1">IF(H74="个人住宅",D75,D76)</f>
        <v>1563</v>
      </c>
      <c r="E74" s="17" t="s">
        <v>416</v>
      </c>
      <c r="F74" s="358" t="str">
        <f>IF(H74="正常",F76,"免征")</f>
        <v>——</v>
      </c>
      <c r="G74" s="981" t="s">
        <v>417</v>
      </c>
      <c r="H74" s="361" t="s">
        <v>413</v>
      </c>
      <c r="I74" s="42"/>
      <c r="J74" s="2019"/>
      <c r="K74" s="1960">
        <v>3</v>
      </c>
      <c r="L74" s="3329" t="s">
        <v>414</v>
      </c>
      <c r="M74" s="3329"/>
      <c r="N74" s="1290">
        <f t="shared" ca="1" si="1"/>
        <v>1563</v>
      </c>
      <c r="O74" s="1843" t="str">
        <f t="shared" si="1"/>
        <v>增值额×税（费）率</v>
      </c>
      <c r="P74" s="1293" t="str">
        <f t="shared" si="1"/>
        <v>——</v>
      </c>
      <c r="Q74" s="2012"/>
      <c r="R74" s="2012"/>
      <c r="S74" s="2012"/>
      <c r="T74" s="2012"/>
      <c r="U74" s="2012"/>
      <c r="V74" s="2012"/>
    </row>
    <row r="75" spans="1:22" ht="24">
      <c r="A75" s="357" t="s">
        <v>418</v>
      </c>
      <c r="B75" s="3336" t="s">
        <v>419</v>
      </c>
      <c r="C75" s="3337"/>
      <c r="D75" s="362">
        <v>0</v>
      </c>
      <c r="E75" s="41" t="s">
        <v>420</v>
      </c>
      <c r="F75" s="363"/>
      <c r="G75" s="359"/>
      <c r="H75" s="42"/>
      <c r="I75" s="42"/>
      <c r="J75" s="2019"/>
      <c r="K75" s="3004">
        <f>IF(H77="非个人房产","",4)</f>
        <v>4</v>
      </c>
      <c r="L75" s="3329" t="str">
        <f>IF(H77="非个人房产","——","个人所得税")</f>
        <v>个人所得税</v>
      </c>
      <c r="M75" s="3329"/>
      <c r="N75" s="1294">
        <f ca="1">D77</f>
        <v>39</v>
      </c>
      <c r="O75" s="1856" t="str">
        <f>E77</f>
        <v>销售额×税（费）率</v>
      </c>
      <c r="P75" s="1295">
        <f>F77</f>
        <v>0.01</v>
      </c>
      <c r="Q75" s="2012"/>
      <c r="R75" s="2012"/>
      <c r="S75" s="2012"/>
      <c r="T75" s="2012"/>
      <c r="U75" s="2012"/>
      <c r="V75" s="2012"/>
    </row>
    <row r="76" spans="1:22" ht="24.75">
      <c r="A76" s="357" t="s">
        <v>396</v>
      </c>
      <c r="B76" s="3336" t="s">
        <v>422</v>
      </c>
      <c r="C76" s="3378"/>
      <c r="D76" s="360">
        <f ca="1">IF(H76="转让取得",C99,C115)</f>
        <v>1563</v>
      </c>
      <c r="E76" s="17" t="s">
        <v>423</v>
      </c>
      <c r="F76" s="53" t="s">
        <v>21</v>
      </c>
      <c r="G76" s="359"/>
      <c r="H76" s="361" t="s">
        <v>424</v>
      </c>
      <c r="I76" s="42"/>
      <c r="J76" s="2019"/>
      <c r="K76" s="3004" t="str">
        <f>IF(项目基本情况!K6="上海银行",IF(K75="",4,K75+1),"")</f>
        <v/>
      </c>
      <c r="L76" s="3317" t="str">
        <f>IF(项目基本情况!K6="上海银行","其他处置费用","")</f>
        <v/>
      </c>
      <c r="M76" s="3318"/>
      <c r="N76" s="1290" t="str">
        <f>IF(项目基本情况!K6="上海银行",N89,"")</f>
        <v/>
      </c>
      <c r="O76" s="3319" t="str">
        <f>IF(项目基本情况!K6="上海银行","包含处置中涉及的律师、诉讼、拍卖、评估等费用","")</f>
        <v/>
      </c>
      <c r="P76" s="3320"/>
      <c r="Q76" s="2012"/>
      <c r="R76" s="2012"/>
      <c r="S76" s="2012"/>
      <c r="T76" s="2012"/>
      <c r="U76" s="2012"/>
      <c r="V76" s="2012"/>
    </row>
    <row r="77" spans="1:22" ht="26.25" thickBot="1">
      <c r="A77" s="3347" t="s">
        <v>426</v>
      </c>
      <c r="B77" s="3348"/>
      <c r="C77" s="3348"/>
      <c r="D77" s="364">
        <f ca="1">IF(H77="非个人房产","——",IF(H77="个人住宅",0,ROUND(D63*I77,0)))</f>
        <v>39</v>
      </c>
      <c r="E77" s="365" t="str">
        <f>IF(H77="非个人房产","——","销售额×税（费）率")</f>
        <v>销售额×税（费）率</v>
      </c>
      <c r="F77" s="366">
        <f>IF(H77="非个人房产","——",IF(H77="个人住宅","免征",I77))</f>
        <v>0.01</v>
      </c>
      <c r="G77" s="982" t="s">
        <v>417</v>
      </c>
      <c r="H77" s="361" t="s">
        <v>2881</v>
      </c>
      <c r="I77" s="367">
        <v>0.01</v>
      </c>
      <c r="J77" s="2019"/>
      <c r="K77" s="3343">
        <f>IF(AND(K75="",K76=""),4,IF(项目基本情况!K6="上海银行",K76+1,K75+1))</f>
        <v>5</v>
      </c>
      <c r="L77" s="3329" t="s">
        <v>2882</v>
      </c>
      <c r="M77" s="3010" t="s">
        <v>421</v>
      </c>
      <c r="N77" s="1296"/>
      <c r="O77" s="1297">
        <f ca="1">SUMIF(N72:N76,"&lt;9e307")</f>
        <v>1811</v>
      </c>
      <c r="P77" s="1298"/>
      <c r="Q77" s="3008">
        <f ca="1">O77/N69</f>
        <v>0.27725045927740355</v>
      </c>
      <c r="R77" s="2012"/>
      <c r="S77" s="2012"/>
      <c r="T77" s="2012"/>
      <c r="U77" s="2012"/>
      <c r="V77" s="2012"/>
    </row>
    <row r="78" spans="1:22" ht="12" customHeight="1">
      <c r="A78" s="1299"/>
      <c r="B78" s="309"/>
      <c r="C78" s="309"/>
      <c r="D78" s="309"/>
      <c r="E78" s="42"/>
      <c r="F78" s="42"/>
      <c r="G78" s="42"/>
      <c r="H78" s="1001"/>
      <c r="I78" s="309"/>
      <c r="J78" s="2019"/>
      <c r="K78" s="3343"/>
      <c r="L78" s="3329"/>
      <c r="M78" s="3010" t="s">
        <v>425</v>
      </c>
      <c r="N78" s="1296"/>
      <c r="O78" s="1297" t="str">
        <f ca="1">NUMBERSTRING(INT(O77*10000),2)&amp;"元整"</f>
        <v>壹仟捌佰壹拾壹万元整</v>
      </c>
      <c r="P78" s="1298"/>
      <c r="Q78" s="2012"/>
      <c r="R78" s="2012"/>
      <c r="S78" s="2012"/>
      <c r="T78" s="2012"/>
      <c r="U78" s="2012"/>
      <c r="V78" s="2012"/>
    </row>
    <row r="79" spans="1:22" ht="13.5" thickBot="1">
      <c r="A79" s="3333" t="s">
        <v>427</v>
      </c>
      <c r="B79" s="3333"/>
      <c r="C79" s="3333"/>
      <c r="D79" s="3333"/>
      <c r="E79" s="3333"/>
      <c r="F79" s="42"/>
      <c r="G79" s="42"/>
      <c r="H79" s="1001"/>
      <c r="I79" s="309"/>
      <c r="J79" s="2019"/>
      <c r="K79" s="3327">
        <f>K77+1</f>
        <v>6</v>
      </c>
      <c r="L79" s="3329" t="s">
        <v>2883</v>
      </c>
      <c r="M79" s="3010" t="s">
        <v>421</v>
      </c>
      <c r="N79" s="1296"/>
      <c r="O79" s="1297">
        <f ca="1">N69-O77</f>
        <v>4721</v>
      </c>
      <c r="P79" s="1298"/>
      <c r="Q79" s="2012"/>
      <c r="R79" s="2012"/>
      <c r="S79" s="2012"/>
      <c r="T79" s="2012"/>
      <c r="U79" s="2012"/>
      <c r="V79" s="2012"/>
    </row>
    <row r="80" spans="1:22" ht="25.5">
      <c r="A80" s="3334" t="s">
        <v>428</v>
      </c>
      <c r="B80" s="3335"/>
      <c r="C80" s="992"/>
      <c r="D80" s="992" t="s">
        <v>429</v>
      </c>
      <c r="E80" s="368" t="s">
        <v>430</v>
      </c>
      <c r="F80" s="42"/>
      <c r="G80" s="42"/>
      <c r="H80" s="1001"/>
      <c r="I80" s="309"/>
      <c r="J80" s="2012"/>
      <c r="K80" s="3328"/>
      <c r="L80" s="3329"/>
      <c r="M80" s="3010" t="s">
        <v>425</v>
      </c>
      <c r="N80" s="1296"/>
      <c r="O80" s="1297" t="str">
        <f ca="1">NUMBERSTRING(INT(O79*10000),2)&amp;"元整"</f>
        <v>肆仟柒佰贰拾壹万元整</v>
      </c>
      <c r="P80" s="1298"/>
      <c r="Q80" s="2012"/>
      <c r="R80" s="2012"/>
      <c r="S80" s="2012"/>
      <c r="T80" s="2012"/>
      <c r="U80" s="2012"/>
      <c r="V80" s="2012"/>
    </row>
    <row r="81" spans="1:26" ht="13.5" thickBot="1">
      <c r="A81" s="379" t="s">
        <v>1823</v>
      </c>
      <c r="B81" s="369" t="s">
        <v>431</v>
      </c>
      <c r="C81" s="370">
        <f ca="1">ROUND((C82+C83)/(1+'数据-取费表'!C42),0)</f>
        <v>3732</v>
      </c>
      <c r="D81" s="371"/>
      <c r="E81" s="372"/>
      <c r="F81" s="42"/>
      <c r="G81" s="42"/>
      <c r="H81" s="1001"/>
      <c r="I81" s="309"/>
      <c r="J81" s="2012"/>
      <c r="K81" s="3004">
        <f>K79+1</f>
        <v>7</v>
      </c>
      <c r="L81" s="3341" t="s">
        <v>2884</v>
      </c>
      <c r="M81" s="3342"/>
      <c r="N81" s="1300"/>
      <c r="O81" s="1301">
        <f ca="1">ROUND(O79*10000/'数据-汇总表'!E3,0)</f>
        <v>1276</v>
      </c>
      <c r="P81" s="1302"/>
      <c r="Q81" s="2012"/>
      <c r="R81" s="2012"/>
      <c r="S81" s="2012"/>
      <c r="T81" s="2012"/>
      <c r="U81" s="2012"/>
      <c r="V81" s="2012"/>
    </row>
    <row r="82" spans="1:26" ht="13.5" thickTop="1">
      <c r="A82" s="373" t="s">
        <v>1824</v>
      </c>
      <c r="B82" s="374" t="s">
        <v>432</v>
      </c>
      <c r="C82" s="375">
        <f ca="1">D63</f>
        <v>3919</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1825</v>
      </c>
      <c r="B83" s="374" t="s">
        <v>433</v>
      </c>
      <c r="C83" s="378">
        <v>0</v>
      </c>
      <c r="D83" s="376"/>
      <c r="E83" s="377"/>
      <c r="F83" s="42"/>
      <c r="G83" s="42"/>
      <c r="H83" s="1001"/>
      <c r="I83" s="309"/>
      <c r="J83" s="2012"/>
      <c r="K83" s="3316" t="s">
        <v>2871</v>
      </c>
      <c r="L83" s="3016" t="s">
        <v>2872</v>
      </c>
      <c r="M83" s="3006">
        <f ca="1">IF(N69&gt;10000,N69*0.5%,IF(AND(N69&gt;1000,N69&lt;=10000),N69*1%,IF(AND(N69&gt;100,N69&lt;=1000),N69*3%,IF(AND(N69&gt;10,N69&lt;=100),N69*5%,N69*8%))))</f>
        <v>65.320000000000007</v>
      </c>
      <c r="N83" s="53">
        <f ca="1">ROUND(M83,1)</f>
        <v>65.3</v>
      </c>
      <c r="O83" s="3009"/>
      <c r="P83" s="2012"/>
      <c r="Q83" s="2012"/>
      <c r="R83" s="2012"/>
      <c r="S83" s="2012"/>
      <c r="T83" s="2012"/>
      <c r="U83" s="2012"/>
      <c r="V83" s="2012"/>
    </row>
    <row r="84" spans="1:26" ht="12.75">
      <c r="A84" s="379" t="s">
        <v>1826</v>
      </c>
      <c r="B84" s="380" t="s">
        <v>434</v>
      </c>
      <c r="C84" s="381">
        <v>2000</v>
      </c>
      <c r="D84" s="382" t="s">
        <v>19</v>
      </c>
      <c r="E84" s="3051" t="s">
        <v>2935</v>
      </c>
      <c r="F84" s="42"/>
      <c r="G84" s="42"/>
      <c r="H84" s="1001"/>
      <c r="I84" s="309"/>
      <c r="J84" s="2012"/>
      <c r="K84" s="3316"/>
      <c r="L84" s="3016" t="s">
        <v>2873</v>
      </c>
      <c r="M84" s="3006">
        <f ca="1">IF(N69&gt;2000,N69*0.5%,IF(AND(N69&gt;1000,N69&lt;=2000),N69*0.6%,IF(AND(N69&gt;500,N69&lt;=1000),N69*0.7%,IF(AND(N69&gt;200,N69&lt;=500),N69*0.8%,IF(AND(N69&gt;100,N69&lt;=200),N69*0.9%,IF(AND(N69&gt;50,N69&lt;=100),N69*1%,IF(AND(N69&gt;20,N69&lt;=50),N69*1.5%,IF(AND(N69&gt;10,N69&lt;=20),N69*2%,IF(AND(N69&gt;1,N69&lt;=10),N69*2.5%)))))))))</f>
        <v>32.660000000000004</v>
      </c>
      <c r="N84" s="53">
        <f t="shared" ref="N84:N85" ca="1" si="2">ROUND(M84,1)</f>
        <v>32.700000000000003</v>
      </c>
      <c r="O84" s="2012" t="s">
        <v>2874</v>
      </c>
      <c r="P84" s="2012"/>
      <c r="Q84" s="2012"/>
      <c r="R84" s="2012"/>
      <c r="S84" s="2012"/>
      <c r="T84" s="2012"/>
      <c r="U84" s="2012"/>
      <c r="V84" s="2012"/>
    </row>
    <row r="85" spans="1:26" ht="12.75">
      <c r="A85" s="379" t="s">
        <v>1827</v>
      </c>
      <c r="B85" s="380" t="s">
        <v>435</v>
      </c>
      <c r="C85" s="383">
        <f ca="1">C81-C84</f>
        <v>1732</v>
      </c>
      <c r="D85" s="376" t="s">
        <v>19</v>
      </c>
      <c r="E85" s="377"/>
      <c r="F85" s="42"/>
      <c r="G85" s="42"/>
      <c r="H85" s="1001"/>
      <c r="I85" s="309"/>
      <c r="J85" s="2012"/>
      <c r="K85" s="3316"/>
      <c r="L85" s="3016" t="s">
        <v>2875</v>
      </c>
      <c r="M85" s="3006">
        <f ca="1">IF(N69&gt;1000,N69*0.1%,IF(AND(N69&gt;500,N69&lt;=1000),N69*0.5%,IF(AND(N69&gt;50,N69&lt;=500),N69*1%,IF(AND(N69&gt;1,N69&lt;=50),N69*1.5%))))</f>
        <v>6.532</v>
      </c>
      <c r="N85" s="53">
        <f t="shared" ca="1" si="2"/>
        <v>6.5</v>
      </c>
      <c r="O85" s="2012" t="s">
        <v>2874</v>
      </c>
      <c r="P85" s="2012"/>
      <c r="Q85" s="2012"/>
      <c r="R85" s="2012"/>
      <c r="S85" s="2012"/>
      <c r="T85" s="2012"/>
      <c r="U85" s="2012"/>
      <c r="V85" s="2012"/>
    </row>
    <row r="86" spans="1:26" ht="13.5" thickBot="1">
      <c r="A86" s="384" t="s">
        <v>1828</v>
      </c>
      <c r="B86" s="385" t="s">
        <v>436</v>
      </c>
      <c r="C86" s="386">
        <f ca="1">IF(C85&lt;=0,0,ROUND(C85*D86,0))</f>
        <v>97</v>
      </c>
      <c r="D86" s="387">
        <f>'数据-取费表'!B41</f>
        <v>5.6000000000000001E-2</v>
      </c>
      <c r="E86" s="388"/>
      <c r="F86" s="42"/>
      <c r="G86" s="42"/>
      <c r="H86" s="1001"/>
      <c r="I86" s="309"/>
      <c r="J86" s="2012"/>
      <c r="K86" s="3316"/>
      <c r="L86" s="3016" t="s">
        <v>2876</v>
      </c>
      <c r="M86" s="3006">
        <f ca="1">N69*0.5%</f>
        <v>32.660000000000004</v>
      </c>
      <c r="N86" s="53">
        <f ca="1">IF(M86&gt;0.5,0.5,ROUND(M86,0))</f>
        <v>0.5</v>
      </c>
      <c r="O86" s="2012" t="s">
        <v>2877</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16"/>
      <c r="L87" s="3016" t="s">
        <v>2878</v>
      </c>
      <c r="M87" s="3006">
        <f ca="1">IF(N69&gt;=10000,(8.25+(N69-10000)*0.01%),IF(AND(N69&gt;=8000,N69&lt;10000),(7.85+(N69-8000)*0.02%),IF(AND(N69&gt;=5000,N69&lt;8000),(6.65+(N69-5000)*0.04%),IF(AND(N69&gt;=2000,N69&lt;5000),(4.25+(PN69-2000)*0.08%),IF(AND(N69&gt;=1000,N69&lt;2000),(2.75+(N69-1000)*0.15%),IF(AND(N69&gt;=100,N69&lt;1000),(0.5+(N69-100)*0.25%),IF(AND(N69&gt;0,N69&lt;100),N69*0.5%)))))))</f>
        <v>7.2628000000000004</v>
      </c>
      <c r="N87" s="53">
        <f ca="1">ROUND(M87*0.9,1)</f>
        <v>6.5</v>
      </c>
      <c r="O87" s="3009"/>
      <c r="P87" s="309"/>
      <c r="Q87" s="2012"/>
      <c r="R87" s="2012"/>
      <c r="S87" s="2012"/>
      <c r="T87" s="2012"/>
      <c r="U87" s="2012"/>
      <c r="V87" s="2012"/>
      <c r="W87" s="290"/>
      <c r="X87" s="290"/>
      <c r="Y87" s="290"/>
      <c r="Z87" s="290"/>
    </row>
    <row r="88" spans="1:26" s="1308" customFormat="1" ht="15" thickBot="1">
      <c r="A88" s="3370" t="s">
        <v>437</v>
      </c>
      <c r="B88" s="3371"/>
      <c r="C88" s="3371"/>
      <c r="D88" s="3371"/>
      <c r="E88" s="3371"/>
      <c r="F88" s="3371"/>
      <c r="G88" s="3371"/>
      <c r="H88" s="3371"/>
      <c r="I88" s="1309"/>
      <c r="J88" s="2020"/>
      <c r="K88" s="3316"/>
      <c r="L88" s="3016" t="s">
        <v>2879</v>
      </c>
      <c r="M88" s="3006">
        <f ca="1">IF(N69&gt;10000,N69*0.5%,IF(AND(N69&gt;5000,N69&lt;=10000),N69*1%,IF(AND(N69&gt;1000,N69&lt;=5000),N69*2%,IF(AND(N69&gt;200,N69&lt;=1000),N69*3%,N69*5%))))</f>
        <v>65.320000000000007</v>
      </c>
      <c r="N88" s="53">
        <f ca="1">ROUND(M88,1)</f>
        <v>65.3</v>
      </c>
      <c r="O88" s="3009"/>
      <c r="P88" s="11"/>
      <c r="Q88" s="2017"/>
      <c r="R88" s="2017"/>
      <c r="S88" s="2017"/>
      <c r="T88" s="2017"/>
      <c r="U88" s="2017"/>
      <c r="V88" s="2017"/>
      <c r="W88" s="2021"/>
      <c r="X88" s="2021"/>
      <c r="Y88" s="2021"/>
      <c r="Z88" s="2021"/>
    </row>
    <row r="89" spans="1:26" s="1308" customFormat="1" ht="14.25">
      <c r="A89" s="3334" t="s">
        <v>428</v>
      </c>
      <c r="B89" s="3335"/>
      <c r="C89" s="992"/>
      <c r="D89" s="992" t="s">
        <v>429</v>
      </c>
      <c r="E89" s="389" t="s">
        <v>438</v>
      </c>
      <c r="F89" s="390"/>
      <c r="G89" s="390"/>
      <c r="H89" s="391"/>
      <c r="I89" s="1310"/>
      <c r="J89" s="2022"/>
      <c r="K89" s="3316"/>
      <c r="L89" s="3016" t="s">
        <v>27</v>
      </c>
      <c r="M89" s="3007"/>
      <c r="N89" s="53">
        <f ca="1">ROUND(SUM(N83:N88),0)</f>
        <v>177</v>
      </c>
      <c r="O89" s="3017">
        <f ca="1">N89/N69</f>
        <v>2.7097366809552971E-2</v>
      </c>
      <c r="P89" s="2017"/>
      <c r="Q89" s="2017"/>
      <c r="R89" s="2017"/>
      <c r="S89" s="2017"/>
      <c r="T89" s="2017"/>
      <c r="U89" s="2017"/>
      <c r="V89" s="2017"/>
      <c r="W89" s="2021"/>
      <c r="X89" s="2021"/>
      <c r="Y89" s="2021"/>
      <c r="Z89" s="2021"/>
    </row>
    <row r="90" spans="1:26" s="1308" customFormat="1" ht="14.25">
      <c r="A90" s="379" t="s">
        <v>1823</v>
      </c>
      <c r="B90" s="380" t="s">
        <v>439</v>
      </c>
      <c r="C90" s="383">
        <f ca="1">ROUND(D63/(1+'数据-取费表'!C42),0)</f>
        <v>3732</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1829</v>
      </c>
      <c r="B91" s="346" t="s">
        <v>440</v>
      </c>
      <c r="C91" s="383">
        <f ca="1">C92+C96</f>
        <v>2583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367" t="s">
        <v>447</v>
      </c>
      <c r="F94" s="3368"/>
      <c r="G94" s="3368"/>
      <c r="H94" s="336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22</v>
      </c>
      <c r="D96" s="404">
        <f>'数据-取费表'!B43</f>
        <v>6.000000000000001E-3</v>
      </c>
      <c r="E96" s="3357" t="s">
        <v>2426</v>
      </c>
      <c r="F96" s="3358"/>
      <c r="G96" s="3358"/>
      <c r="H96" s="3359"/>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0" t="s">
        <v>451</v>
      </c>
      <c r="C97" s="383">
        <f ca="1">C90-C91</f>
        <v>1149</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0" t="s">
        <v>452</v>
      </c>
      <c r="C98" s="405">
        <f ca="1">IF(C97&lt;=0,0,C97/C91)</f>
        <v>0.4448315911730546</v>
      </c>
      <c r="D98" s="376"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5" t="s">
        <v>453</v>
      </c>
      <c r="C99" s="406">
        <f ca="1">ROUND(IF(C97&lt;=0,0,IF(C98&gt;=200%,C97*60%-C91*35%,IF(C98&gt;=100%,C97*50%-C91*15%,IF(C98&gt;=50%,C97*40%-C91*5%,IF(C98&lt;50%,C97*30%,0))))),0)</f>
        <v>345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0" t="s">
        <v>454</v>
      </c>
      <c r="B101" s="3371"/>
      <c r="C101" s="3371"/>
      <c r="D101" s="3371"/>
      <c r="E101" s="3371"/>
      <c r="F101" s="3371"/>
      <c r="G101" s="3371"/>
      <c r="H101" s="3371"/>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34" t="s">
        <v>428</v>
      </c>
      <c r="B102" s="3335"/>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1823</v>
      </c>
      <c r="B103" s="380" t="s">
        <v>439</v>
      </c>
      <c r="C103" s="383">
        <f ca="1">ROUND(D63/(1+'数据-取费表'!C42),0)</f>
        <v>3732</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1829</v>
      </c>
      <c r="B104" s="346" t="s">
        <v>440</v>
      </c>
      <c r="C104" s="383">
        <f ca="1">IF(H106="仅含出让金",C105+C108+C109+C110+C111+C112,C105+C109+C110+C111+C112)</f>
        <v>712</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1830</v>
      </c>
      <c r="B105" s="374" t="s">
        <v>455</v>
      </c>
      <c r="C105" s="403">
        <f>C106+C107</f>
        <v>572</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1831</v>
      </c>
      <c r="B106" s="374" t="s">
        <v>456</v>
      </c>
      <c r="C106" s="414">
        <v>555</v>
      </c>
      <c r="D106" s="404"/>
      <c r="E106" s="415" t="s">
        <v>457</v>
      </c>
      <c r="F106" s="984"/>
      <c r="G106" s="416" t="s">
        <v>458</v>
      </c>
      <c r="H106" s="417"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55</v>
      </c>
      <c r="D109" s="404"/>
      <c r="E109" s="3360" t="s">
        <v>462</v>
      </c>
      <c r="F109" s="3358"/>
      <c r="G109" s="3358"/>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63</v>
      </c>
      <c r="D110" s="404">
        <v>0.1</v>
      </c>
      <c r="E110" s="3360" t="s">
        <v>464</v>
      </c>
      <c r="F110" s="3358"/>
      <c r="G110" s="3358"/>
      <c r="H110" s="3359"/>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22</v>
      </c>
      <c r="D111" s="404">
        <f>'数据-取费表'!B43</f>
        <v>6.000000000000001E-3</v>
      </c>
      <c r="E111" s="3357" t="s">
        <v>2426</v>
      </c>
      <c r="F111" s="3358"/>
      <c r="G111" s="3358"/>
      <c r="H111" s="3359"/>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60" t="s">
        <v>2451</v>
      </c>
      <c r="F112" s="3358"/>
      <c r="G112" s="3358"/>
      <c r="H112" s="3359"/>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0" t="s">
        <v>451</v>
      </c>
      <c r="C113" s="383">
        <f ca="1">ROUND(C103-C104,0)</f>
        <v>3020</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0" t="s">
        <v>452</v>
      </c>
      <c r="C114" s="405">
        <f ca="1">IF(C113&lt;=0,0,C113/C104)</f>
        <v>4.2415730337078648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5" t="s">
        <v>453</v>
      </c>
      <c r="C115" s="406">
        <f ca="1">ROUND(IF(C113&lt;=0,0,IF(C114&gt;=200%,C113*60%-C104*35%,IF(C114&gt;=100%,C113*50%-C104*15%,IF(C114&gt;=50%,C113*40%-C104*5%,IF(C114&lt;50%,C113*30%,0))))),0)</f>
        <v>1563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22" t="str">
        <f>项目基本情况!B1</f>
        <v>云南省玉溪市澄江县龙街镇立昌村委会（不动产单元号：530422002006GB00005W00000000号及530422002006GB00006W00000000号）共两宗城镇住宅用地出让国有建设用地使用权抵押价格预评估</v>
      </c>
      <c r="C37" s="3222"/>
      <c r="D37" s="3222"/>
      <c r="E37" s="3222"/>
      <c r="F37" s="3222"/>
      <c r="G37" s="3222"/>
      <c r="H37" s="3222"/>
      <c r="I37" s="3222"/>
    </row>
    <row r="38" spans="1:9">
      <c r="A38" s="1640"/>
      <c r="B38" s="1640"/>
    </row>
    <row r="39" spans="1:9">
      <c r="A39" s="1638" t="s">
        <v>1901</v>
      </c>
      <c r="B39" s="1638" t="s">
        <v>2044</v>
      </c>
    </row>
    <row r="40" spans="1:9">
      <c r="A40" s="1638"/>
      <c r="B40" s="1638" t="str">
        <f>项目基本情况!B5</f>
        <v>中信信托有限责任公司</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466</v>
      </c>
      <c r="B1" s="2763"/>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2649</v>
      </c>
      <c r="B6" s="431"/>
      <c r="C6" s="1607">
        <f>SUM(C10:K10)</f>
        <v>0</v>
      </c>
      <c r="D6" s="2093"/>
      <c r="E6" s="2093"/>
      <c r="F6" s="2093"/>
      <c r="G6" s="2093"/>
      <c r="H6" s="2093"/>
      <c r="I6" s="2093"/>
      <c r="J6" s="2093"/>
      <c r="K6" s="2094"/>
    </row>
    <row r="7" spans="1:41" s="2097" customFormat="1" ht="1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15726</v>
      </c>
      <c r="D13" s="449"/>
      <c r="E13" s="363"/>
      <c r="F13" s="450"/>
      <c r="G13" s="442"/>
      <c r="H13" s="445"/>
      <c r="I13" s="445"/>
      <c r="J13" s="445"/>
      <c r="K13" s="446"/>
    </row>
    <row r="14" spans="1:41" s="2100" customFormat="1" ht="13.5" customHeight="1">
      <c r="A14" s="1617" t="s">
        <v>1849</v>
      </c>
      <c r="B14" s="447" t="s">
        <v>480</v>
      </c>
      <c r="C14" s="53">
        <f ca="1">ROUND(C13*F14,0)</f>
        <v>786</v>
      </c>
      <c r="D14" s="449"/>
      <c r="E14" s="363"/>
      <c r="F14" s="451">
        <f>'数据-取费表'!B33</f>
        <v>0.05</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1573</v>
      </c>
      <c r="D15" s="449"/>
      <c r="E15" s="363"/>
      <c r="F15" s="451">
        <f>'数据-取费表'!B34</f>
        <v>0.1</v>
      </c>
      <c r="G15" s="442" t="s">
        <v>502</v>
      </c>
      <c r="H15" s="445"/>
      <c r="I15" s="445"/>
      <c r="J15" s="445"/>
      <c r="K15" s="446"/>
    </row>
    <row r="16" spans="1:41" s="2101" customFormat="1" ht="13.5" customHeight="1">
      <c r="A16" s="1617" t="s">
        <v>1851</v>
      </c>
      <c r="B16" s="447" t="s">
        <v>484</v>
      </c>
      <c r="C16" s="53">
        <f ca="1">ROUND(D16*E16/10000,0)</f>
        <v>740</v>
      </c>
      <c r="D16" s="449">
        <f ca="1">IF(B1="",'数据-汇总表'!E3,INDIRECT("'数据-取费表'!K"&amp;$K$1)+INDIRECT("'数据-取费表'!S"&amp;$K$1))</f>
        <v>37003</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2595</v>
      </c>
      <c r="D17" s="453"/>
      <c r="E17" s="452"/>
      <c r="F17" s="454">
        <f>'数据-取费表'!B36</f>
        <v>0.16500000000000001</v>
      </c>
      <c r="G17" s="442" t="s">
        <v>502</v>
      </c>
      <c r="H17" s="455"/>
      <c r="I17" s="455"/>
      <c r="J17" s="455"/>
      <c r="K17" s="456"/>
    </row>
    <row r="18" spans="1:14" s="2103" customFormat="1" ht="13.5" customHeight="1">
      <c r="A18" s="1618" t="s">
        <v>1853</v>
      </c>
      <c r="B18" s="457" t="s">
        <v>487</v>
      </c>
      <c r="C18" s="458">
        <f ca="1">SUM(C13:C17)</f>
        <v>21420</v>
      </c>
      <c r="D18" s="459"/>
      <c r="E18" s="460"/>
      <c r="F18" s="460"/>
      <c r="G18" s="1321" t="s">
        <v>2430</v>
      </c>
      <c r="H18" s="445"/>
      <c r="I18" s="445"/>
      <c r="J18" s="445"/>
      <c r="K18" s="446"/>
    </row>
    <row r="19" spans="1:14" s="2103" customFormat="1" ht="13.5" customHeight="1">
      <c r="A19" s="1618" t="s">
        <v>1854</v>
      </c>
      <c r="B19" s="457" t="s">
        <v>493</v>
      </c>
      <c r="C19" s="458">
        <f ca="1">ROUND(C18*F19,0)</f>
        <v>428</v>
      </c>
      <c r="D19" s="460"/>
      <c r="E19" s="460"/>
      <c r="F19" s="464">
        <f>'数据-取费表'!B37</f>
        <v>0.02</v>
      </c>
      <c r="G19" s="442" t="s">
        <v>503</v>
      </c>
      <c r="H19" s="445"/>
      <c r="I19" s="445"/>
      <c r="J19" s="445"/>
      <c r="K19" s="446"/>
      <c r="L19" s="2105"/>
      <c r="M19" s="2105"/>
      <c r="N19" s="2105"/>
    </row>
    <row r="20" spans="1:14" s="2103" customFormat="1" ht="13.5" customHeight="1">
      <c r="A20" s="1618" t="s">
        <v>1855</v>
      </c>
      <c r="B20" s="457" t="s">
        <v>504</v>
      </c>
      <c r="C20" s="2981">
        <f>F20</f>
        <v>0.03</v>
      </c>
      <c r="D20" s="467" t="s">
        <v>505</v>
      </c>
      <c r="E20" s="467"/>
      <c r="F20" s="484">
        <f>'数据-取费表'!B38</f>
        <v>0.03</v>
      </c>
      <c r="G20" s="1321" t="s">
        <v>506</v>
      </c>
      <c r="H20" s="445"/>
      <c r="I20" s="445"/>
      <c r="J20" s="445"/>
      <c r="K20" s="446"/>
      <c r="L20" s="2105"/>
      <c r="M20" s="2105"/>
      <c r="N20" s="2105"/>
    </row>
    <row r="21" spans="1:14" s="2105" customFormat="1" ht="13.5" customHeight="1">
      <c r="A21" s="1618" t="s">
        <v>1858</v>
      </c>
      <c r="B21" s="459" t="s">
        <v>494</v>
      </c>
      <c r="C21" s="468">
        <f ca="1">C22</f>
        <v>1305</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2452</v>
      </c>
    </row>
    <row r="22" spans="1:14" s="2104" customFormat="1" ht="13.5" customHeight="1">
      <c r="A22" s="1617" t="s">
        <v>1848</v>
      </c>
      <c r="B22" s="1322" t="s">
        <v>2433</v>
      </c>
      <c r="C22" s="485">
        <f ca="1">ROUND(IF('数据-取费表'!B22&lt;=1,(C18+C19)*F21*'数据-取费表'!B20/2,(C18+C19)*(POWER((1+F21),'数据-取费表'!B20/2)-1)),0)</f>
        <v>1305</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1.8E-3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2829</v>
      </c>
      <c r="C24" s="476">
        <f ca="1">C25</f>
        <v>6554</v>
      </c>
      <c r="D24" s="487">
        <f ca="1">C26</f>
        <v>8.9999999999999993E-3</v>
      </c>
      <c r="E24" s="467" t="s">
        <v>507</v>
      </c>
      <c r="F24" s="477">
        <f ca="1">IF(B1="",'数据-取费表'!Q16,INDIRECT("'数据-取费表'!q"&amp;$K$1))</f>
        <v>0.3</v>
      </c>
      <c r="G24" s="442"/>
      <c r="H24" s="445"/>
      <c r="I24" s="445"/>
      <c r="J24" s="445"/>
      <c r="K24" s="446"/>
    </row>
    <row r="25" spans="1:14" s="2104" customFormat="1" ht="13.5" customHeight="1">
      <c r="A25" s="1617" t="s">
        <v>1848</v>
      </c>
      <c r="B25" s="1322" t="s">
        <v>2434</v>
      </c>
      <c r="C25" s="488">
        <f ca="1">ROUND((C18+C19)*F24,0)</f>
        <v>6554</v>
      </c>
      <c r="D25" s="470"/>
      <c r="E25" s="471"/>
      <c r="F25" s="478"/>
      <c r="G25" s="1320" t="s">
        <v>2431</v>
      </c>
      <c r="H25" s="455"/>
      <c r="I25" s="455"/>
      <c r="J25" s="455"/>
      <c r="K25" s="456"/>
    </row>
    <row r="26" spans="1:14" s="2104" customFormat="1" ht="13.5" customHeight="1">
      <c r="A26" s="1617" t="s">
        <v>1849</v>
      </c>
      <c r="B26" s="1322" t="s">
        <v>509</v>
      </c>
      <c r="C26" s="489">
        <f ca="1">ROUND(F20*F24,4)</f>
        <v>8.9999999999999993E-3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2827</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32793</v>
      </c>
      <c r="D28" s="475"/>
      <c r="E28" s="467"/>
      <c r="F28" s="469"/>
      <c r="G28" s="1321" t="s">
        <v>2432</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413" t="s">
        <v>522</v>
      </c>
      <c r="D6" s="3414"/>
      <c r="E6" s="3415" t="s">
        <v>523</v>
      </c>
      <c r="F6" s="3416"/>
      <c r="G6" s="3413" t="s">
        <v>524</v>
      </c>
      <c r="H6" s="3414"/>
      <c r="I6" s="3413" t="s">
        <v>525</v>
      </c>
      <c r="J6" s="3414"/>
      <c r="K6" s="512" t="s">
        <v>526</v>
      </c>
      <c r="L6" s="2117"/>
      <c r="M6" s="2118"/>
      <c r="N6" s="2118"/>
      <c r="O6" s="2118"/>
      <c r="P6" s="3417" t="s">
        <v>527</v>
      </c>
      <c r="Q6" s="3418"/>
      <c r="R6" s="3423" t="s">
        <v>523</v>
      </c>
      <c r="S6" s="3424"/>
      <c r="T6" s="3423" t="s">
        <v>524</v>
      </c>
      <c r="U6" s="3424"/>
      <c r="V6" s="3403" t="s">
        <v>525</v>
      </c>
      <c r="W6" s="3403"/>
      <c r="X6" s="1552"/>
      <c r="Y6" s="3423" t="s">
        <v>527</v>
      </c>
      <c r="Z6" s="3424"/>
      <c r="AA6" s="3410" t="s">
        <v>523</v>
      </c>
      <c r="AB6" s="3411" t="s">
        <v>524</v>
      </c>
      <c r="AC6" s="3410" t="s">
        <v>525</v>
      </c>
    </row>
    <row r="7" spans="1:29" ht="15">
      <c r="A7" s="513"/>
      <c r="B7" s="514"/>
      <c r="C7" s="3431" t="s">
        <v>2924</v>
      </c>
      <c r="D7" s="3432"/>
      <c r="E7" s="3429" t="s">
        <v>2925</v>
      </c>
      <c r="F7" s="3430"/>
      <c r="G7" s="3431" t="s">
        <v>2926</v>
      </c>
      <c r="H7" s="3432"/>
      <c r="I7" s="3431" t="s">
        <v>2927</v>
      </c>
      <c r="J7" s="3432"/>
      <c r="K7" s="512"/>
      <c r="L7" s="2117"/>
      <c r="M7" s="2118"/>
      <c r="N7" s="2118"/>
      <c r="O7" s="2118"/>
      <c r="P7" s="3419"/>
      <c r="Q7" s="3420"/>
      <c r="R7" s="3425"/>
      <c r="S7" s="3426"/>
      <c r="T7" s="3425"/>
      <c r="U7" s="3426"/>
      <c r="V7" s="3403"/>
      <c r="W7" s="3403"/>
      <c r="X7" s="1552"/>
      <c r="Y7" s="3425"/>
      <c r="Z7" s="3426"/>
      <c r="AA7" s="3411"/>
      <c r="AB7" s="3411"/>
      <c r="AC7" s="3411"/>
    </row>
    <row r="8" spans="1:29" ht="15.75" thickBot="1">
      <c r="A8" s="515"/>
      <c r="B8" s="516"/>
      <c r="C8" s="3433" t="s">
        <v>2928</v>
      </c>
      <c r="D8" s="3434"/>
      <c r="E8" s="3436" t="s">
        <v>2928</v>
      </c>
      <c r="F8" s="3437"/>
      <c r="G8" s="3433" t="s">
        <v>2928</v>
      </c>
      <c r="H8" s="3434"/>
      <c r="I8" s="3433" t="s">
        <v>2928</v>
      </c>
      <c r="J8" s="3434"/>
      <c r="K8" s="512" t="s">
        <v>528</v>
      </c>
      <c r="L8" s="2117"/>
      <c r="M8" s="2118"/>
      <c r="N8" s="2118"/>
      <c r="O8" s="2118"/>
      <c r="P8" s="3421"/>
      <c r="Q8" s="3422"/>
      <c r="R8" s="3425"/>
      <c r="S8" s="3426"/>
      <c r="T8" s="3427"/>
      <c r="U8" s="3428"/>
      <c r="V8" s="3403"/>
      <c r="W8" s="3403"/>
      <c r="X8" s="1552"/>
      <c r="Y8" s="3427"/>
      <c r="Z8" s="3428"/>
      <c r="AA8" s="3412"/>
      <c r="AB8" s="3412"/>
      <c r="AC8" s="3412"/>
    </row>
    <row r="9" spans="1:29" s="1214" customFormat="1" ht="15.75" thickBot="1">
      <c r="A9" s="2866"/>
      <c r="B9" s="2873" t="s">
        <v>529</v>
      </c>
      <c r="C9" s="517">
        <f>'数据-取费表'!B2</f>
        <v>43571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408" t="s">
        <v>530</v>
      </c>
      <c r="Q9" s="3435"/>
      <c r="R9" s="1553" t="s">
        <v>8</v>
      </c>
      <c r="S9" s="1554">
        <f t="shared" ref="S9:S17" si="0">F9</f>
        <v>0</v>
      </c>
      <c r="T9" s="1553" t="s">
        <v>8</v>
      </c>
      <c r="U9" s="1554">
        <f t="shared" ref="U9:U17" si="1">H9</f>
        <v>0</v>
      </c>
      <c r="V9" s="1553" t="s">
        <v>8</v>
      </c>
      <c r="W9" s="1554">
        <f t="shared" ref="W9:W17" si="2">J9</f>
        <v>0</v>
      </c>
      <c r="X9" s="1555"/>
      <c r="Y9" s="3408" t="s">
        <v>530</v>
      </c>
      <c r="Z9" s="3409"/>
      <c r="AA9" s="1556" t="e">
        <f>D9/F9</f>
        <v>#DIV/0!</v>
      </c>
      <c r="AB9" s="1556" t="e">
        <f>D9/H9</f>
        <v>#DIV/0!</v>
      </c>
      <c r="AC9" s="1556" t="e">
        <f>D9/J9</f>
        <v>#DIV/0!</v>
      </c>
    </row>
    <row r="10" spans="1:29" s="1214" customFormat="1" ht="15.75"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408" t="s">
        <v>533</v>
      </c>
      <c r="Q10" s="3409"/>
      <c r="R10" s="1553" t="s">
        <v>8</v>
      </c>
      <c r="S10" s="1554">
        <f t="shared" si="0"/>
        <v>0</v>
      </c>
      <c r="T10" s="1553" t="s">
        <v>8</v>
      </c>
      <c r="U10" s="1554">
        <f t="shared" si="1"/>
        <v>0</v>
      </c>
      <c r="V10" s="1553" t="s">
        <v>8</v>
      </c>
      <c r="W10" s="1554">
        <f t="shared" si="2"/>
        <v>0</v>
      </c>
      <c r="X10" s="1555"/>
      <c r="Y10" s="3408" t="s">
        <v>533</v>
      </c>
      <c r="Z10" s="3409"/>
      <c r="AA10" s="1556" t="e">
        <f t="shared" ref="AA10:AA42" si="3">D10/F10</f>
        <v>#DIV/0!</v>
      </c>
      <c r="AB10" s="1556" t="e">
        <f t="shared" ref="AB10:AB42" si="4">D10/H10</f>
        <v>#DIV/0!</v>
      </c>
      <c r="AC10" s="1556" t="e">
        <f t="shared" ref="AC10:AC42" si="5">D10/J10</f>
        <v>#DIV/0!</v>
      </c>
    </row>
    <row r="11" spans="1:29" s="1214" customFormat="1" ht="15">
      <c r="A11" s="2868"/>
      <c r="B11" s="2875" t="s">
        <v>2753</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401" t="s">
        <v>535</v>
      </c>
      <c r="Q11" s="1145" t="str">
        <f t="shared" ref="Q11:Q17" si="6">B11</f>
        <v>用途</v>
      </c>
      <c r="R11" s="1553" t="s">
        <v>8</v>
      </c>
      <c r="S11" s="1554">
        <f t="shared" si="0"/>
        <v>100</v>
      </c>
      <c r="T11" s="1553" t="s">
        <v>8</v>
      </c>
      <c r="U11" s="1554">
        <f t="shared" si="1"/>
        <v>100</v>
      </c>
      <c r="V11" s="1553" t="s">
        <v>8</v>
      </c>
      <c r="W11" s="1554">
        <f t="shared" si="2"/>
        <v>100</v>
      </c>
      <c r="X11" s="1555"/>
      <c r="Y11" s="3366" t="s">
        <v>536</v>
      </c>
      <c r="Z11" s="1144" t="str">
        <f t="shared" ref="Z11:Z17" si="7">Q11</f>
        <v>用途</v>
      </c>
      <c r="AA11" s="1556">
        <f t="shared" si="3"/>
        <v>1</v>
      </c>
      <c r="AB11" s="1556">
        <f t="shared" si="4"/>
        <v>1</v>
      </c>
      <c r="AC11" s="1556">
        <f t="shared" si="5"/>
        <v>1</v>
      </c>
    </row>
    <row r="12" spans="1:29" s="1332" customFormat="1" ht="27">
      <c r="A12" s="2869"/>
      <c r="B12" s="2874" t="s">
        <v>2754</v>
      </c>
      <c r="C12" s="526"/>
      <c r="D12" s="253">
        <v>100</v>
      </c>
      <c r="E12" s="526"/>
      <c r="F12" s="253">
        <f>ROUND(100/'数据-取费表'!G16,0)</f>
        <v>100</v>
      </c>
      <c r="G12" s="526"/>
      <c r="H12" s="253">
        <f>ROUND(100/'数据-取费表'!G16,0)</f>
        <v>100</v>
      </c>
      <c r="I12" s="526"/>
      <c r="J12" s="253">
        <f>ROUND(100/'数据-取费表'!G16,0)</f>
        <v>100</v>
      </c>
      <c r="K12" s="529"/>
      <c r="L12" s="2122"/>
      <c r="M12" s="2162"/>
      <c r="N12" s="2162"/>
      <c r="O12" s="2123"/>
      <c r="P12" s="3401"/>
      <c r="Q12" s="1145" t="str">
        <f t="shared" si="6"/>
        <v>土地使用年限（年）</v>
      </c>
      <c r="R12" s="1553" t="s">
        <v>8</v>
      </c>
      <c r="S12" s="1554">
        <f t="shared" si="0"/>
        <v>100</v>
      </c>
      <c r="T12" s="1553" t="s">
        <v>8</v>
      </c>
      <c r="U12" s="1554">
        <f t="shared" si="1"/>
        <v>100</v>
      </c>
      <c r="V12" s="1553" t="s">
        <v>8</v>
      </c>
      <c r="W12" s="1554">
        <f t="shared" si="2"/>
        <v>100</v>
      </c>
      <c r="X12" s="1555"/>
      <c r="Y12" s="3366"/>
      <c r="Z12" s="1144" t="str">
        <f t="shared" si="7"/>
        <v>土地使用年限（年）</v>
      </c>
      <c r="AA12" s="1556">
        <f t="shared" si="3"/>
        <v>1</v>
      </c>
      <c r="AB12" s="1556">
        <f t="shared" si="4"/>
        <v>1</v>
      </c>
      <c r="AC12" s="1556">
        <f t="shared" si="5"/>
        <v>1</v>
      </c>
    </row>
    <row r="13" spans="1:29" ht="15">
      <c r="A13" s="2870"/>
      <c r="B13" s="2874"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401"/>
      <c r="Q13" s="1145" t="str">
        <f t="shared" si="6"/>
        <v>容积率</v>
      </c>
      <c r="R13" s="1553" t="s">
        <v>8</v>
      </c>
      <c r="S13" s="1554" t="e">
        <f t="shared" si="0"/>
        <v>#N/A</v>
      </c>
      <c r="T13" s="1553" t="s">
        <v>8</v>
      </c>
      <c r="U13" s="1554" t="e">
        <f t="shared" si="1"/>
        <v>#N/A</v>
      </c>
      <c r="V13" s="1553" t="s">
        <v>8</v>
      </c>
      <c r="W13" s="1554" t="e">
        <f t="shared" si="2"/>
        <v>#N/A</v>
      </c>
      <c r="X13" s="1555"/>
      <c r="Y13" s="3366"/>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401"/>
      <c r="Q14" s="1145">
        <f t="shared" si="6"/>
        <v>111</v>
      </c>
      <c r="R14" s="1553" t="s">
        <v>8</v>
      </c>
      <c r="S14" s="1554">
        <f t="shared" si="0"/>
        <v>100</v>
      </c>
      <c r="T14" s="1553" t="s">
        <v>8</v>
      </c>
      <c r="U14" s="1554">
        <f t="shared" si="1"/>
        <v>100</v>
      </c>
      <c r="V14" s="1553" t="s">
        <v>8</v>
      </c>
      <c r="W14" s="1554">
        <f t="shared" si="2"/>
        <v>100</v>
      </c>
      <c r="X14" s="1555"/>
      <c r="Y14" s="3366"/>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401"/>
      <c r="Q15" s="1145">
        <f t="shared" si="6"/>
        <v>111</v>
      </c>
      <c r="R15" s="1553" t="s">
        <v>8</v>
      </c>
      <c r="S15" s="1554">
        <f t="shared" si="0"/>
        <v>100</v>
      </c>
      <c r="T15" s="1553" t="s">
        <v>8</v>
      </c>
      <c r="U15" s="1554">
        <f t="shared" si="1"/>
        <v>100</v>
      </c>
      <c r="V15" s="1553" t="s">
        <v>8</v>
      </c>
      <c r="W15" s="1554">
        <f t="shared" si="2"/>
        <v>100</v>
      </c>
      <c r="X15" s="1555"/>
      <c r="Y15" s="3366"/>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401"/>
      <c r="Q16" s="1145">
        <f t="shared" si="6"/>
        <v>111</v>
      </c>
      <c r="R16" s="1553" t="s">
        <v>8</v>
      </c>
      <c r="S16" s="1554">
        <f t="shared" si="0"/>
        <v>100</v>
      </c>
      <c r="T16" s="1553" t="s">
        <v>8</v>
      </c>
      <c r="U16" s="1554">
        <f t="shared" si="1"/>
        <v>100</v>
      </c>
      <c r="V16" s="1553" t="s">
        <v>8</v>
      </c>
      <c r="W16" s="1554">
        <f t="shared" si="2"/>
        <v>100</v>
      </c>
      <c r="X16" s="1555"/>
      <c r="Y16" s="3366"/>
      <c r="Z16" s="1144">
        <f t="shared" si="7"/>
        <v>111</v>
      </c>
      <c r="AA16" s="1556">
        <f t="shared" si="3"/>
        <v>1</v>
      </c>
      <c r="AB16" s="1556">
        <f t="shared" si="4"/>
        <v>1</v>
      </c>
      <c r="AC16" s="1556">
        <f t="shared" si="5"/>
        <v>1</v>
      </c>
    </row>
    <row r="17" spans="1:29" ht="57">
      <c r="A17" s="2864" t="s">
        <v>2751</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04" t="s">
        <v>540</v>
      </c>
      <c r="Q17" s="1557" t="str">
        <f t="shared" si="6"/>
        <v>产业集聚程度</v>
      </c>
      <c r="R17" s="1558" t="s">
        <v>8</v>
      </c>
      <c r="S17" s="1559">
        <f t="shared" si="0"/>
        <v>100</v>
      </c>
      <c r="T17" s="1558" t="s">
        <v>8</v>
      </c>
      <c r="U17" s="1559">
        <f t="shared" si="1"/>
        <v>100</v>
      </c>
      <c r="V17" s="1558" t="s">
        <v>8</v>
      </c>
      <c r="W17" s="1559">
        <f t="shared" si="2"/>
        <v>100</v>
      </c>
      <c r="X17" s="1552"/>
      <c r="Y17" s="3404"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405"/>
      <c r="Q18" s="1557"/>
      <c r="R18" s="1558"/>
      <c r="S18" s="1559"/>
      <c r="T18" s="1558"/>
      <c r="U18" s="1559"/>
      <c r="V18" s="1558"/>
      <c r="W18" s="1559"/>
      <c r="X18" s="1552"/>
      <c r="Y18" s="3405"/>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05"/>
      <c r="Q19" s="1557" t="str">
        <f>B19</f>
        <v>交通便捷度</v>
      </c>
      <c r="R19" s="1558" t="s">
        <v>8</v>
      </c>
      <c r="S19" s="1559">
        <f>F19</f>
        <v>100</v>
      </c>
      <c r="T19" s="1558" t="s">
        <v>8</v>
      </c>
      <c r="U19" s="1559">
        <f>H19</f>
        <v>100</v>
      </c>
      <c r="V19" s="1558" t="s">
        <v>8</v>
      </c>
      <c r="W19" s="1559">
        <f>J19</f>
        <v>100</v>
      </c>
      <c r="X19" s="1552"/>
      <c r="Y19" s="340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05"/>
      <c r="Q21" s="1557" t="str">
        <f t="shared" ref="Q21:Q35" si="8">B21</f>
        <v>区域土地利用方向</v>
      </c>
      <c r="R21" s="1558" t="s">
        <v>8</v>
      </c>
      <c r="S21" s="1559">
        <f>F21</f>
        <v>100</v>
      </c>
      <c r="T21" s="1558" t="s">
        <v>8</v>
      </c>
      <c r="U21" s="1559">
        <f>H21</f>
        <v>100</v>
      </c>
      <c r="V21" s="1558" t="s">
        <v>8</v>
      </c>
      <c r="W21" s="1559">
        <f>J21</f>
        <v>100</v>
      </c>
      <c r="X21" s="1552"/>
      <c r="Y21" s="340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405"/>
      <c r="Q22" s="1557"/>
      <c r="R22" s="1558"/>
      <c r="S22" s="1559"/>
      <c r="T22" s="1558"/>
      <c r="U22" s="1559"/>
      <c r="V22" s="1558"/>
      <c r="W22" s="1559"/>
      <c r="X22" s="1552"/>
      <c r="Y22" s="3405"/>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05"/>
      <c r="Q23" s="1557" t="str">
        <f t="shared" si="8"/>
        <v>环境状况</v>
      </c>
      <c r="R23" s="1558" t="s">
        <v>8</v>
      </c>
      <c r="S23" s="1559">
        <f>F23</f>
        <v>100</v>
      </c>
      <c r="T23" s="1558" t="s">
        <v>8</v>
      </c>
      <c r="U23" s="1559">
        <f>H23</f>
        <v>100</v>
      </c>
      <c r="V23" s="1558" t="s">
        <v>8</v>
      </c>
      <c r="W23" s="1559">
        <f>J23</f>
        <v>100</v>
      </c>
      <c r="X23" s="1552"/>
      <c r="Y23" s="340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405"/>
      <c r="Q24" s="1557"/>
      <c r="R24" s="1558"/>
      <c r="S24" s="1559"/>
      <c r="T24" s="1558"/>
      <c r="U24" s="1559"/>
      <c r="V24" s="1558"/>
      <c r="W24" s="1559"/>
      <c r="X24" s="1552"/>
      <c r="Y24" s="3405"/>
      <c r="Z24" s="1560"/>
      <c r="AA24" s="1561">
        <v>1</v>
      </c>
      <c r="AB24" s="1561">
        <v>1</v>
      </c>
      <c r="AC24" s="1561">
        <v>1</v>
      </c>
    </row>
    <row r="25" spans="1:29" s="1214" customFormat="1" ht="42.75">
      <c r="A25" s="575"/>
      <c r="B25" s="2556"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05"/>
      <c r="Q25" s="1145" t="str">
        <f t="shared" si="8"/>
        <v>公共配套设施</v>
      </c>
      <c r="R25" s="1553" t="s">
        <v>8</v>
      </c>
      <c r="S25" s="1554">
        <f>F25</f>
        <v>100</v>
      </c>
      <c r="T25" s="1553" t="s">
        <v>8</v>
      </c>
      <c r="U25" s="1554">
        <f>H25</f>
        <v>100</v>
      </c>
      <c r="V25" s="1553" t="s">
        <v>8</v>
      </c>
      <c r="W25" s="1554">
        <f>J25</f>
        <v>100</v>
      </c>
      <c r="X25" s="1555"/>
      <c r="Y25" s="3405"/>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405"/>
      <c r="Q26" s="1145"/>
      <c r="R26" s="1553"/>
      <c r="S26" s="1554"/>
      <c r="T26" s="1553"/>
      <c r="U26" s="1554"/>
      <c r="V26" s="1553"/>
      <c r="W26" s="1554"/>
      <c r="X26" s="1555"/>
      <c r="Y26" s="3405"/>
      <c r="Z26" s="1144"/>
      <c r="AA26" s="1556">
        <v>1</v>
      </c>
      <c r="AB26" s="1556">
        <v>1</v>
      </c>
      <c r="AC26" s="1556">
        <v>1</v>
      </c>
    </row>
    <row r="27" spans="1:29" s="1214" customFormat="1" ht="28.5">
      <c r="A27" s="575"/>
      <c r="B27" s="2556"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05"/>
      <c r="Q27" s="2541" t="str">
        <f t="shared" ref="Q27" si="9">B27</f>
        <v>基础设施水平</v>
      </c>
      <c r="R27" s="1553" t="s">
        <v>8</v>
      </c>
      <c r="S27" s="1554">
        <f>F27</f>
        <v>100</v>
      </c>
      <c r="T27" s="1553" t="s">
        <v>8</v>
      </c>
      <c r="U27" s="1554">
        <f>H27</f>
        <v>100</v>
      </c>
      <c r="V27" s="1553" t="s">
        <v>8</v>
      </c>
      <c r="W27" s="1554">
        <f>J27</f>
        <v>100</v>
      </c>
      <c r="X27" s="1555"/>
      <c r="Y27" s="3405"/>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405"/>
      <c r="Q28" s="2541"/>
      <c r="R28" s="1553"/>
      <c r="S28" s="1554"/>
      <c r="T28" s="1553"/>
      <c r="U28" s="1554"/>
      <c r="V28" s="1553"/>
      <c r="W28" s="1554"/>
      <c r="X28" s="1555"/>
      <c r="Y28" s="3405"/>
      <c r="Z28" s="2538"/>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0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5"/>
      <c r="Z29" s="1560" t="str">
        <f t="shared" ref="Z29:Z42" si="13">Q29</f>
        <v>临街状况</v>
      </c>
      <c r="AA29" s="1561">
        <f t="shared" si="3"/>
        <v>1</v>
      </c>
      <c r="AB29" s="1561">
        <f t="shared" si="4"/>
        <v>1</v>
      </c>
      <c r="AC29" s="1561">
        <f t="shared" si="5"/>
        <v>1</v>
      </c>
    </row>
    <row r="30" spans="1:29" ht="27">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05"/>
      <c r="Q30" s="1557" t="str">
        <f t="shared" si="8"/>
        <v>毗邻道路的类型与等级</v>
      </c>
      <c r="R30" s="1558" t="s">
        <v>8</v>
      </c>
      <c r="S30" s="1559">
        <f t="shared" si="10"/>
        <v>100</v>
      </c>
      <c r="T30" s="1558" t="s">
        <v>8</v>
      </c>
      <c r="U30" s="1559">
        <f t="shared" si="11"/>
        <v>100</v>
      </c>
      <c r="V30" s="1558" t="s">
        <v>8</v>
      </c>
      <c r="W30" s="1559">
        <f t="shared" si="12"/>
        <v>100</v>
      </c>
      <c r="X30" s="1552"/>
      <c r="Y30" s="340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405"/>
      <c r="Q31" s="1557"/>
      <c r="R31" s="1558"/>
      <c r="S31" s="1559"/>
      <c r="T31" s="1558"/>
      <c r="U31" s="1559"/>
      <c r="V31" s="1558"/>
      <c r="W31" s="1559"/>
      <c r="X31" s="1552"/>
      <c r="Y31" s="3405"/>
      <c r="Z31" s="1560"/>
      <c r="AA31" s="1561">
        <v>1</v>
      </c>
      <c r="AB31" s="1561">
        <v>1</v>
      </c>
      <c r="AC31" s="1561">
        <v>1</v>
      </c>
    </row>
    <row r="32" spans="1:29" ht="15">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05"/>
      <c r="Q32" s="1557" t="str">
        <f t="shared" si="8"/>
        <v>土地级别</v>
      </c>
      <c r="R32" s="1558" t="s">
        <v>8</v>
      </c>
      <c r="S32" s="1559">
        <f t="shared" si="10"/>
        <v>100</v>
      </c>
      <c r="T32" s="1558" t="s">
        <v>8</v>
      </c>
      <c r="U32" s="1559">
        <f t="shared" si="11"/>
        <v>100</v>
      </c>
      <c r="V32" s="1558" t="s">
        <v>8</v>
      </c>
      <c r="W32" s="1559">
        <f t="shared" si="12"/>
        <v>100</v>
      </c>
      <c r="X32" s="1552"/>
      <c r="Y32" s="340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05"/>
      <c r="Q33" s="1557">
        <f t="shared" si="8"/>
        <v>111</v>
      </c>
      <c r="R33" s="1558" t="s">
        <v>8</v>
      </c>
      <c r="S33" s="1559">
        <f t="shared" si="10"/>
        <v>100</v>
      </c>
      <c r="T33" s="1558" t="s">
        <v>8</v>
      </c>
      <c r="U33" s="1559">
        <f t="shared" si="11"/>
        <v>100</v>
      </c>
      <c r="V33" s="1558" t="s">
        <v>8</v>
      </c>
      <c r="W33" s="1559">
        <f t="shared" si="12"/>
        <v>100</v>
      </c>
      <c r="X33" s="1552"/>
      <c r="Y33" s="340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06" t="s">
        <v>550</v>
      </c>
      <c r="Q34" s="1557">
        <f t="shared" si="8"/>
        <v>111</v>
      </c>
      <c r="R34" s="1558" t="s">
        <v>8</v>
      </c>
      <c r="S34" s="1559">
        <f t="shared" si="10"/>
        <v>100</v>
      </c>
      <c r="T34" s="1558" t="s">
        <v>8</v>
      </c>
      <c r="U34" s="1559">
        <f t="shared" si="11"/>
        <v>100</v>
      </c>
      <c r="V34" s="1558" t="s">
        <v>8</v>
      </c>
      <c r="W34" s="1559">
        <f t="shared" si="12"/>
        <v>100</v>
      </c>
      <c r="X34" s="1552"/>
      <c r="Y34" s="3407" t="s">
        <v>550</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07"/>
      <c r="Q35" s="1557">
        <f t="shared" si="8"/>
        <v>111</v>
      </c>
      <c r="R35" s="1562" t="s">
        <v>8</v>
      </c>
      <c r="S35" s="1563">
        <f t="shared" si="10"/>
        <v>100</v>
      </c>
      <c r="T35" s="1562" t="s">
        <v>8</v>
      </c>
      <c r="U35" s="1563">
        <f t="shared" si="11"/>
        <v>100</v>
      </c>
      <c r="V35" s="1562" t="s">
        <v>8</v>
      </c>
      <c r="W35" s="1563">
        <f t="shared" si="12"/>
        <v>100</v>
      </c>
      <c r="X35" s="1564"/>
      <c r="Y35" s="3407"/>
      <c r="Z35" s="1565">
        <f t="shared" si="13"/>
        <v>111</v>
      </c>
      <c r="AA35" s="1561">
        <f t="shared" si="3"/>
        <v>1</v>
      </c>
      <c r="AB35" s="1561">
        <f t="shared" si="4"/>
        <v>1</v>
      </c>
      <c r="AC35" s="1561">
        <f t="shared" si="5"/>
        <v>1</v>
      </c>
    </row>
    <row r="36" spans="1:29" ht="15">
      <c r="A36" s="2861"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07"/>
      <c r="Q36" s="1557" t="str">
        <f>B36</f>
        <v>宗地面积</v>
      </c>
      <c r="R36" s="1558" t="s">
        <v>8</v>
      </c>
      <c r="S36" s="1559" t="e">
        <f t="shared" si="10"/>
        <v>#N/A</v>
      </c>
      <c r="T36" s="1558" t="s">
        <v>8</v>
      </c>
      <c r="U36" s="1559" t="e">
        <f t="shared" si="11"/>
        <v>#N/A</v>
      </c>
      <c r="V36" s="1558" t="s">
        <v>8</v>
      </c>
      <c r="W36" s="1559" t="e">
        <f t="shared" si="12"/>
        <v>#N/A</v>
      </c>
      <c r="X36" s="1552"/>
      <c r="Y36" s="3407"/>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07"/>
      <c r="Q37" s="1557" t="str">
        <f t="shared" ref="Q37:Q42" si="14">B37</f>
        <v>宗地形状</v>
      </c>
      <c r="R37" s="1558" t="s">
        <v>8</v>
      </c>
      <c r="S37" s="1559">
        <f t="shared" si="10"/>
        <v>100</v>
      </c>
      <c r="T37" s="1558" t="s">
        <v>8</v>
      </c>
      <c r="U37" s="1559">
        <f t="shared" si="11"/>
        <v>100</v>
      </c>
      <c r="V37" s="1558" t="s">
        <v>8</v>
      </c>
      <c r="W37" s="1559">
        <f t="shared" si="12"/>
        <v>100</v>
      </c>
      <c r="X37" s="1552"/>
      <c r="Y37" s="3407"/>
      <c r="Z37" s="1560" t="str">
        <f t="shared" si="13"/>
        <v>宗地形状</v>
      </c>
      <c r="AA37" s="1561">
        <f t="shared" si="3"/>
        <v>1</v>
      </c>
      <c r="AB37" s="1561">
        <f t="shared" si="4"/>
        <v>1</v>
      </c>
      <c r="AC37" s="1561">
        <f t="shared" si="5"/>
        <v>1</v>
      </c>
    </row>
    <row r="38" spans="1:29" s="1214" customFormat="1" ht="15">
      <c r="A38" s="598"/>
      <c r="B38" s="1879"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07"/>
      <c r="Q38" s="1557" t="str">
        <f t="shared" si="14"/>
        <v>宗地开发程度</v>
      </c>
      <c r="R38" s="1553" t="s">
        <v>8</v>
      </c>
      <c r="S38" s="1554">
        <f t="shared" si="10"/>
        <v>100</v>
      </c>
      <c r="T38" s="1553" t="s">
        <v>8</v>
      </c>
      <c r="U38" s="1554">
        <f t="shared" si="11"/>
        <v>100</v>
      </c>
      <c r="V38" s="1553" t="s">
        <v>8</v>
      </c>
      <c r="W38" s="1554">
        <f t="shared" si="12"/>
        <v>100</v>
      </c>
      <c r="X38" s="1555"/>
      <c r="Y38" s="3407"/>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7" t="s">
        <v>601</v>
      </c>
      <c r="Q39" s="1557" t="str">
        <f t="shared" si="14"/>
        <v>工程地质条件</v>
      </c>
      <c r="R39" s="1558" t="s">
        <v>8</v>
      </c>
      <c r="S39" s="1559">
        <f t="shared" si="10"/>
        <v>100</v>
      </c>
      <c r="T39" s="1558" t="s">
        <v>8</v>
      </c>
      <c r="U39" s="1559">
        <f t="shared" si="11"/>
        <v>100</v>
      </c>
      <c r="V39" s="1558" t="s">
        <v>8</v>
      </c>
      <c r="W39" s="1559">
        <f t="shared" si="12"/>
        <v>100</v>
      </c>
      <c r="X39" s="1552"/>
      <c r="Y39" s="3407"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07"/>
      <c r="Q40" s="1557">
        <f t="shared" si="14"/>
        <v>111</v>
      </c>
      <c r="R40" s="1558" t="s">
        <v>8</v>
      </c>
      <c r="S40" s="1559">
        <f t="shared" si="10"/>
        <v>100</v>
      </c>
      <c r="T40" s="1558" t="s">
        <v>8</v>
      </c>
      <c r="U40" s="1559">
        <f t="shared" si="11"/>
        <v>100</v>
      </c>
      <c r="V40" s="1558" t="s">
        <v>8</v>
      </c>
      <c r="W40" s="1559">
        <f t="shared" si="12"/>
        <v>100</v>
      </c>
      <c r="X40" s="1552"/>
      <c r="Y40" s="340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07"/>
      <c r="Q41" s="1557">
        <f t="shared" si="14"/>
        <v>111</v>
      </c>
      <c r="R41" s="1558" t="s">
        <v>8</v>
      </c>
      <c r="S41" s="1559">
        <f t="shared" si="10"/>
        <v>100</v>
      </c>
      <c r="T41" s="1558" t="s">
        <v>8</v>
      </c>
      <c r="U41" s="1559">
        <f t="shared" si="11"/>
        <v>100</v>
      </c>
      <c r="V41" s="1558" t="s">
        <v>8</v>
      </c>
      <c r="W41" s="1559">
        <f t="shared" si="12"/>
        <v>100</v>
      </c>
      <c r="X41" s="1552"/>
      <c r="Y41" s="3407"/>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07"/>
      <c r="Q42" s="1557">
        <f t="shared" si="14"/>
        <v>111</v>
      </c>
      <c r="R42" s="1562" t="s">
        <v>8</v>
      </c>
      <c r="S42" s="1563">
        <f t="shared" si="10"/>
        <v>100</v>
      </c>
      <c r="T42" s="1562" t="s">
        <v>8</v>
      </c>
      <c r="U42" s="1563">
        <f t="shared" si="11"/>
        <v>100</v>
      </c>
      <c r="V42" s="1562" t="s">
        <v>8</v>
      </c>
      <c r="W42" s="1563">
        <f t="shared" si="12"/>
        <v>100</v>
      </c>
      <c r="X42" s="1564"/>
      <c r="Y42" s="3407"/>
      <c r="Z42" s="1565">
        <f t="shared" si="13"/>
        <v>111</v>
      </c>
      <c r="AA42" s="1561">
        <f t="shared" si="3"/>
        <v>1</v>
      </c>
      <c r="AB42" s="1561">
        <f t="shared" si="4"/>
        <v>1</v>
      </c>
      <c r="AC42" s="1561">
        <f t="shared" si="5"/>
        <v>1</v>
      </c>
    </row>
    <row r="43" spans="1:29" ht="15">
      <c r="A43" s="605" t="s">
        <v>556</v>
      </c>
      <c r="B43" s="606" t="s">
        <v>2929</v>
      </c>
      <c r="C43" s="607" t="s">
        <v>1</v>
      </c>
      <c r="D43" s="608"/>
      <c r="E43" s="609"/>
      <c r="F43" s="610"/>
      <c r="G43" s="611"/>
      <c r="H43" s="612"/>
      <c r="I43" s="609"/>
      <c r="J43" s="612"/>
      <c r="K43" s="1334"/>
      <c r="L43" s="2128"/>
      <c r="M43" s="2118"/>
      <c r="N43" s="2118"/>
      <c r="O43" s="2129"/>
      <c r="P43" s="3401" t="str">
        <f>A43</f>
        <v>成交单价</v>
      </c>
      <c r="Q43" s="3401"/>
      <c r="R43" s="3403">
        <f>E43</f>
        <v>0</v>
      </c>
      <c r="S43" s="3403"/>
      <c r="T43" s="3403">
        <f>G43</f>
        <v>0</v>
      </c>
      <c r="U43" s="3403"/>
      <c r="V43" s="3403">
        <f>I43</f>
        <v>0</v>
      </c>
      <c r="W43" s="3403"/>
      <c r="X43" s="1544"/>
      <c r="Y43" s="1566"/>
      <c r="Z43" s="1544"/>
      <c r="AA43" s="1544"/>
      <c r="AB43" s="1544"/>
      <c r="AC43" s="1544"/>
    </row>
    <row r="44" spans="1:29" ht="15.75" thickBot="1">
      <c r="A44" s="613" t="s">
        <v>2690</v>
      </c>
      <c r="B44" s="614"/>
      <c r="C44" s="615" t="e">
        <f>R45</f>
        <v>#DIV/0!</v>
      </c>
      <c r="D44" s="616"/>
      <c r="E44" s="615" t="e">
        <f>R44</f>
        <v>#DIV/0!</v>
      </c>
      <c r="F44" s="617"/>
      <c r="G44" s="618" t="e">
        <f>T44</f>
        <v>#DIV/0!</v>
      </c>
      <c r="H44" s="616"/>
      <c r="I44" s="615" t="e">
        <f>V44</f>
        <v>#DIV/0!</v>
      </c>
      <c r="J44" s="616"/>
      <c r="K44" s="1335"/>
      <c r="L44" s="2128"/>
      <c r="M44" s="2118"/>
      <c r="N44" s="2118"/>
      <c r="O44" s="2129"/>
      <c r="P44" s="3401" t="str">
        <f>A44</f>
        <v>比较价格（元/平方米）</v>
      </c>
      <c r="Q44" s="3401"/>
      <c r="R44" s="3402" t="e">
        <f>ROUND(PRODUCT(R43,AA9:AA42),0)</f>
        <v>#DIV/0!</v>
      </c>
      <c r="S44" s="3402"/>
      <c r="T44" s="3402" t="e">
        <f>ROUND(PRODUCT(T43,AB9:AB42),0)</f>
        <v>#DIV/0!</v>
      </c>
      <c r="U44" s="3402"/>
      <c r="V44" s="3402" t="e">
        <f>ROUND(PRODUCT(V43,AC9:AC42),0)</f>
        <v>#DIV/0!</v>
      </c>
      <c r="W44" s="3402"/>
      <c r="X44" s="1544"/>
      <c r="Y44" s="1544"/>
      <c r="Z44" s="1544"/>
      <c r="AA44" s="1544"/>
      <c r="AB44" s="1544"/>
      <c r="AC44" s="1544"/>
    </row>
    <row r="45" spans="1:29" ht="15.75" thickBot="1">
      <c r="A45" s="619" t="s">
        <v>2930</v>
      </c>
      <c r="B45" s="620"/>
      <c r="C45" s="621" t="e">
        <f>R45</f>
        <v>#DIV/0!</v>
      </c>
      <c r="D45" s="621"/>
      <c r="E45" s="621"/>
      <c r="F45" s="621"/>
      <c r="G45" s="621"/>
      <c r="H45" s="621"/>
      <c r="I45" s="621"/>
      <c r="J45" s="621"/>
      <c r="K45" s="1336"/>
      <c r="L45" s="2128"/>
      <c r="M45" s="2118"/>
      <c r="N45" s="2118"/>
      <c r="O45" s="2129"/>
      <c r="P45" s="3398" t="str">
        <f>A45</f>
        <v>估价对象XX用房的比较价格（楼面单价，元/平方米）</v>
      </c>
      <c r="Q45" s="3399"/>
      <c r="R45" s="3400" t="e">
        <f>ROUND(AVERAGE(R44:V44),0)</f>
        <v>#DIV/0!</v>
      </c>
      <c r="S45" s="3400"/>
      <c r="T45" s="3400"/>
      <c r="U45" s="3400"/>
      <c r="V45" s="3400"/>
      <c r="W45" s="340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1724</v>
      </c>
      <c r="D52" s="2211" t="s">
        <v>2291</v>
      </c>
      <c r="E52" s="629" t="s">
        <v>562</v>
      </c>
      <c r="F52" s="1935" t="s">
        <v>563</v>
      </c>
      <c r="G52" s="3393" t="s">
        <v>2282</v>
      </c>
      <c r="H52" s="3394"/>
      <c r="I52" s="1936" t="s">
        <v>1945</v>
      </c>
      <c r="J52" s="1540" t="str">
        <f>项目基本情况!F41</f>
        <v>云南省玉溪市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564</v>
      </c>
      <c r="B53" s="632" t="e">
        <f>C45</f>
        <v>#DIV/0!</v>
      </c>
      <c r="C53" s="633">
        <v>1</v>
      </c>
      <c r="D53" s="2212">
        <v>1</v>
      </c>
      <c r="E53" s="633">
        <f>'数据-汇总表'!E8+'数据-汇总表'!E9</f>
        <v>37003</v>
      </c>
      <c r="F53" s="1934" t="e">
        <f t="shared" ref="F53:F62" si="15">ROUND(B53*E53/10000,0)</f>
        <v>#DIV/0!</v>
      </c>
      <c r="G53" s="3395"/>
      <c r="H53" s="339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565</v>
      </c>
      <c r="B54" s="636" t="e">
        <f>ROUND($C$45*C54*D54,0)</f>
        <v>#DIV/0!</v>
      </c>
      <c r="C54" s="376">
        <f t="shared" ref="C54:C62" si="16">IF($C$52="北京市系数",I54,J54)</f>
        <v>0</v>
      </c>
      <c r="D54" s="2213">
        <v>0.25</v>
      </c>
      <c r="E54" s="637"/>
      <c r="F54" s="1934" t="e">
        <f t="shared" si="15"/>
        <v>#DIV/0!</v>
      </c>
      <c r="G54" s="3397"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566</v>
      </c>
      <c r="B55" s="636" t="e">
        <f t="shared" ref="B55:B62" si="17">ROUND($C$45*C55*D55,0)</f>
        <v>#DIV/0!</v>
      </c>
      <c r="C55" s="376">
        <f t="shared" si="16"/>
        <v>0</v>
      </c>
      <c r="D55" s="2213">
        <v>0.25</v>
      </c>
      <c r="E55" s="637"/>
      <c r="F55" s="1934" t="e">
        <f t="shared" si="15"/>
        <v>#DIV/0!</v>
      </c>
      <c r="G55" s="339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567</v>
      </c>
      <c r="B56" s="636" t="e">
        <f t="shared" si="17"/>
        <v>#DIV/0!</v>
      </c>
      <c r="C56" s="376">
        <f t="shared" si="16"/>
        <v>0</v>
      </c>
      <c r="D56" s="2213">
        <v>0.25</v>
      </c>
      <c r="E56" s="637"/>
      <c r="F56" s="1934" t="e">
        <f t="shared" si="15"/>
        <v>#DIV/0!</v>
      </c>
      <c r="G56" s="339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568</v>
      </c>
      <c r="B57" s="636" t="e">
        <f t="shared" si="17"/>
        <v>#DIV/0!</v>
      </c>
      <c r="C57" s="376">
        <f t="shared" si="16"/>
        <v>0</v>
      </c>
      <c r="D57" s="2213">
        <v>0.25</v>
      </c>
      <c r="E57" s="637"/>
      <c r="F57" s="1934" t="e">
        <f t="shared" si="15"/>
        <v>#DIV/0!</v>
      </c>
      <c r="G57" s="339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2326</v>
      </c>
      <c r="B58" s="636" t="e">
        <f t="shared" si="17"/>
        <v>#DIV/0!</v>
      </c>
      <c r="C58" s="376">
        <f t="shared" si="16"/>
        <v>0</v>
      </c>
      <c r="D58" s="2213">
        <v>0.25</v>
      </c>
      <c r="E58" s="639">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570</v>
      </c>
      <c r="B60" s="636" t="e">
        <f t="shared" si="17"/>
        <v>#DIV/0!</v>
      </c>
      <c r="C60" s="376">
        <f t="shared" si="16"/>
        <v>0</v>
      </c>
      <c r="D60" s="2213">
        <v>0.25</v>
      </c>
      <c r="E60" s="639">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571</v>
      </c>
      <c r="B61" s="636" t="e">
        <f t="shared" si="17"/>
        <v>#DIV/0!</v>
      </c>
      <c r="C61" s="376">
        <f t="shared" si="16"/>
        <v>0</v>
      </c>
      <c r="D61" s="2213">
        <v>0.25</v>
      </c>
      <c r="E61" s="639">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572</v>
      </c>
      <c r="B62" s="636" t="e">
        <f t="shared" si="17"/>
        <v>#DIV/0!</v>
      </c>
      <c r="C62" s="376">
        <f t="shared" si="16"/>
        <v>0</v>
      </c>
      <c r="D62" s="2213">
        <v>0.25</v>
      </c>
      <c r="E62" s="639">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573</v>
      </c>
      <c r="B63" s="641" t="s">
        <v>17</v>
      </c>
      <c r="C63" s="641" t="s">
        <v>18</v>
      </c>
      <c r="D63" s="641" t="s">
        <v>2292</v>
      </c>
      <c r="E63" s="641">
        <f>IF(B43="楼面地价",SUM(E53:E62),'数据-汇总表'!D3)</f>
        <v>37003</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4"/>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2646</v>
      </c>
      <c r="B68" s="477" t="str">
        <f>"北京市平均增长率"&amp;TEXT(基准地价!P24,"0.00%")</f>
        <v>北京市平均增长率1.40%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2546</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2548</v>
      </c>
      <c r="C95" s="2561" t="s">
        <v>2549</v>
      </c>
      <c r="D95" s="2561" t="s">
        <v>2550</v>
      </c>
      <c r="E95" s="2561" t="s">
        <v>2551</v>
      </c>
      <c r="F95" s="2561" t="s">
        <v>2552</v>
      </c>
      <c r="G95" s="2561" t="s">
        <v>2553</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2423</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2"/>
      <c r="L4" s="1869" t="s">
        <v>2239</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53"/>
      <c r="L5" s="1869" t="s">
        <v>2240</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9"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40"/>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0" t="s">
        <v>2780</v>
      </c>
      <c r="X8" s="3451"/>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40"/>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9" t="s">
        <v>2776</v>
      </c>
      <c r="X9" s="2885" t="s">
        <v>2777</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0"/>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0"/>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9" t="s">
        <v>2778</v>
      </c>
      <c r="X11" s="1046"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9"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9"/>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1"/>
      <c r="B13" s="1439" t="s">
        <v>1696</v>
      </c>
      <c r="C13" s="1440" t="s">
        <v>1697</v>
      </c>
      <c r="D13" s="1083" t="s">
        <v>1698</v>
      </c>
      <c r="E13" s="1083" t="s">
        <v>1699</v>
      </c>
      <c r="F13" s="1441" t="s">
        <v>948</v>
      </c>
      <c r="G13" s="1442" t="s">
        <v>1642</v>
      </c>
      <c r="H13" s="1443" t="s">
        <v>1642</v>
      </c>
      <c r="I13" s="1444" t="s">
        <v>1642</v>
      </c>
      <c r="J13" s="1445" t="s">
        <v>1642</v>
      </c>
      <c r="K13" s="3168"/>
      <c r="L13" s="3168"/>
      <c r="M13" s="3168"/>
      <c r="N13" s="3168"/>
      <c r="O13" s="3168"/>
      <c r="P13" s="1396"/>
      <c r="Q13" s="2173"/>
      <c r="R13" s="2891">
        <v>12</v>
      </c>
      <c r="S13" s="2880"/>
      <c r="T13" s="2891" t="e">
        <f t="shared" si="0"/>
        <v>#DIV/0!</v>
      </c>
      <c r="U13" s="2880"/>
      <c r="V13" s="2891" t="e">
        <f t="shared" si="1"/>
        <v>#DIV/0!</v>
      </c>
      <c r="W13" s="3449"/>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1"/>
      <c r="B14" s="1446"/>
      <c r="C14" s="1447"/>
      <c r="D14" s="1448"/>
      <c r="E14" s="1448"/>
      <c r="F14" s="1449"/>
      <c r="G14" s="1450" t="s">
        <v>949</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2"/>
      <c r="B15" s="3173" t="s">
        <v>1700</v>
      </c>
      <c r="C15" s="1047">
        <f>IF(C14="有",1.1,1)</f>
        <v>1</v>
      </c>
      <c r="D15" s="1047">
        <f>IF(D14="有",1.1,1)</f>
        <v>1</v>
      </c>
      <c r="E15" s="1047">
        <f>IF(E14="有",1.1,1)</f>
        <v>1</v>
      </c>
      <c r="F15" s="1047">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9" t="s">
        <v>1838</v>
      </c>
      <c r="B16" s="1422" t="s">
        <v>950</v>
      </c>
      <c r="C16" s="1050" t="e">
        <f>ROUND(IF(F17="与级别开发程度一致",0,(G17-E17)/C17),0)</f>
        <v>#DIV/0!</v>
      </c>
      <c r="D16" s="3457" t="s">
        <v>954</v>
      </c>
      <c r="E16" s="3458"/>
      <c r="F16" s="3457" t="s">
        <v>951</v>
      </c>
      <c r="G16" s="3458"/>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3"/>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43571</v>
      </c>
      <c r="H19" s="1462"/>
      <c r="I19" s="2739" t="str">
        <f>IF(H19="季度增幅（自定义）",SUMIF(N21:N24,E2,O21:O24),"")</f>
        <v/>
      </c>
      <c r="J19" s="1458"/>
      <c r="K19" s="3153"/>
      <c r="L19" s="2991" t="s">
        <v>2838</v>
      </c>
      <c r="M19" s="2992">
        <f>ROUND(SUMIF(地价!B2:F2,E2,地价!B26:F26),0)</f>
        <v>0</v>
      </c>
      <c r="N19" s="2741" t="s">
        <v>1676</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2839</v>
      </c>
      <c r="M20" s="3162">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2">
        <f>IF(B21="容积率修正",IF(G3&lt;=10,D22,J22),C23)</f>
        <v>0</v>
      </c>
      <c r="D21" s="1468"/>
      <c r="E21" s="1468"/>
      <c r="F21" s="1468"/>
      <c r="G21" s="1468"/>
      <c r="H21" s="1468"/>
      <c r="I21" s="1468"/>
      <c r="J21" s="1469"/>
      <c r="K21" s="3153"/>
      <c r="L21" s="1468"/>
      <c r="M21" s="1468"/>
      <c r="N21" s="1465" t="s">
        <v>975</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6"/>
      <c r="L22" s="1468"/>
      <c r="M22" s="1468"/>
      <c r="N22" s="1465" t="s">
        <v>978</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923</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7"/>
      <c r="L24" s="1468"/>
      <c r="M24" s="1468"/>
      <c r="N24" s="1465" t="s">
        <v>981</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3" t="s">
        <v>2645</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6" t="s">
        <v>2956</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7"/>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7"/>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8"/>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2983</v>
      </c>
      <c r="C41" s="837" t="e">
        <f>ROUND(POWER(1+E41,H41-G41)*(POWER(1+E41,G41)-1)/(POWER(1+E41,H41)-1),4)</f>
        <v>#DIV/0!</v>
      </c>
      <c r="D41" s="376" t="s">
        <v>2981</v>
      </c>
      <c r="E41" s="3148">
        <f>G20</f>
        <v>0</v>
      </c>
      <c r="F41" s="376" t="s">
        <v>2982</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2932</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2931</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2933</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2931</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2931</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4" t="s">
        <v>1633</v>
      </c>
      <c r="B90" s="3444"/>
      <c r="C90" s="3444"/>
      <c r="D90" s="3444"/>
      <c r="E90" s="3444"/>
      <c r="F90" s="3444"/>
      <c r="G90" s="3444"/>
      <c r="H90" s="3444"/>
      <c r="I90" s="3444"/>
      <c r="J90" s="3444"/>
      <c r="K90" s="2413"/>
      <c r="L90" s="2413"/>
      <c r="M90" s="2413"/>
      <c r="N90" s="2413"/>
    </row>
    <row r="91" spans="1:40">
      <c r="A91" s="3445" t="s">
        <v>1443</v>
      </c>
      <c r="B91" s="3445" t="s">
        <v>1634</v>
      </c>
      <c r="C91" s="1134" t="s">
        <v>1635</v>
      </c>
      <c r="D91" s="1135"/>
      <c r="E91" s="1135"/>
      <c r="F91" s="1135"/>
      <c r="G91" s="1135"/>
      <c r="H91" s="1135"/>
      <c r="I91" s="1135"/>
      <c r="J91" s="1136"/>
      <c r="K91" s="1128"/>
      <c r="L91" s="1128"/>
      <c r="M91" s="1128"/>
      <c r="N91" s="1128"/>
    </row>
    <row r="92" spans="1:40">
      <c r="A92" s="3445"/>
      <c r="B92" s="3445"/>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2"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3"/>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52"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53"/>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53"/>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53"/>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53"/>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53"/>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53"/>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53"/>
      <c r="B108" s="3455"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4"/>
      <c r="B109" s="3456"/>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38" t="s">
        <v>1639</v>
      </c>
      <c r="B110" s="3438"/>
      <c r="C110" s="3438"/>
      <c r="D110" s="3438"/>
      <c r="E110" s="3438"/>
      <c r="F110" s="3438"/>
      <c r="G110" s="3438"/>
      <c r="H110" s="3438"/>
      <c r="I110" s="3438"/>
      <c r="J110" s="3438"/>
      <c r="K110" s="2411"/>
      <c r="L110" s="2411"/>
      <c r="M110" s="2411"/>
      <c r="N110" s="2411"/>
    </row>
    <row r="112" spans="1:14" ht="12.75" thickBot="1"/>
    <row r="113" spans="1:13" ht="25.5"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70"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45" t="s">
        <v>1007</v>
      </c>
      <c r="B18" s="1148" t="s">
        <v>1446</v>
      </c>
      <c r="C18" s="1125" t="s">
        <v>1447</v>
      </c>
      <c r="D18" s="1126"/>
      <c r="E18" s="1148">
        <v>1</v>
      </c>
      <c r="F18" s="1127" t="s">
        <v>1448</v>
      </c>
      <c r="G18" s="1128"/>
      <c r="H18" s="1099"/>
      <c r="I18" s="1099"/>
    </row>
    <row r="19" spans="1:9" s="1583" customFormat="1" ht="19.5" customHeight="1">
      <c r="A19" s="3445"/>
      <c r="B19" s="3445" t="s">
        <v>1449</v>
      </c>
      <c r="C19" s="1125" t="s">
        <v>1450</v>
      </c>
      <c r="D19" s="1126"/>
      <c r="E19" s="1148">
        <v>0.9</v>
      </c>
      <c r="F19" s="1127" t="s">
        <v>1451</v>
      </c>
      <c r="G19" s="1128"/>
      <c r="H19" s="1099"/>
      <c r="I19" s="1099"/>
    </row>
    <row r="20" spans="1:9" s="1583" customFormat="1" ht="19.5" customHeight="1">
      <c r="A20" s="3445"/>
      <c r="B20" s="3445"/>
      <c r="C20" s="1125" t="s">
        <v>1452</v>
      </c>
      <c r="D20" s="1126"/>
      <c r="E20" s="1148">
        <v>1.1000000000000001</v>
      </c>
      <c r="F20" s="1127" t="s">
        <v>1453</v>
      </c>
      <c r="G20" s="1128"/>
      <c r="H20" s="1099"/>
      <c r="I20" s="1099"/>
    </row>
    <row r="21" spans="1:9" s="1583" customFormat="1" ht="19.5" customHeight="1">
      <c r="A21" s="3445"/>
      <c r="B21" s="3445"/>
      <c r="C21" s="1125" t="s">
        <v>1454</v>
      </c>
      <c r="D21" s="1126"/>
      <c r="E21" s="1148">
        <v>0.8</v>
      </c>
      <c r="F21" s="1127" t="s">
        <v>1455</v>
      </c>
      <c r="G21" s="1128"/>
      <c r="H21" s="1099"/>
      <c r="I21" s="1099"/>
    </row>
    <row r="22" spans="1:9" s="1583" customFormat="1" ht="19.5" customHeight="1">
      <c r="A22" s="3445"/>
      <c r="B22" s="3445"/>
      <c r="C22" s="1125" t="s">
        <v>1456</v>
      </c>
      <c r="D22" s="1126"/>
      <c r="E22" s="1148">
        <v>0.5</v>
      </c>
      <c r="F22" s="1127"/>
      <c r="G22" s="1128"/>
      <c r="H22" s="1099"/>
      <c r="I22" s="1099"/>
    </row>
    <row r="23" spans="1:9" s="1583" customFormat="1" ht="19.5" customHeight="1">
      <c r="A23" s="3445" t="s">
        <v>1029</v>
      </c>
      <c r="B23" s="1148" t="s">
        <v>1446</v>
      </c>
      <c r="C23" s="1125" t="s">
        <v>1457</v>
      </c>
      <c r="D23" s="1126"/>
      <c r="E23" s="1148">
        <v>1</v>
      </c>
      <c r="F23" s="1127" t="s">
        <v>1458</v>
      </c>
      <c r="G23" s="1128"/>
      <c r="H23" s="1099"/>
      <c r="I23" s="1099"/>
    </row>
    <row r="24" spans="1:9" s="1583" customFormat="1" ht="19.5" customHeight="1">
      <c r="A24" s="3445"/>
      <c r="B24" s="3445" t="s">
        <v>1449</v>
      </c>
      <c r="C24" s="1125" t="s">
        <v>1459</v>
      </c>
      <c r="D24" s="1126"/>
      <c r="E24" s="1148">
        <v>0.5</v>
      </c>
      <c r="F24" s="1127"/>
      <c r="G24" s="1128"/>
      <c r="H24" s="1099"/>
      <c r="I24" s="1099"/>
    </row>
    <row r="25" spans="1:9" s="1583" customFormat="1" ht="19.5" customHeight="1">
      <c r="A25" s="3445"/>
      <c r="B25" s="3445"/>
      <c r="C25" s="1125" t="s">
        <v>1460</v>
      </c>
      <c r="D25" s="1126"/>
      <c r="E25" s="1148">
        <v>1.1000000000000001</v>
      </c>
      <c r="F25" s="1127"/>
      <c r="G25" s="1128"/>
      <c r="H25" s="1099"/>
      <c r="I25" s="1099"/>
    </row>
    <row r="26" spans="1:9" s="1583" customFormat="1" ht="19.5" customHeight="1">
      <c r="A26" s="3445"/>
      <c r="B26" s="3445"/>
      <c r="C26" s="1125" t="s">
        <v>1461</v>
      </c>
      <c r="D26" s="1126"/>
      <c r="E26" s="1148">
        <v>1.1000000000000001</v>
      </c>
      <c r="F26" s="1127"/>
      <c r="G26" s="1128"/>
      <c r="H26" s="1099"/>
      <c r="I26" s="1099"/>
    </row>
    <row r="27" spans="1:9" s="1583" customFormat="1" ht="19.5" customHeight="1">
      <c r="A27" s="3445"/>
      <c r="B27" s="3445"/>
      <c r="C27" s="1125" t="s">
        <v>1462</v>
      </c>
      <c r="D27" s="1126"/>
      <c r="E27" s="1148">
        <v>0.9</v>
      </c>
      <c r="F27" s="1127" t="s">
        <v>1463</v>
      </c>
      <c r="G27" s="1128"/>
      <c r="H27" s="1099"/>
      <c r="I27" s="1099"/>
    </row>
    <row r="28" spans="1:9" s="1583" customFormat="1" ht="19.5" customHeight="1">
      <c r="A28" s="3445"/>
      <c r="B28" s="3445"/>
      <c r="C28" s="1125" t="s">
        <v>1464</v>
      </c>
      <c r="D28" s="1126"/>
      <c r="E28" s="1148">
        <v>0.9</v>
      </c>
      <c r="F28" s="1127" t="s">
        <v>1465</v>
      </c>
      <c r="G28" s="1128"/>
      <c r="H28" s="1099"/>
      <c r="I28" s="1099"/>
    </row>
    <row r="29" spans="1:9" s="1583" customFormat="1" ht="19.5" customHeight="1">
      <c r="A29" s="3445"/>
      <c r="B29" s="3445"/>
      <c r="C29" s="1125" t="s">
        <v>1466</v>
      </c>
      <c r="D29" s="1126"/>
      <c r="E29" s="1148">
        <v>0.9</v>
      </c>
      <c r="F29" s="1127" t="s">
        <v>1467</v>
      </c>
      <c r="G29" s="1128"/>
      <c r="H29" s="1099"/>
      <c r="I29" s="1099"/>
    </row>
    <row r="30" spans="1:9" s="1583" customFormat="1" ht="19.5" customHeight="1">
      <c r="A30" s="3445"/>
      <c r="B30" s="3445"/>
      <c r="C30" s="1125" t="s">
        <v>1468</v>
      </c>
      <c r="D30" s="1126"/>
      <c r="E30" s="1148">
        <v>0.9</v>
      </c>
      <c r="F30" s="1127" t="s">
        <v>1469</v>
      </c>
      <c r="G30" s="1128"/>
      <c r="H30" s="1099"/>
      <c r="I30" s="1099"/>
    </row>
    <row r="31" spans="1:9" s="1583" customFormat="1" ht="19.5" customHeight="1">
      <c r="A31" s="3445"/>
      <c r="B31" s="3445"/>
      <c r="C31" s="1125" t="s">
        <v>1470</v>
      </c>
      <c r="D31" s="1126"/>
      <c r="E31" s="1148">
        <v>0.8</v>
      </c>
      <c r="F31" s="1127" t="s">
        <v>1471</v>
      </c>
      <c r="G31" s="1128"/>
      <c r="H31" s="1099"/>
      <c r="I31" s="1099"/>
    </row>
    <row r="32" spans="1:9" s="1583" customFormat="1" ht="19.5" customHeight="1">
      <c r="A32" s="3445"/>
      <c r="B32" s="3445"/>
      <c r="C32" s="1125" t="s">
        <v>1472</v>
      </c>
      <c r="D32" s="1126"/>
      <c r="E32" s="1148">
        <v>0.8</v>
      </c>
      <c r="F32" s="1127" t="s">
        <v>1473</v>
      </c>
      <c r="G32" s="1128"/>
      <c r="H32" s="1099"/>
      <c r="I32" s="1099"/>
    </row>
    <row r="33" spans="1:9" s="1583" customFormat="1" ht="19.5" customHeight="1">
      <c r="A33" s="3445" t="s">
        <v>1474</v>
      </c>
      <c r="B33" s="1148" t="s">
        <v>1446</v>
      </c>
      <c r="C33" s="1125" t="s">
        <v>1475</v>
      </c>
      <c r="D33" s="1126"/>
      <c r="E33" s="1148">
        <v>1</v>
      </c>
      <c r="F33" s="1127" t="s">
        <v>1476</v>
      </c>
      <c r="G33" s="1128"/>
      <c r="H33" s="1099"/>
      <c r="I33" s="1099"/>
    </row>
    <row r="34" spans="1:9" s="1583" customFormat="1" ht="19.5" customHeight="1">
      <c r="A34" s="3445"/>
      <c r="B34" s="1148" t="s">
        <v>1449</v>
      </c>
      <c r="C34" s="1125" t="s">
        <v>1477</v>
      </c>
      <c r="D34" s="1126"/>
      <c r="E34" s="1148">
        <v>1.5</v>
      </c>
      <c r="F34" s="1127" t="s">
        <v>1478</v>
      </c>
      <c r="G34" s="1128"/>
      <c r="H34" s="1099"/>
      <c r="I34" s="1099"/>
    </row>
    <row r="35" spans="1:9" s="1583" customFormat="1" ht="19.5" customHeight="1">
      <c r="A35" s="3445" t="s">
        <v>1432</v>
      </c>
      <c r="B35" s="1148" t="s">
        <v>1446</v>
      </c>
      <c r="C35" s="1125" t="s">
        <v>1479</v>
      </c>
      <c r="D35" s="1126"/>
      <c r="E35" s="1148">
        <v>1</v>
      </c>
      <c r="F35" s="1127" t="s">
        <v>1480</v>
      </c>
      <c r="G35" s="1128"/>
      <c r="H35" s="1099"/>
      <c r="I35" s="1099"/>
    </row>
    <row r="36" spans="1:9" s="1583" customFormat="1" ht="19.5" customHeight="1">
      <c r="A36" s="3445"/>
      <c r="B36" s="3445" t="s">
        <v>1449</v>
      </c>
      <c r="C36" s="1125" t="s">
        <v>1481</v>
      </c>
      <c r="D36" s="1126"/>
      <c r="E36" s="1148">
        <v>1</v>
      </c>
      <c r="F36" s="1127" t="s">
        <v>1482</v>
      </c>
      <c r="G36" s="1128"/>
      <c r="H36" s="1099"/>
      <c r="I36" s="1099"/>
    </row>
    <row r="37" spans="1:9" s="1583" customFormat="1" ht="19.5" customHeight="1">
      <c r="A37" s="3445"/>
      <c r="B37" s="3445"/>
      <c r="C37" s="1125" t="s">
        <v>1483</v>
      </c>
      <c r="D37" s="1126"/>
      <c r="E37" s="1148">
        <v>1.5</v>
      </c>
      <c r="F37" s="1127" t="s">
        <v>1484</v>
      </c>
      <c r="G37" s="1128"/>
      <c r="H37" s="1099"/>
      <c r="I37" s="1099"/>
    </row>
    <row r="38" spans="1:9" s="1583" customFormat="1" ht="19.5" customHeight="1">
      <c r="A38" s="3445"/>
      <c r="B38" s="3445"/>
      <c r="C38" s="1125" t="s">
        <v>1485</v>
      </c>
      <c r="D38" s="1126"/>
      <c r="E38" s="1148">
        <v>1</v>
      </c>
      <c r="F38" s="1127" t="s">
        <v>1486</v>
      </c>
      <c r="G38" s="1128"/>
      <c r="H38" s="1099"/>
      <c r="I38" s="1099"/>
    </row>
    <row r="39" spans="1:9" s="1583" customFormat="1" ht="19.5" customHeight="1">
      <c r="A39" s="3445"/>
      <c r="B39" s="3445"/>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45" t="s">
        <v>1501</v>
      </c>
      <c r="C61" s="1062" t="s">
        <v>1502</v>
      </c>
      <c r="D61" s="1062" t="s">
        <v>1503</v>
      </c>
      <c r="E61" s="1133">
        <v>0.5</v>
      </c>
      <c r="F61" s="1148">
        <v>80</v>
      </c>
      <c r="H61" s="1099">
        <f>SUMIF(C59:C119,基准地价!C8,E59:E119)</f>
        <v>0</v>
      </c>
    </row>
    <row r="62" spans="1:8" s="1099" customFormat="1" ht="24">
      <c r="A62" s="1148">
        <v>2</v>
      </c>
      <c r="B62" s="3445"/>
      <c r="C62" s="1062" t="s">
        <v>1504</v>
      </c>
      <c r="D62" s="1062" t="s">
        <v>1505</v>
      </c>
      <c r="E62" s="1133">
        <v>0.5</v>
      </c>
      <c r="F62" s="1148">
        <v>80</v>
      </c>
    </row>
    <row r="63" spans="1:8" s="1099" customFormat="1" ht="36">
      <c r="A63" s="1148">
        <v>3</v>
      </c>
      <c r="B63" s="3445"/>
      <c r="C63" s="1062" t="s">
        <v>1506</v>
      </c>
      <c r="D63" s="1062" t="s">
        <v>1507</v>
      </c>
      <c r="E63" s="1133">
        <v>0.5</v>
      </c>
      <c r="F63" s="1148">
        <v>80</v>
      </c>
    </row>
    <row r="64" spans="1:8" s="1099" customFormat="1" ht="36">
      <c r="A64" s="1148">
        <v>4</v>
      </c>
      <c r="B64" s="3445"/>
      <c r="C64" s="1062" t="s">
        <v>1508</v>
      </c>
      <c r="D64" s="1062" t="s">
        <v>1509</v>
      </c>
      <c r="E64" s="1133">
        <v>0.4</v>
      </c>
      <c r="F64" s="1148">
        <v>60</v>
      </c>
    </row>
    <row r="65" spans="1:6" s="1099" customFormat="1" ht="36">
      <c r="A65" s="1148">
        <v>5</v>
      </c>
      <c r="B65" s="3445"/>
      <c r="C65" s="1062" t="s">
        <v>1510</v>
      </c>
      <c r="D65" s="1062" t="s">
        <v>1511</v>
      </c>
      <c r="E65" s="1133">
        <v>0.2</v>
      </c>
      <c r="F65" s="1148">
        <v>30</v>
      </c>
    </row>
    <row r="66" spans="1:6" s="1099" customFormat="1" ht="36">
      <c r="A66" s="1148">
        <v>6</v>
      </c>
      <c r="B66" s="3445"/>
      <c r="C66" s="1062" t="s">
        <v>1512</v>
      </c>
      <c r="D66" s="1062" t="s">
        <v>1513</v>
      </c>
      <c r="E66" s="1133">
        <v>0.3</v>
      </c>
      <c r="F66" s="1148">
        <v>50</v>
      </c>
    </row>
    <row r="67" spans="1:6" s="1099" customFormat="1" ht="36">
      <c r="A67" s="1148">
        <v>7</v>
      </c>
      <c r="B67" s="3445"/>
      <c r="C67" s="1062" t="s">
        <v>1514</v>
      </c>
      <c r="D67" s="1062" t="s">
        <v>1515</v>
      </c>
      <c r="E67" s="1133">
        <v>0.2</v>
      </c>
      <c r="F67" s="1148">
        <v>30</v>
      </c>
    </row>
    <row r="68" spans="1:6" s="1099" customFormat="1" ht="36">
      <c r="A68" s="1148">
        <v>8</v>
      </c>
      <c r="B68" s="3445"/>
      <c r="C68" s="1062" t="s">
        <v>1516</v>
      </c>
      <c r="D68" s="1062" t="s">
        <v>1517</v>
      </c>
      <c r="E68" s="1133">
        <v>0.2</v>
      </c>
      <c r="F68" s="1148">
        <v>30</v>
      </c>
    </row>
    <row r="69" spans="1:6" s="1099" customFormat="1" ht="36">
      <c r="A69" s="1148">
        <v>9</v>
      </c>
      <c r="B69" s="3445"/>
      <c r="C69" s="1062" t="s">
        <v>1518</v>
      </c>
      <c r="D69" s="1062" t="s">
        <v>1519</v>
      </c>
      <c r="E69" s="1133">
        <v>0.2</v>
      </c>
      <c r="F69" s="1148">
        <v>30</v>
      </c>
    </row>
    <row r="70" spans="1:6" s="1099" customFormat="1" ht="48">
      <c r="A70" s="1148">
        <v>10</v>
      </c>
      <c r="B70" s="3445"/>
      <c r="C70" s="1062" t="s">
        <v>1520</v>
      </c>
      <c r="D70" s="1062" t="s">
        <v>1521</v>
      </c>
      <c r="E70" s="1133">
        <v>0.2</v>
      </c>
      <c r="F70" s="1148">
        <v>30</v>
      </c>
    </row>
    <row r="71" spans="1:6" s="1099" customFormat="1" ht="48">
      <c r="A71" s="1148">
        <v>11</v>
      </c>
      <c r="B71" s="3445"/>
      <c r="C71" s="1062" t="s">
        <v>1522</v>
      </c>
      <c r="D71" s="1062" t="s">
        <v>1523</v>
      </c>
      <c r="E71" s="1133">
        <v>0.2</v>
      </c>
      <c r="F71" s="1148">
        <v>30</v>
      </c>
    </row>
    <row r="72" spans="1:6" s="1099" customFormat="1" ht="36">
      <c r="A72" s="1148">
        <v>12</v>
      </c>
      <c r="B72" s="3445"/>
      <c r="C72" s="1062" t="s">
        <v>1524</v>
      </c>
      <c r="D72" s="1062" t="s">
        <v>1525</v>
      </c>
      <c r="E72" s="1133">
        <v>0.5</v>
      </c>
      <c r="F72" s="1148">
        <v>80</v>
      </c>
    </row>
    <row r="73" spans="1:6" s="1099" customFormat="1" ht="24">
      <c r="A73" s="1148">
        <v>13</v>
      </c>
      <c r="B73" s="3445"/>
      <c r="C73" s="1062" t="s">
        <v>1526</v>
      </c>
      <c r="D73" s="1062" t="s">
        <v>1527</v>
      </c>
      <c r="E73" s="1133">
        <v>0.4</v>
      </c>
      <c r="F73" s="1148">
        <v>60</v>
      </c>
    </row>
    <row r="74" spans="1:6" s="1099" customFormat="1" ht="24">
      <c r="A74" s="1148">
        <v>14</v>
      </c>
      <c r="B74" s="3445"/>
      <c r="C74" s="1062" t="s">
        <v>1528</v>
      </c>
      <c r="D74" s="1062" t="s">
        <v>1529</v>
      </c>
      <c r="E74" s="1133">
        <v>0.2</v>
      </c>
      <c r="F74" s="1148">
        <v>30</v>
      </c>
    </row>
    <row r="75" spans="1:6" s="1099" customFormat="1" ht="24">
      <c r="A75" s="1148">
        <v>15</v>
      </c>
      <c r="B75" s="3445"/>
      <c r="C75" s="1062" t="s">
        <v>1530</v>
      </c>
      <c r="D75" s="1062" t="s">
        <v>1531</v>
      </c>
      <c r="E75" s="1133">
        <v>0.2</v>
      </c>
      <c r="F75" s="1148">
        <v>30</v>
      </c>
    </row>
    <row r="76" spans="1:6" s="1099" customFormat="1" ht="24">
      <c r="A76" s="1148">
        <v>16</v>
      </c>
      <c r="B76" s="3445" t="s">
        <v>1532</v>
      </c>
      <c r="C76" s="1062" t="s">
        <v>1533</v>
      </c>
      <c r="D76" s="1062" t="s">
        <v>1534</v>
      </c>
      <c r="E76" s="1133">
        <v>0.5</v>
      </c>
      <c r="F76" s="1148">
        <v>80</v>
      </c>
    </row>
    <row r="77" spans="1:6" s="1099" customFormat="1" ht="24">
      <c r="A77" s="1148">
        <v>17</v>
      </c>
      <c r="B77" s="3445"/>
      <c r="C77" s="1062" t="s">
        <v>1535</v>
      </c>
      <c r="D77" s="1062" t="s">
        <v>1536</v>
      </c>
      <c r="E77" s="1133">
        <v>0.5</v>
      </c>
      <c r="F77" s="1148">
        <v>80</v>
      </c>
    </row>
    <row r="78" spans="1:6" s="1099" customFormat="1" ht="24">
      <c r="A78" s="1148">
        <v>18</v>
      </c>
      <c r="B78" s="3445"/>
      <c r="C78" s="1062" t="s">
        <v>1537</v>
      </c>
      <c r="D78" s="1062" t="s">
        <v>1538</v>
      </c>
      <c r="E78" s="1133">
        <v>0.2</v>
      </c>
      <c r="F78" s="1148">
        <v>30</v>
      </c>
    </row>
    <row r="79" spans="1:6" s="1099" customFormat="1" ht="24">
      <c r="A79" s="1148">
        <v>19</v>
      </c>
      <c r="B79" s="3445"/>
      <c r="C79" s="1062" t="s">
        <v>1539</v>
      </c>
      <c r="D79" s="1062" t="s">
        <v>1540</v>
      </c>
      <c r="E79" s="1133">
        <v>0.5</v>
      </c>
      <c r="F79" s="1148">
        <v>80</v>
      </c>
    </row>
    <row r="80" spans="1:6" s="1099" customFormat="1" ht="36">
      <c r="A80" s="1148">
        <v>20</v>
      </c>
      <c r="B80" s="3445"/>
      <c r="C80" s="1062" t="s">
        <v>1541</v>
      </c>
      <c r="D80" s="1062" t="s">
        <v>1542</v>
      </c>
      <c r="E80" s="1133">
        <v>0.2</v>
      </c>
      <c r="F80" s="1148">
        <v>30</v>
      </c>
    </row>
    <row r="81" spans="1:6" s="1099" customFormat="1" ht="36">
      <c r="A81" s="1148">
        <v>21</v>
      </c>
      <c r="B81" s="3445"/>
      <c r="C81" s="1062" t="s">
        <v>1543</v>
      </c>
      <c r="D81" s="1062" t="s">
        <v>1544</v>
      </c>
      <c r="E81" s="1133">
        <v>0.2</v>
      </c>
      <c r="F81" s="1148">
        <v>30</v>
      </c>
    </row>
    <row r="82" spans="1:6" s="1099" customFormat="1" ht="48">
      <c r="A82" s="1148">
        <v>22</v>
      </c>
      <c r="B82" s="3445"/>
      <c r="C82" s="1062" t="s">
        <v>1545</v>
      </c>
      <c r="D82" s="1062" t="s">
        <v>1546</v>
      </c>
      <c r="E82" s="1133">
        <v>0.2</v>
      </c>
      <c r="F82" s="1148">
        <v>30</v>
      </c>
    </row>
    <row r="83" spans="1:6" s="1099" customFormat="1" ht="48">
      <c r="A83" s="1148">
        <v>23</v>
      </c>
      <c r="B83" s="3445"/>
      <c r="C83" s="1062" t="s">
        <v>1547</v>
      </c>
      <c r="D83" s="1062" t="s">
        <v>1548</v>
      </c>
      <c r="E83" s="1133">
        <v>0.2</v>
      </c>
      <c r="F83" s="1148">
        <v>30</v>
      </c>
    </row>
    <row r="84" spans="1:6" s="1099" customFormat="1" ht="36">
      <c r="A84" s="1148">
        <v>24</v>
      </c>
      <c r="B84" s="3445"/>
      <c r="C84" s="1062" t="s">
        <v>1549</v>
      </c>
      <c r="D84" s="1062" t="s">
        <v>1550</v>
      </c>
      <c r="E84" s="1133">
        <v>0.2</v>
      </c>
      <c r="F84" s="1148">
        <v>30</v>
      </c>
    </row>
    <row r="85" spans="1:6" s="1099" customFormat="1" ht="36">
      <c r="A85" s="1148">
        <v>25</v>
      </c>
      <c r="B85" s="3445"/>
      <c r="C85" s="1062" t="s">
        <v>1551</v>
      </c>
      <c r="D85" s="1062" t="s">
        <v>1552</v>
      </c>
      <c r="E85" s="1133">
        <v>0.5</v>
      </c>
      <c r="F85" s="1148">
        <v>80</v>
      </c>
    </row>
    <row r="86" spans="1:6" s="1099" customFormat="1" ht="36">
      <c r="A86" s="1148">
        <v>26</v>
      </c>
      <c r="B86" s="3445"/>
      <c r="C86" s="1062" t="s">
        <v>1553</v>
      </c>
      <c r="D86" s="1062" t="s">
        <v>1554</v>
      </c>
      <c r="E86" s="1133">
        <v>0.2</v>
      </c>
      <c r="F86" s="1148">
        <v>30</v>
      </c>
    </row>
    <row r="87" spans="1:6" s="1099" customFormat="1" ht="36">
      <c r="A87" s="1148">
        <v>27</v>
      </c>
      <c r="B87" s="3445"/>
      <c r="C87" s="1062" t="s">
        <v>1555</v>
      </c>
      <c r="D87" s="1062" t="s">
        <v>1556</v>
      </c>
      <c r="E87" s="1133">
        <v>0.2</v>
      </c>
      <c r="F87" s="1148">
        <v>30</v>
      </c>
    </row>
    <row r="88" spans="1:6" s="1099" customFormat="1" ht="36">
      <c r="A88" s="1148">
        <v>28</v>
      </c>
      <c r="B88" s="3445"/>
      <c r="C88" s="1062" t="s">
        <v>1557</v>
      </c>
      <c r="D88" s="1062" t="s">
        <v>1558</v>
      </c>
      <c r="E88" s="1133">
        <v>0.2</v>
      </c>
      <c r="F88" s="1148">
        <v>30</v>
      </c>
    </row>
    <row r="89" spans="1:6" s="1099" customFormat="1" ht="24">
      <c r="A89" s="1148">
        <v>29</v>
      </c>
      <c r="B89" s="3445"/>
      <c r="C89" s="1062" t="s">
        <v>1559</v>
      </c>
      <c r="D89" s="1062" t="s">
        <v>1560</v>
      </c>
      <c r="E89" s="1133">
        <v>0.2</v>
      </c>
      <c r="F89" s="1148">
        <v>30</v>
      </c>
    </row>
    <row r="90" spans="1:6" s="1099" customFormat="1" ht="24">
      <c r="A90" s="1148">
        <v>30</v>
      </c>
      <c r="B90" s="3445"/>
      <c r="C90" s="1062" t="s">
        <v>1561</v>
      </c>
      <c r="D90" s="1062" t="s">
        <v>1562</v>
      </c>
      <c r="E90" s="1133">
        <v>0.2</v>
      </c>
      <c r="F90" s="1148">
        <v>30</v>
      </c>
    </row>
    <row r="91" spans="1:6" s="1099" customFormat="1" ht="36">
      <c r="A91" s="1148">
        <v>31</v>
      </c>
      <c r="B91" s="3445"/>
      <c r="C91" s="1062" t="s">
        <v>1563</v>
      </c>
      <c r="D91" s="1062" t="s">
        <v>1564</v>
      </c>
      <c r="E91" s="1133">
        <v>0.2</v>
      </c>
      <c r="F91" s="1148">
        <v>30</v>
      </c>
    </row>
    <row r="92" spans="1:6" s="1099" customFormat="1" ht="24">
      <c r="A92" s="1148">
        <v>32</v>
      </c>
      <c r="B92" s="3445" t="s">
        <v>1565</v>
      </c>
      <c r="C92" s="1148" t="s">
        <v>1566</v>
      </c>
      <c r="D92" s="1062" t="s">
        <v>1567</v>
      </c>
      <c r="E92" s="1133">
        <v>0.2</v>
      </c>
      <c r="F92" s="1148">
        <v>30</v>
      </c>
    </row>
    <row r="93" spans="1:6" s="1099" customFormat="1" ht="36">
      <c r="A93" s="1148">
        <v>33</v>
      </c>
      <c r="B93" s="3445"/>
      <c r="C93" s="1148" t="s">
        <v>1568</v>
      </c>
      <c r="D93" s="1062" t="s">
        <v>1569</v>
      </c>
      <c r="E93" s="1133">
        <v>0.2</v>
      </c>
      <c r="F93" s="1148">
        <v>30</v>
      </c>
    </row>
    <row r="94" spans="1:6" s="1099" customFormat="1" ht="48">
      <c r="A94" s="1148">
        <v>34</v>
      </c>
      <c r="B94" s="3445"/>
      <c r="C94" s="1148" t="s">
        <v>1570</v>
      </c>
      <c r="D94" s="1062" t="s">
        <v>1571</v>
      </c>
      <c r="E94" s="1133">
        <v>0.2</v>
      </c>
      <c r="F94" s="1148">
        <v>30</v>
      </c>
    </row>
    <row r="95" spans="1:6" s="1099" customFormat="1" ht="36">
      <c r="A95" s="1148">
        <v>35</v>
      </c>
      <c r="B95" s="3445"/>
      <c r="C95" s="1148" t="s">
        <v>1572</v>
      </c>
      <c r="D95" s="1062" t="s">
        <v>1573</v>
      </c>
      <c r="E95" s="1133">
        <v>0.2</v>
      </c>
      <c r="F95" s="1148">
        <v>30</v>
      </c>
    </row>
    <row r="96" spans="1:6" s="1099" customFormat="1" ht="48">
      <c r="A96" s="1148">
        <v>36</v>
      </c>
      <c r="B96" s="3445"/>
      <c r="C96" s="1062" t="s">
        <v>1574</v>
      </c>
      <c r="D96" s="1062" t="s">
        <v>1575</v>
      </c>
      <c r="E96" s="1133">
        <v>0.2</v>
      </c>
      <c r="F96" s="1148">
        <v>30</v>
      </c>
    </row>
    <row r="97" spans="1:6" s="1099" customFormat="1" ht="36">
      <c r="A97" s="1148">
        <v>37</v>
      </c>
      <c r="B97" s="3445"/>
      <c r="C97" s="1148" t="s">
        <v>1576</v>
      </c>
      <c r="D97" s="1062" t="s">
        <v>1577</v>
      </c>
      <c r="E97" s="1133">
        <v>0.2</v>
      </c>
      <c r="F97" s="1148">
        <v>30</v>
      </c>
    </row>
    <row r="98" spans="1:6" s="1099" customFormat="1" ht="36">
      <c r="A98" s="1148">
        <v>38</v>
      </c>
      <c r="B98" s="3445"/>
      <c r="C98" s="1148" t="s">
        <v>1578</v>
      </c>
      <c r="D98" s="1062" t="s">
        <v>1579</v>
      </c>
      <c r="E98" s="1133">
        <v>0.2</v>
      </c>
      <c r="F98" s="1148">
        <v>30</v>
      </c>
    </row>
    <row r="99" spans="1:6" s="1099" customFormat="1" ht="36">
      <c r="A99" s="1148">
        <v>39</v>
      </c>
      <c r="B99" s="3445" t="s">
        <v>1580</v>
      </c>
      <c r="C99" s="1148" t="s">
        <v>1581</v>
      </c>
      <c r="D99" s="1062" t="s">
        <v>1582</v>
      </c>
      <c r="E99" s="1133">
        <v>0.3</v>
      </c>
      <c r="F99" s="1148">
        <v>50</v>
      </c>
    </row>
    <row r="100" spans="1:6" s="1099" customFormat="1" ht="24">
      <c r="A100" s="1148">
        <v>40</v>
      </c>
      <c r="B100" s="3445"/>
      <c r="C100" s="1148" t="s">
        <v>1583</v>
      </c>
      <c r="D100" s="1062" t="s">
        <v>1584</v>
      </c>
      <c r="E100" s="1133">
        <v>0.2</v>
      </c>
      <c r="F100" s="1148">
        <v>30</v>
      </c>
    </row>
    <row r="101" spans="1:6" s="1099" customFormat="1" ht="36">
      <c r="A101" s="1148">
        <v>41</v>
      </c>
      <c r="B101" s="3445"/>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45" t="s">
        <v>1595</v>
      </c>
      <c r="C105" s="1148" t="s">
        <v>1596</v>
      </c>
      <c r="D105" s="1062" t="s">
        <v>1597</v>
      </c>
      <c r="E105" s="1133">
        <v>0.2</v>
      </c>
      <c r="F105" s="1148">
        <v>30</v>
      </c>
    </row>
    <row r="106" spans="1:6" s="1099" customFormat="1" ht="36">
      <c r="A106" s="1148">
        <v>46</v>
      </c>
      <c r="B106" s="3445"/>
      <c r="C106" s="1148" t="s">
        <v>1598</v>
      </c>
      <c r="D106" s="1062" t="s">
        <v>1599</v>
      </c>
      <c r="E106" s="1133">
        <v>0.2</v>
      </c>
      <c r="F106" s="1148">
        <v>30</v>
      </c>
    </row>
    <row r="107" spans="1:6" s="1099" customFormat="1" ht="36">
      <c r="A107" s="1148">
        <v>47</v>
      </c>
      <c r="B107" s="3445" t="s">
        <v>1600</v>
      </c>
      <c r="C107" s="1148" t="s">
        <v>1601</v>
      </c>
      <c r="D107" s="1062" t="s">
        <v>1602</v>
      </c>
      <c r="E107" s="1133">
        <v>0.3</v>
      </c>
      <c r="F107" s="1148">
        <v>50</v>
      </c>
    </row>
    <row r="108" spans="1:6" s="1099" customFormat="1" ht="36">
      <c r="A108" s="1148">
        <v>48</v>
      </c>
      <c r="B108" s="3445"/>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45" t="s">
        <v>1611</v>
      </c>
      <c r="C111" s="1148" t="s">
        <v>1612</v>
      </c>
      <c r="D111" s="1062" t="s">
        <v>1613</v>
      </c>
      <c r="E111" s="1133">
        <v>0.2</v>
      </c>
      <c r="F111" s="1148">
        <v>30</v>
      </c>
    </row>
    <row r="112" spans="1:6" s="1099" customFormat="1" ht="24">
      <c r="A112" s="1148">
        <v>52</v>
      </c>
      <c r="B112" s="3445"/>
      <c r="C112" s="1148" t="s">
        <v>1614</v>
      </c>
      <c r="D112" s="1062" t="s">
        <v>1615</v>
      </c>
      <c r="E112" s="1133">
        <v>0.2</v>
      </c>
      <c r="F112" s="1148">
        <v>30</v>
      </c>
    </row>
    <row r="113" spans="1:14" s="1099" customFormat="1" ht="24">
      <c r="A113" s="1148">
        <v>53</v>
      </c>
      <c r="B113" s="3445"/>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45" t="s">
        <v>1624</v>
      </c>
      <c r="C116" s="1148" t="s">
        <v>1625</v>
      </c>
      <c r="D116" s="1062" t="s">
        <v>1626</v>
      </c>
      <c r="E116" s="1133">
        <v>0.2</v>
      </c>
      <c r="F116" s="1148">
        <v>30</v>
      </c>
    </row>
    <row r="117" spans="1:14" ht="36">
      <c r="A117" s="1148">
        <v>57</v>
      </c>
      <c r="B117" s="3445"/>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44" t="s">
        <v>1633</v>
      </c>
      <c r="B121" s="3444"/>
      <c r="C121" s="3444"/>
      <c r="D121" s="3444"/>
      <c r="E121" s="3444"/>
      <c r="F121" s="3444"/>
      <c r="G121" s="3444"/>
      <c r="H121" s="3444"/>
      <c r="I121" s="3444"/>
      <c r="J121" s="344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459" t="s">
        <v>1039</v>
      </c>
      <c r="B1" s="3459"/>
      <c r="C1" s="3459"/>
      <c r="D1" s="3459"/>
      <c r="E1" s="3459"/>
      <c r="F1" s="3459"/>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60" t="s">
        <v>1052</v>
      </c>
      <c r="B2" s="3460"/>
      <c r="C2" s="3460"/>
      <c r="D2" s="3460"/>
      <c r="E2" s="3460"/>
      <c r="F2" s="3460"/>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1"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2"/>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63" t="s">
        <v>2077</v>
      </c>
      <c r="B1" s="3463"/>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2091</v>
      </c>
      <c r="C72" s="1853"/>
      <c r="D72" s="1853"/>
      <c r="E72" s="1853"/>
      <c r="F72" s="1845">
        <v>0.05</v>
      </c>
    </row>
    <row r="73" spans="1:6" ht="24.75" thickBot="1">
      <c r="A73" s="1839" t="s">
        <v>925</v>
      </c>
      <c r="B73" s="1843" t="s">
        <v>2092</v>
      </c>
      <c r="C73" s="1853"/>
      <c r="D73" s="1853"/>
      <c r="E73" s="1853"/>
      <c r="F73" s="1845">
        <v>0.05</v>
      </c>
    </row>
    <row r="74" spans="1:6" ht="24.75" thickBot="1">
      <c r="A74" s="1839" t="s">
        <v>925</v>
      </c>
      <c r="B74" s="1843" t="s">
        <v>2093</v>
      </c>
      <c r="C74" s="1853"/>
      <c r="D74" s="1853"/>
      <c r="E74" s="1853"/>
      <c r="F74" s="1845">
        <v>0.05</v>
      </c>
    </row>
    <row r="75" spans="1:6" ht="24.7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24.7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6" t="s">
        <v>2574</v>
      </c>
      <c r="C1" s="3466"/>
      <c r="D1" s="3466"/>
      <c r="E1" s="3466"/>
      <c r="F1" s="3466"/>
      <c r="G1" s="3465" t="s">
        <v>2575</v>
      </c>
      <c r="H1" s="3465"/>
      <c r="I1" s="3465"/>
      <c r="J1" s="3465"/>
      <c r="K1" s="3465"/>
      <c r="L1" s="3465"/>
      <c r="N1" s="3465" t="s">
        <v>2576</v>
      </c>
      <c r="O1" s="3465"/>
      <c r="P1" s="3465"/>
      <c r="Q1" s="3465"/>
      <c r="R1" s="2617"/>
      <c r="S1" s="3465" t="s">
        <v>2577</v>
      </c>
      <c r="T1" s="3465"/>
      <c r="U1" s="3465"/>
      <c r="V1" s="3465"/>
      <c r="X1" s="3464" t="s">
        <v>2637</v>
      </c>
      <c r="Y1" s="3465"/>
      <c r="Z1" s="3465"/>
      <c r="AA1" s="3465"/>
      <c r="AB1" s="3465"/>
      <c r="AD1" s="3464" t="s">
        <v>2641</v>
      </c>
      <c r="AE1" s="3465"/>
      <c r="AF1" s="3465"/>
      <c r="AG1" s="3465"/>
      <c r="AH1" s="3465"/>
    </row>
    <row r="2" spans="1:34" s="2718" customFormat="1" ht="14.25" thickBot="1">
      <c r="B2" s="2726" t="s">
        <v>2578</v>
      </c>
      <c r="C2" s="2726" t="s">
        <v>2639</v>
      </c>
      <c r="D2" s="2719" t="s">
        <v>1644</v>
      </c>
      <c r="E2" s="2719" t="s">
        <v>1949</v>
      </c>
      <c r="F2" s="2726" t="s">
        <v>2640</v>
      </c>
      <c r="G2" s="2722"/>
      <c r="H2" s="2721"/>
      <c r="I2" s="2726" t="s">
        <v>2951</v>
      </c>
      <c r="J2" s="2719" t="s">
        <v>2953</v>
      </c>
      <c r="K2" s="2719" t="s">
        <v>2954</v>
      </c>
      <c r="L2" s="2726" t="s">
        <v>2955</v>
      </c>
      <c r="N2" s="2726" t="s">
        <v>2578</v>
      </c>
      <c r="O2" s="2719" t="s">
        <v>2952</v>
      </c>
      <c r="P2" s="2719" t="s">
        <v>1949</v>
      </c>
      <c r="Q2" s="2726" t="s">
        <v>2640</v>
      </c>
      <c r="R2" s="2720"/>
      <c r="S2" s="2726" t="s">
        <v>2578</v>
      </c>
      <c r="T2" s="2719" t="s">
        <v>2952</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25">
      <c r="A3" s="3094" t="s">
        <v>2964</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2987</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2965</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2988</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2984</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68">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2974</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6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2975</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6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2971</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74"/>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2962</v>
      </c>
      <c r="B11" s="3096">
        <v>439</v>
      </c>
      <c r="C11" s="3096">
        <v>327</v>
      </c>
      <c r="D11" s="3096">
        <f t="shared" si="54"/>
        <v>327</v>
      </c>
      <c r="E11" s="3096">
        <v>627</v>
      </c>
      <c r="F11" s="3097">
        <v>283</v>
      </c>
      <c r="G11" s="3473">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2966</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6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6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74"/>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73">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6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6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69"/>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67">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6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6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69"/>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67">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6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6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69"/>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70">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1"/>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71"/>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72"/>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67">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6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6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69"/>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67">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6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6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69">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67">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6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6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69">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67">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6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6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69">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67">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6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6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69">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67">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6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6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69">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67">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6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6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69">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67">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6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6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69">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67">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6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6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69">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67">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68">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68">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69">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67">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68">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68">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69">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2076</v>
      </c>
      <c r="D3" s="3057" t="s">
        <v>2941</v>
      </c>
      <c r="E3" s="3058">
        <f ca="1">SUMIF(E7:E14,"&lt;&gt;#ref!",E7:E14)</f>
        <v>0</v>
      </c>
      <c r="F3" s="3056"/>
    </row>
    <row r="4" spans="1:6" ht="14.25">
      <c r="A4" s="3057" t="s">
        <v>2948</v>
      </c>
      <c r="B4" s="3058" t="e">
        <f ca="1">ROUND(B2*10000/E4,0)</f>
        <v>#DIV/0!</v>
      </c>
      <c r="C4" s="3057" t="s">
        <v>2076</v>
      </c>
      <c r="D4" s="3057" t="s">
        <v>2949</v>
      </c>
      <c r="E4" s="3058">
        <f ca="1">SUMIF(F7:F14,"&lt;&gt;#ref!",F7:F14)</f>
        <v>0</v>
      </c>
      <c r="F4" s="3056"/>
    </row>
    <row r="5" spans="1:6" ht="14.25">
      <c r="A5" s="3059"/>
      <c r="B5" s="1865"/>
      <c r="C5" s="1865"/>
      <c r="D5" s="1865"/>
      <c r="E5" s="1865"/>
      <c r="F5" s="3056"/>
    </row>
    <row r="6" spans="1:6" ht="28.5">
      <c r="A6" s="3060" t="s">
        <v>2945</v>
      </c>
      <c r="B6" s="3057" t="s">
        <v>2942</v>
      </c>
      <c r="C6" s="3058"/>
      <c r="D6" s="1865"/>
      <c r="E6" s="3057" t="s">
        <v>2943</v>
      </c>
      <c r="F6" s="3057" t="s">
        <v>2947</v>
      </c>
    </row>
    <row r="7" spans="1:6" ht="14.25">
      <c r="A7" s="258" t="s">
        <v>2946</v>
      </c>
      <c r="B7" s="3061" t="e">
        <f ca="1">SUMIF(INDIRECT("'"&amp;A7&amp;"'"&amp;"!A:A"),"总价",INDIRECT("'"&amp;A7&amp;"'"&amp;"!B:B"))</f>
        <v>#DIV/0!</v>
      </c>
      <c r="C7" s="3057" t="s">
        <v>2940</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2940</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2940</v>
      </c>
      <c r="D9" s="1865"/>
      <c r="E9" s="3062" t="e">
        <f t="shared" ca="1" si="1"/>
        <v>#REF!</v>
      </c>
      <c r="F9" s="3062" t="e">
        <f t="shared" ca="1" si="2"/>
        <v>#REF!</v>
      </c>
    </row>
    <row r="10" spans="1:6" ht="14.25">
      <c r="A10" s="258"/>
      <c r="B10" s="3061" t="e">
        <f t="shared" ca="1" si="0"/>
        <v>#REF!</v>
      </c>
      <c r="C10" s="3057" t="s">
        <v>2940</v>
      </c>
      <c r="D10" s="1865"/>
      <c r="E10" s="3062" t="e">
        <f t="shared" ca="1" si="1"/>
        <v>#REF!</v>
      </c>
      <c r="F10" s="3062" t="e">
        <f t="shared" ca="1" si="2"/>
        <v>#REF!</v>
      </c>
    </row>
    <row r="11" spans="1:6" ht="14.25">
      <c r="A11" s="258"/>
      <c r="B11" s="3061" t="e">
        <f t="shared" ca="1" si="0"/>
        <v>#REF!</v>
      </c>
      <c r="C11" s="3057" t="s">
        <v>2940</v>
      </c>
      <c r="D11" s="1865"/>
      <c r="E11" s="3062" t="e">
        <f t="shared" ca="1" si="1"/>
        <v>#REF!</v>
      </c>
      <c r="F11" s="3062" t="e">
        <f t="shared" ca="1" si="2"/>
        <v>#REF!</v>
      </c>
    </row>
    <row r="12" spans="1:6" ht="14.25">
      <c r="A12" s="258"/>
      <c r="B12" s="3061" t="e">
        <f t="shared" ca="1" si="0"/>
        <v>#REF!</v>
      </c>
      <c r="C12" s="3057" t="s">
        <v>2940</v>
      </c>
      <c r="D12" s="1865"/>
      <c r="E12" s="3062" t="e">
        <f t="shared" ca="1" si="1"/>
        <v>#REF!</v>
      </c>
      <c r="F12" s="3062" t="e">
        <f t="shared" ca="1" si="2"/>
        <v>#REF!</v>
      </c>
    </row>
    <row r="13" spans="1:6" ht="14.25">
      <c r="A13" s="258"/>
      <c r="B13" s="3061" t="e">
        <f t="shared" ca="1" si="0"/>
        <v>#REF!</v>
      </c>
      <c r="C13" s="3057" t="s">
        <v>2940</v>
      </c>
      <c r="D13" s="1865"/>
      <c r="E13" s="3062" t="e">
        <f t="shared" ca="1" si="1"/>
        <v>#REF!</v>
      </c>
      <c r="F13" s="3062" t="e">
        <f t="shared" ca="1" si="2"/>
        <v>#REF!</v>
      </c>
    </row>
    <row r="14" spans="1:6" ht="14.25">
      <c r="A14" s="3055"/>
      <c r="B14" s="3061" t="e">
        <f t="shared" ca="1" si="0"/>
        <v>#REF!</v>
      </c>
      <c r="C14" s="3057" t="s">
        <v>2940</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0" t="s">
        <v>628</v>
      </c>
      <c r="B1" s="736"/>
      <c r="C1" s="771"/>
      <c r="D1" s="2034"/>
      <c r="E1" s="2350" t="s">
        <v>2372</v>
      </c>
      <c r="F1" s="2351">
        <f ca="1">J54</f>
        <v>-2.5</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2456</v>
      </c>
      <c r="C7" s="53">
        <f ca="1">C8+C12+C14</f>
        <v>0</v>
      </c>
      <c r="D7" s="2459" t="s">
        <v>2459</v>
      </c>
      <c r="E7" s="2453"/>
      <c r="F7" s="2454"/>
      <c r="G7" s="1577"/>
      <c r="H7" s="779">
        <v>1</v>
      </c>
      <c r="I7" s="780" t="s">
        <v>2456</v>
      </c>
      <c r="J7" s="53">
        <f ca="1">J8+J12+J14</f>
        <v>0</v>
      </c>
      <c r="K7" s="2459" t="s">
        <v>2459</v>
      </c>
      <c r="L7" s="2453"/>
      <c r="M7" s="2454"/>
    </row>
    <row r="8" spans="1:25" ht="18" customHeight="1">
      <c r="A8" s="1814" t="s">
        <v>1824</v>
      </c>
      <c r="B8" s="3476" t="s">
        <v>2461</v>
      </c>
      <c r="C8" s="1809">
        <f ca="1">ROUND(F8*F10*F9*(1-F11)/10000,0)</f>
        <v>0</v>
      </c>
      <c r="D8" s="1806" t="s">
        <v>2532</v>
      </c>
      <c r="E8" s="61" t="s">
        <v>637</v>
      </c>
      <c r="F8" s="783">
        <f ca="1">INDIRECT("'数据-取费表'!u"&amp;$G$1)</f>
        <v>0</v>
      </c>
      <c r="G8" s="1577"/>
      <c r="H8" s="2467" t="s">
        <v>1824</v>
      </c>
      <c r="I8" s="3476" t="s">
        <v>2461</v>
      </c>
      <c r="J8" s="781">
        <f ca="1">ROUND(M8*M10*M9*(1-M11)/10000,0)</f>
        <v>0</v>
      </c>
      <c r="K8" s="339" t="s">
        <v>2532</v>
      </c>
      <c r="L8" s="782" t="s">
        <v>1738</v>
      </c>
      <c r="M8" s="783">
        <f ca="1">INDIRECT("'数据-取费表'!z"&amp;$G$1)</f>
        <v>0</v>
      </c>
    </row>
    <row r="9" spans="1:25" ht="18" customHeight="1">
      <c r="A9" s="2463"/>
      <c r="B9" s="3477"/>
      <c r="C9" s="1810"/>
      <c r="D9" s="1807"/>
      <c r="E9" s="61" t="s">
        <v>638</v>
      </c>
      <c r="F9" s="783">
        <f ca="1">IF(INDIRECT("'数据-取费表'!ah"&amp;$G$1)="",INDIRECT("'数据-取费表'!k"&amp;$G$1),INDIRECT("'数据-取费表'!ah"&amp;$G$1))</f>
        <v>0</v>
      </c>
      <c r="G9" s="1577"/>
      <c r="H9" s="2452"/>
      <c r="I9" s="3477"/>
      <c r="J9" s="786"/>
      <c r="K9" s="787"/>
      <c r="L9" s="782" t="s">
        <v>1739</v>
      </c>
      <c r="M9" s="783">
        <f ca="1">F9</f>
        <v>0</v>
      </c>
    </row>
    <row r="10" spans="1:25" ht="18" customHeight="1">
      <c r="A10" s="2456"/>
      <c r="B10" s="3478"/>
      <c r="C10" s="1810"/>
      <c r="D10" s="1807"/>
      <c r="E10" s="61" t="s">
        <v>639</v>
      </c>
      <c r="F10" s="783">
        <f ca="1">INDIRECT("'数据-取费表'!ai"&amp;$G$1)</f>
        <v>0</v>
      </c>
      <c r="G10" s="1577"/>
      <c r="H10" s="2452"/>
      <c r="I10" s="3478"/>
      <c r="J10" s="786"/>
      <c r="K10" s="787"/>
      <c r="L10" s="782" t="s">
        <v>1740</v>
      </c>
      <c r="M10" s="783">
        <f ca="1">INDIRECT("'数据-取费表'!ai"&amp;$G$1)</f>
        <v>0</v>
      </c>
    </row>
    <row r="11" spans="1:25" ht="18" customHeight="1">
      <c r="A11" s="784"/>
      <c r="B11" s="3479"/>
      <c r="C11" s="1810"/>
      <c r="D11" s="1807"/>
      <c r="E11" s="61" t="s">
        <v>640</v>
      </c>
      <c r="F11" s="792">
        <f ca="1">INDIRECT("'数据-取费表'!w"&amp;$G$1)</f>
        <v>0</v>
      </c>
      <c r="G11" s="1577"/>
      <c r="H11" s="2468"/>
      <c r="I11" s="3478"/>
      <c r="J11" s="786"/>
      <c r="K11" s="787"/>
      <c r="L11" s="793" t="s">
        <v>1741</v>
      </c>
      <c r="M11" s="794">
        <f ca="1">INDIRECT("'数据-取费表'!ab"&amp;$G$1)</f>
        <v>0</v>
      </c>
    </row>
    <row r="12" spans="1:25" ht="18" customHeight="1">
      <c r="A12" s="1814" t="s">
        <v>1825</v>
      </c>
      <c r="B12" s="2457" t="s">
        <v>2457</v>
      </c>
      <c r="C12" s="797">
        <f ca="1">ROUND(IF(F12="押一",C8/12*F13,IF(F12="押二",C8/12*2*F13,IF(F12="押三",C8/12*3*F13,C13*F13))),0)</f>
        <v>0</v>
      </c>
      <c r="D12" s="2464" t="s">
        <v>2969</v>
      </c>
      <c r="E12" s="2461" t="s">
        <v>2462</v>
      </c>
      <c r="F12" s="2584"/>
      <c r="G12" s="1577"/>
      <c r="H12" s="2524" t="s">
        <v>1825</v>
      </c>
      <c r="I12" s="2529" t="s">
        <v>2457</v>
      </c>
      <c r="J12" s="781">
        <f ca="1">ROUND(IF(M12="押一",J8/12*M13,IF(M12="押二",J8/12*2*M13,IF(M12="押三",J8/12*3*M13,J13*M13))),0)</f>
        <v>0</v>
      </c>
      <c r="K12" s="2464" t="s">
        <v>2969</v>
      </c>
      <c r="L12" s="2461" t="s">
        <v>2462</v>
      </c>
      <c r="M12" s="2584"/>
    </row>
    <row r="13" spans="1:25" ht="18" customHeight="1">
      <c r="A13" s="788"/>
      <c r="B13" s="2458" t="s">
        <v>2571</v>
      </c>
      <c r="C13" s="2462"/>
      <c r="D13" s="787"/>
      <c r="E13" s="2461" t="s">
        <v>2454</v>
      </c>
      <c r="F13" s="794">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2822</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0.05</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ROUND(IF(项目基本情况!B11="自然人",J7*M19,J20+J21+J22),0)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0.16500000000000001</v>
      </c>
      <c r="G20" s="1578"/>
      <c r="H20" s="801" t="s">
        <v>1831</v>
      </c>
      <c r="I20" s="782" t="s">
        <v>660</v>
      </c>
      <c r="J20" s="53">
        <f ca="1">ROUND(J7*M20/1.05,1)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IF(K21="按租金收入计税",ROUND(J7*M21,1),ROUND(C31*F35*0.7,1))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0.02</v>
      </c>
      <c r="G22" s="1578"/>
      <c r="H22" s="1816" t="s">
        <v>1850</v>
      </c>
      <c r="I22" s="1806" t="s">
        <v>668</v>
      </c>
      <c r="J22" s="54">
        <f ca="1">ROUND(M22*M23/10000,0)</f>
        <v>0</v>
      </c>
      <c r="K22" s="812" t="s">
        <v>669</v>
      </c>
      <c r="L22" s="782" t="s">
        <v>670</v>
      </c>
      <c r="M22" s="638">
        <f>'数据-取费表'!B52</f>
        <v>5</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0.03</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2435</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1.8E-3</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2819</v>
      </c>
      <c r="J27" s="797">
        <f ca="1">J7-J18</f>
        <v>0</v>
      </c>
      <c r="K27" s="1963" t="s">
        <v>700</v>
      </c>
      <c r="L27" s="1965"/>
      <c r="M27" s="818"/>
    </row>
    <row r="28" spans="1:25" ht="18" customHeight="1">
      <c r="A28" s="801" t="s">
        <v>1875</v>
      </c>
      <c r="B28" s="782" t="s">
        <v>2436</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1" t="s">
        <v>1872</v>
      </c>
      <c r="I31" s="2963" t="s">
        <v>2821</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ROUND(IF(项目基本情况!B11="自然人",C7*F33,C34+C35+C36),1)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ROUND(C7*F34/1.05,1)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5</v>
      </c>
      <c r="G36" s="2046"/>
      <c r="H36" s="2049"/>
      <c r="I36" s="3475"/>
      <c r="J36" s="2063"/>
      <c r="K36" s="2064"/>
      <c r="L36" s="2063"/>
      <c r="M36" s="2063"/>
    </row>
    <row r="37" spans="1:18" ht="18" customHeight="1">
      <c r="A37" s="813"/>
      <c r="B37" s="791"/>
      <c r="C37" s="69"/>
      <c r="D37" s="814"/>
      <c r="E37" s="782" t="s">
        <v>674</v>
      </c>
      <c r="F37" s="783">
        <f ca="1">INDIRECT("'数据-取费表'!r"&amp;$G$1)</f>
        <v>0</v>
      </c>
      <c r="G37" s="2046"/>
      <c r="H37" s="2049"/>
      <c r="I37" s="3475"/>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2957</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2960</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8" t="str">
        <f ca="1">IF(M48="住宅",0,IF(L49&gt;J52,L61,J61))</f>
        <v>0</v>
      </c>
      <c r="O47" s="2357" t="s">
        <v>2408</v>
      </c>
      <c r="P47" s="1577"/>
      <c r="Q47" s="1588"/>
      <c r="R47" s="1577"/>
    </row>
    <row r="48" spans="1:18" s="2043" customFormat="1" ht="18" customHeight="1" thickBot="1">
      <c r="A48" s="2068"/>
      <c r="C48" s="2071"/>
      <c r="D48" s="2072"/>
      <c r="E48" s="2072"/>
      <c r="F48" s="2073"/>
      <c r="G48" s="2074"/>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7" t="s">
        <v>2343</v>
      </c>
      <c r="J49" s="2345"/>
      <c r="K49" s="3106"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7" t="s">
        <v>2344</v>
      </c>
      <c r="J50" s="2346"/>
      <c r="K50" s="3107"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7" t="s">
        <v>2345</v>
      </c>
      <c r="J51" s="3102">
        <f>SUMPRODUCT((I64:I66=J48)*(J63:L63=J49)*(J64:L66))</f>
        <v>0</v>
      </c>
      <c r="K51" s="3107" t="s">
        <v>2351</v>
      </c>
      <c r="L51" s="2347"/>
      <c r="O51" s="2364" t="s">
        <v>2381</v>
      </c>
      <c r="P51" s="2362" t="s">
        <v>2405</v>
      </c>
      <c r="Q51" s="2363">
        <f ca="1">C31</f>
        <v>0</v>
      </c>
      <c r="R51" s="2362" t="s">
        <v>2378</v>
      </c>
    </row>
    <row r="52" spans="1:18" s="2043" customFormat="1" ht="18" customHeight="1" thickBot="1">
      <c r="A52" s="2080"/>
      <c r="F52" s="2069"/>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3" customFormat="1" ht="18" customHeight="1" thickBot="1">
      <c r="A53" s="2080"/>
      <c r="F53" s="2069"/>
      <c r="I53" s="3100" t="s">
        <v>2419</v>
      </c>
      <c r="J53" s="2348"/>
      <c r="K53" s="3100" t="s">
        <v>2418</v>
      </c>
      <c r="L53" s="2348"/>
      <c r="O53" s="2364" t="s">
        <v>2384</v>
      </c>
      <c r="P53" s="2362" t="s">
        <v>2385</v>
      </c>
      <c r="Q53" s="2365">
        <f>J53</f>
        <v>0</v>
      </c>
      <c r="R53" s="2366"/>
    </row>
    <row r="54" spans="1:18" s="2043" customFormat="1" ht="29.25" thickBot="1">
      <c r="A54" s="2080"/>
      <c r="I54" s="3101" t="s">
        <v>2973</v>
      </c>
      <c r="J54" s="3104">
        <f ca="1">IF(M48="住宅",MAX(J52,L49-'数据-取费表'!B20),MIN(J52,L49-'数据-取费表'!B20))</f>
        <v>-2.5</v>
      </c>
      <c r="K54" s="3480"/>
      <c r="L54" s="3481"/>
      <c r="O54" s="2364" t="s">
        <v>2386</v>
      </c>
      <c r="P54" s="2362" t="s">
        <v>2387</v>
      </c>
      <c r="Q54" s="2363">
        <f ca="1">J54</f>
        <v>-2.5</v>
      </c>
      <c r="R54" s="2362" t="s">
        <v>2388</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3" customFormat="1" ht="16.5" thickBot="1">
      <c r="A56" s="2080"/>
      <c r="B56" s="2081"/>
      <c r="C56" s="2081"/>
      <c r="I56" s="3113" t="s">
        <v>2353</v>
      </c>
      <c r="J56" s="3052" t="e">
        <f ca="1">ROUND(IF(J48="钢混",J58/J51,1-(1-2%)*(J51-J58)/J51),3)</f>
        <v>#VALUE!</v>
      </c>
      <c r="K56" s="3114" t="s">
        <v>2354</v>
      </c>
      <c r="L56" s="2349"/>
      <c r="O56" s="2367" t="s">
        <v>2409</v>
      </c>
      <c r="P56" s="1577"/>
      <c r="Q56" s="1588"/>
      <c r="R56" s="1577"/>
    </row>
    <row r="57" spans="1:18" s="2043" customFormat="1" ht="43.5" thickBot="1">
      <c r="A57" s="2080"/>
      <c r="B57" s="2081"/>
      <c r="C57" s="2081"/>
      <c r="I57" s="3115" t="s">
        <v>2355</v>
      </c>
      <c r="J57" s="3125" t="s">
        <v>1678</v>
      </c>
      <c r="K57" s="3077" t="s">
        <v>2360</v>
      </c>
      <c r="L57" s="1892">
        <f ca="1">IF(L49&lt;J52,"——",L49-J52)</f>
        <v>0</v>
      </c>
      <c r="O57" s="2358" t="s">
        <v>2373</v>
      </c>
      <c r="P57" s="2359" t="s">
        <v>2374</v>
      </c>
      <c r="Q57" s="2360" t="s">
        <v>2375</v>
      </c>
      <c r="R57" s="2359" t="s">
        <v>2376</v>
      </c>
    </row>
    <row r="58" spans="1:18" s="2043" customFormat="1" ht="29.25" thickBot="1">
      <c r="A58" s="2080"/>
      <c r="B58" s="2081"/>
      <c r="C58" s="2081"/>
      <c r="I58" s="3116" t="s">
        <v>2356</v>
      </c>
      <c r="J58" s="3117" t="str">
        <f ca="1">IF(OR(M48="住宅",J52&lt;L49,J57="是"),"——",J52-L49)</f>
        <v>——</v>
      </c>
      <c r="K58" s="3077"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6" t="s">
        <v>2357</v>
      </c>
      <c r="J59" s="3053" t="e">
        <f ca="1">IF(J56&lt;0.4,0.4,J56)</f>
        <v>#VALUE!</v>
      </c>
      <c r="K59" s="3077"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6" t="s">
        <v>2358</v>
      </c>
      <c r="J60" s="3117" t="str">
        <f ca="1">IF(OR(M48="住宅",J52&lt;L49,J57="是"),"——",ROUND(C30*J59,0))</f>
        <v>——</v>
      </c>
      <c r="K60" s="3077"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21" t="s">
        <v>2365</v>
      </c>
      <c r="J63" s="3122" t="s">
        <v>2366</v>
      </c>
      <c r="K63" s="3122" t="s">
        <v>2367</v>
      </c>
      <c r="L63" s="3122" t="s">
        <v>2348</v>
      </c>
      <c r="M63" s="3123" t="s">
        <v>2937</v>
      </c>
      <c r="O63" s="2364" t="s">
        <v>2386</v>
      </c>
      <c r="P63" s="2362" t="s">
        <v>2394</v>
      </c>
      <c r="Q63" s="2363">
        <f ca="1">L60</f>
        <v>0</v>
      </c>
      <c r="R63" s="2366" t="s">
        <v>2395</v>
      </c>
    </row>
    <row r="64" spans="1:18" s="2043" customFormat="1" ht="15.75" thickBot="1">
      <c r="A64" s="2080"/>
      <c r="B64" s="2081"/>
      <c r="C64" s="2081"/>
      <c r="I64" s="3121" t="s">
        <v>2368</v>
      </c>
      <c r="J64" s="3122">
        <v>70</v>
      </c>
      <c r="K64" s="3122">
        <v>50</v>
      </c>
      <c r="L64" s="3122">
        <v>80</v>
      </c>
      <c r="M64" s="3124">
        <v>0.02</v>
      </c>
      <c r="O64" s="2361" t="s">
        <v>2389</v>
      </c>
      <c r="P64" s="2362" t="s">
        <v>2406</v>
      </c>
      <c r="Q64" s="2363" t="e">
        <f ca="1">Q58+Q59</f>
        <v>#DIV/0!</v>
      </c>
      <c r="R64" s="2366" t="s">
        <v>2390</v>
      </c>
    </row>
    <row r="65" spans="1:18" s="2043" customFormat="1" ht="16.5" thickBot="1">
      <c r="A65" s="2080"/>
      <c r="B65" s="2081"/>
      <c r="C65" s="2081"/>
      <c r="I65" s="3121" t="s">
        <v>2369</v>
      </c>
      <c r="J65" s="3122">
        <v>50</v>
      </c>
      <c r="K65" s="3122">
        <v>35</v>
      </c>
      <c r="L65" s="3122">
        <v>60</v>
      </c>
      <c r="M65" s="844">
        <v>0</v>
      </c>
      <c r="O65" s="2367" t="s">
        <v>2413</v>
      </c>
      <c r="P65" s="1577"/>
      <c r="Q65" s="1588"/>
      <c r="R65" s="1577"/>
    </row>
    <row r="66" spans="1:18" s="2043" customFormat="1" ht="15.75" thickBot="1">
      <c r="A66" s="2080"/>
      <c r="B66" s="2081"/>
      <c r="C66" s="2081"/>
      <c r="I66" s="3121" t="s">
        <v>2370</v>
      </c>
      <c r="J66" s="3122">
        <v>40</v>
      </c>
      <c r="K66" s="3122">
        <v>30</v>
      </c>
      <c r="L66" s="3122">
        <v>50</v>
      </c>
      <c r="M66" s="3124">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56.25">
      <c r="A7" s="1779" t="s">
        <v>2744</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2936</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18.75">
      <c r="A21" s="1775" t="s">
        <v>2072</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C38" zoomScale="80" zoomScaleNormal="80" zoomScalePageLayoutView="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0" t="s">
        <v>1725</v>
      </c>
      <c r="B1" s="736"/>
      <c r="C1" s="771"/>
      <c r="D1" s="3076" t="s">
        <v>952</v>
      </c>
      <c r="E1" s="2350" t="s">
        <v>2372</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#DIV/0!</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2456</v>
      </c>
      <c r="C5" s="55">
        <f ca="1">C6+C10+C12</f>
        <v>0</v>
      </c>
      <c r="D5" s="2459" t="s">
        <v>2459</v>
      </c>
      <c r="E5" s="2453"/>
      <c r="F5" s="2454"/>
      <c r="G5" s="1577"/>
      <c r="H5" s="779">
        <v>1</v>
      </c>
      <c r="I5" s="780" t="s">
        <v>2456</v>
      </c>
      <c r="J5" s="55">
        <f ca="1">J6+J10+J12</f>
        <v>0</v>
      </c>
      <c r="K5" s="2459" t="s">
        <v>2459</v>
      </c>
      <c r="L5" s="2453"/>
      <c r="M5" s="2454"/>
    </row>
    <row r="6" spans="1:33" ht="18" customHeight="1">
      <c r="A6" s="1814" t="s">
        <v>1824</v>
      </c>
      <c r="B6" s="3476" t="s">
        <v>2461</v>
      </c>
      <c r="C6" s="781">
        <f ca="1">ROUND(F6*F8*F7*(1-F9)/10000,0)</f>
        <v>0</v>
      </c>
      <c r="D6" s="2460" t="s">
        <v>2460</v>
      </c>
      <c r="E6" s="782" t="s">
        <v>1738</v>
      </c>
      <c r="F6" s="783">
        <f ca="1">INDIRECT("'数据-取费表'!u"&amp;$G$1)</f>
        <v>0</v>
      </c>
      <c r="G6" s="1577"/>
      <c r="H6" s="2467" t="s">
        <v>2466</v>
      </c>
      <c r="I6" s="3476" t="s">
        <v>2461</v>
      </c>
      <c r="J6" s="781">
        <f ca="1">ROUND(M6*M8*M7*(1-M9)/10000,0)</f>
        <v>0</v>
      </c>
      <c r="K6" s="339" t="s">
        <v>1737</v>
      </c>
      <c r="L6" s="782" t="s">
        <v>1738</v>
      </c>
      <c r="M6" s="783">
        <f ca="1">INDIRECT("'数据-取费表'!z"&amp;$G$1)</f>
        <v>0</v>
      </c>
    </row>
    <row r="7" spans="1:33" ht="18" customHeight="1">
      <c r="A7" s="2463"/>
      <c r="B7" s="3477"/>
      <c r="C7" s="786"/>
      <c r="D7" s="787"/>
      <c r="E7" s="782" t="s">
        <v>1739</v>
      </c>
      <c r="F7" s="783">
        <f ca="1">IF(INDIRECT("'数据-取费表'!ah"&amp;$G$1)="",INDIRECT("'数据-取费表'!k"&amp;$G$1),INDIRECT("'数据-取费表'!ah"&amp;$G$1))</f>
        <v>0</v>
      </c>
      <c r="G7" s="1577"/>
      <c r="H7" s="2452"/>
      <c r="I7" s="3477"/>
      <c r="J7" s="786"/>
      <c r="K7" s="787"/>
      <c r="L7" s="782" t="s">
        <v>1739</v>
      </c>
      <c r="M7" s="783">
        <f ca="1">F7</f>
        <v>0</v>
      </c>
    </row>
    <row r="8" spans="1:33" ht="18" customHeight="1">
      <c r="A8" s="2456"/>
      <c r="B8" s="3478"/>
      <c r="C8" s="786"/>
      <c r="D8" s="787"/>
      <c r="E8" s="782" t="s">
        <v>1740</v>
      </c>
      <c r="F8" s="783">
        <f ca="1">INDIRECT("'数据-取费表'!ai"&amp;$G$1)</f>
        <v>0</v>
      </c>
      <c r="G8" s="1577"/>
      <c r="H8" s="2452"/>
      <c r="I8" s="3478"/>
      <c r="J8" s="786"/>
      <c r="K8" s="787"/>
      <c r="L8" s="782" t="s">
        <v>1740</v>
      </c>
      <c r="M8" s="783">
        <f ca="1">INDIRECT("'数据-取费表'!ai"&amp;$G$1)</f>
        <v>0</v>
      </c>
    </row>
    <row r="9" spans="1:33" ht="18" customHeight="1">
      <c r="A9" s="784"/>
      <c r="B9" s="3479"/>
      <c r="C9" s="786"/>
      <c r="D9" s="787"/>
      <c r="E9" s="782" t="s">
        <v>1741</v>
      </c>
      <c r="F9" s="792">
        <f ca="1">INDIRECT("'数据-取费表'!w"&amp;$G$1)</f>
        <v>0</v>
      </c>
      <c r="G9" s="1577"/>
      <c r="H9" s="2468"/>
      <c r="I9" s="3478"/>
      <c r="J9" s="786"/>
      <c r="K9" s="787"/>
      <c r="L9" s="793" t="s">
        <v>1741</v>
      </c>
      <c r="M9" s="794">
        <f ca="1">INDIRECT("'数据-取费表'!ab"&amp;$G$1)</f>
        <v>0</v>
      </c>
    </row>
    <row r="10" spans="1:33" ht="18" customHeight="1">
      <c r="A10" s="1814" t="s">
        <v>2464</v>
      </c>
      <c r="B10" s="2457" t="s">
        <v>2457</v>
      </c>
      <c r="C10" s="797">
        <f ca="1">ROUND(IF(F10="押一",C6/12*F11,IF(F10="押二",C6/12*2*F11,IF(F10="押三",C6/12*3*F11,C11*F11))),0)</f>
        <v>0</v>
      </c>
      <c r="D10" s="2464" t="s">
        <v>2969</v>
      </c>
      <c r="E10" s="2461" t="s">
        <v>2462</v>
      </c>
      <c r="F10" s="2584"/>
      <c r="G10" s="1577"/>
      <c r="H10" s="2524" t="s">
        <v>2467</v>
      </c>
      <c r="I10" s="2529" t="s">
        <v>2457</v>
      </c>
      <c r="J10" s="781">
        <f ca="1">ROUND(IF(M10="押一",J6/12*M11,IF(M10="押二",J6/12*2*M11,IF(M10="押三",J6/12*3*M11,J11*M11))),0)</f>
        <v>0</v>
      </c>
      <c r="K10" s="2464" t="s">
        <v>2969</v>
      </c>
      <c r="L10" s="2461" t="s">
        <v>2462</v>
      </c>
      <c r="M10" s="2584"/>
    </row>
    <row r="11" spans="1:33" ht="18" customHeight="1">
      <c r="A11" s="788"/>
      <c r="B11" s="2458" t="s">
        <v>2571</v>
      </c>
      <c r="C11" s="2462"/>
      <c r="D11" s="787"/>
      <c r="E11" s="2461" t="s">
        <v>2463</v>
      </c>
      <c r="F11" s="794">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0">
        <f ca="1">ROUND(C29*F13,0)</f>
        <v>0</v>
      </c>
      <c r="D13" s="1818" t="s">
        <v>2295</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0</v>
      </c>
      <c r="D14" s="1963" t="s">
        <v>1745</v>
      </c>
      <c r="E14" s="1964"/>
      <c r="F14" s="803"/>
      <c r="G14" s="1577"/>
      <c r="H14" s="1633" t="s">
        <v>1830</v>
      </c>
      <c r="I14" s="2215" t="s">
        <v>2823</v>
      </c>
      <c r="J14" s="53">
        <f ca="1">C29</f>
        <v>0</v>
      </c>
      <c r="K14" s="26"/>
      <c r="L14" s="799"/>
      <c r="M14" s="800"/>
    </row>
    <row r="15" spans="1:33" s="2048" customFormat="1" ht="18" customHeight="1" thickBot="1">
      <c r="A15" s="1632" t="s">
        <v>1885</v>
      </c>
      <c r="B15" s="782" t="s">
        <v>647</v>
      </c>
      <c r="C15" s="53">
        <f ca="1">ROUND(C14*F15,0)</f>
        <v>0</v>
      </c>
      <c r="D15" s="804" t="s">
        <v>1746</v>
      </c>
      <c r="E15" s="804" t="s">
        <v>1747</v>
      </c>
      <c r="F15" s="805">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0</v>
      </c>
      <c r="K16" s="1805" t="s">
        <v>1750</v>
      </c>
      <c r="L16" s="2449"/>
      <c r="M16" s="2454"/>
    </row>
    <row r="17" spans="1:33" s="2048" customFormat="1" ht="18" customHeight="1">
      <c r="A17" s="1632" t="s">
        <v>1887</v>
      </c>
      <c r="B17" s="782" t="s">
        <v>653</v>
      </c>
      <c r="C17" s="53">
        <f ca="1">ROUND(F17*(F43+INDIRECT("'数据-取费表'!S"&amp;$G$1))/10000,0)</f>
        <v>0</v>
      </c>
      <c r="D17" s="782" t="s">
        <v>1751</v>
      </c>
      <c r="E17" s="782" t="s">
        <v>1752</v>
      </c>
      <c r="F17" s="56">
        <f>'数据-取费表'!B35</f>
        <v>200</v>
      </c>
      <c r="G17" s="1578"/>
      <c r="H17" s="1633" t="s">
        <v>1830</v>
      </c>
      <c r="I17" s="782" t="s">
        <v>656</v>
      </c>
      <c r="J17" s="53">
        <f ca="1">ROUND(IF(项目基本情况!B11="自然人",J5*M17,J18+J19+J20),0)</f>
        <v>0</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0</v>
      </c>
      <c r="D18" s="782" t="s">
        <v>1746</v>
      </c>
      <c r="E18" s="782" t="s">
        <v>1747</v>
      </c>
      <c r="F18" s="807">
        <f>'数据-取费表'!B36</f>
        <v>0.16500000000000001</v>
      </c>
      <c r="G18" s="1578"/>
      <c r="H18" s="1632" t="s">
        <v>1884</v>
      </c>
      <c r="I18" s="782" t="s">
        <v>1755</v>
      </c>
      <c r="J18" s="53">
        <f ca="1">ROUND(J5*M18/1.05,1)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0</v>
      </c>
      <c r="D19" s="259" t="s">
        <v>1757</v>
      </c>
      <c r="E19" s="1966"/>
      <c r="F19" s="56"/>
      <c r="G19" s="1577"/>
      <c r="H19" s="1632" t="s">
        <v>1885</v>
      </c>
      <c r="I19" s="782" t="s">
        <v>1758</v>
      </c>
      <c r="J19" s="53">
        <f ca="1">IF(K19="按租金收入计税",ROUND(J5*M19,1),ROUND(C29*F33*0.7,1))</f>
        <v>0</v>
      </c>
      <c r="K19" s="809" t="s">
        <v>665</v>
      </c>
      <c r="L19" s="782" t="s">
        <v>1747</v>
      </c>
      <c r="M19" s="807">
        <f>IF(K19="按租金收入计税",'数据-取费表'!B51,'数据-取费表'!B50)</f>
        <v>1.2E-2</v>
      </c>
    </row>
    <row r="20" spans="1:33" s="2048" customFormat="1" ht="18" customHeight="1">
      <c r="A20" s="1633" t="s">
        <v>1889</v>
      </c>
      <c r="B20" s="782" t="s">
        <v>666</v>
      </c>
      <c r="C20" s="53">
        <f ca="1">ROUND(C19*F20,0)</f>
        <v>0</v>
      </c>
      <c r="D20" s="810" t="s">
        <v>1759</v>
      </c>
      <c r="E20" s="782" t="s">
        <v>1747</v>
      </c>
      <c r="F20" s="807">
        <f>'数据-取费表'!B37</f>
        <v>0.02</v>
      </c>
      <c r="G20" s="1578"/>
      <c r="H20" s="1635" t="s">
        <v>1880</v>
      </c>
      <c r="I20" s="339" t="s">
        <v>1760</v>
      </c>
      <c r="J20" s="54">
        <f ca="1">ROUND(M20*M21/10000,0)</f>
        <v>0</v>
      </c>
      <c r="K20" s="812" t="s">
        <v>1761</v>
      </c>
      <c r="L20" s="782" t="s">
        <v>1762</v>
      </c>
      <c r="M20" s="638">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0.03</v>
      </c>
      <c r="G21" s="1578"/>
      <c r="H21" s="2469"/>
      <c r="I21" s="791"/>
      <c r="J21" s="69"/>
      <c r="K21" s="814"/>
      <c r="L21" s="782" t="s">
        <v>1766</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0</v>
      </c>
      <c r="K22" s="2447" t="s">
        <v>1769</v>
      </c>
      <c r="L22" s="782" t="s">
        <v>1747</v>
      </c>
      <c r="M22" s="815">
        <f ca="1">INDIRECT("'数据-取费表'!Ak"&amp;$G$1)</f>
        <v>0</v>
      </c>
    </row>
    <row r="23" spans="1:33" s="2048" customFormat="1" ht="18" customHeight="1">
      <c r="A23" s="1632" t="s">
        <v>1831</v>
      </c>
      <c r="B23" s="782" t="s">
        <v>2533</v>
      </c>
      <c r="C23" s="53">
        <f ca="1">ROUND(IF('数据-取费表'!B22&lt;=1,(C19+C20)*F24*F23/2,(C19+C20)*(POWER((1+F24),F23/2)-1)),0)</f>
        <v>0</v>
      </c>
      <c r="D23" s="2534"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7" t="s">
        <v>1771</v>
      </c>
      <c r="L23" s="782" t="s">
        <v>1747</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1.8E-3</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2819</v>
      </c>
      <c r="J25" s="790">
        <f ca="1">J5-J16</f>
        <v>0</v>
      </c>
      <c r="K25" s="2511" t="s">
        <v>1777</v>
      </c>
      <c r="L25" s="2512"/>
      <c r="M25" s="2513"/>
    </row>
    <row r="26" spans="1:33" ht="18" customHeight="1">
      <c r="A26" s="1632" t="s">
        <v>1831</v>
      </c>
      <c r="B26" s="782" t="s">
        <v>2436</v>
      </c>
      <c r="C26" s="53">
        <f ca="1">ROUND((C19+C20)*F26,0)</f>
        <v>0</v>
      </c>
      <c r="D26" s="810" t="s">
        <v>1778</v>
      </c>
      <c r="E26" s="793" t="s">
        <v>1779</v>
      </c>
      <c r="F26" s="792">
        <f ca="1">INDIRECT("'数据-取费表'!q"&amp;$G$1)</f>
        <v>0</v>
      </c>
      <c r="G26" s="1577"/>
      <c r="H26" s="2465" t="s">
        <v>1780</v>
      </c>
      <c r="I26" s="2216" t="s">
        <v>2824</v>
      </c>
      <c r="J26" s="781">
        <f ca="1">IF(J5&lt;&gt;0,ROUND(J25*(1-((1+M28)/(1+M26))^M27)/(M26-M28),0),0)</f>
        <v>0</v>
      </c>
      <c r="K26" s="812" t="s">
        <v>1781</v>
      </c>
      <c r="L26" s="782" t="s">
        <v>2417</v>
      </c>
      <c r="M26" s="792">
        <f ca="1">INDIRECT("'数据-取费表'!I"&amp;$G$1)</f>
        <v>0</v>
      </c>
    </row>
    <row r="27" spans="1:33" ht="18" customHeight="1">
      <c r="A27" s="1632" t="s">
        <v>1832</v>
      </c>
      <c r="B27" s="782" t="s">
        <v>686</v>
      </c>
      <c r="C27" s="53">
        <f ca="1">ROUND(F21*F26,4)</f>
        <v>0</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1" t="s">
        <v>1787</v>
      </c>
      <c r="I29" s="822" t="s">
        <v>1788</v>
      </c>
      <c r="J29" s="823">
        <f ca="1">ROUND(J26/(1+F40)^F41,0)</f>
        <v>0</v>
      </c>
      <c r="K29" s="824" t="s">
        <v>1789</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0</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ROUND(IF(项目基本情况!B11="自然人",C5*F31,C32+C33+C34),1)</f>
        <v>0</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ROUND(C5*F32/1.05,1)</f>
        <v>0</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IF(D33="按租金收入计税",ROUND(C5*F33,1),IF(D33="按房产原值计税",ROUND(C29*F33*0.7,1),INDIRECT("'数据-取费表'!Aj"&amp;$G$1)))</f>
        <v>0</v>
      </c>
      <c r="D33" s="809" t="s">
        <v>1680</v>
      </c>
      <c r="E33" s="782" t="s">
        <v>1796</v>
      </c>
      <c r="F33" s="807">
        <f>IF(D33="按租金收入计税",'数据-取费表'!B51,'数据-取费表'!B50)</f>
        <v>1.2E-2</v>
      </c>
      <c r="G33" s="2046"/>
      <c r="H33" s="2061"/>
      <c r="I33" s="2061"/>
      <c r="J33" s="2061"/>
      <c r="K33" s="2062"/>
      <c r="L33" s="2061"/>
      <c r="M33" s="2061"/>
    </row>
    <row r="34" spans="1:18" ht="18" customHeight="1">
      <c r="A34" s="1635" t="s">
        <v>1833</v>
      </c>
      <c r="B34" s="339" t="s">
        <v>1798</v>
      </c>
      <c r="C34" s="54">
        <f ca="1">ROUND(F34*F35/10000,1)</f>
        <v>0</v>
      </c>
      <c r="D34" s="812" t="s">
        <v>1799</v>
      </c>
      <c r="E34" s="782" t="s">
        <v>1800</v>
      </c>
      <c r="F34" s="638">
        <f>'数据-取费表'!B52</f>
        <v>5</v>
      </c>
      <c r="G34" s="2046"/>
      <c r="H34" s="2049"/>
      <c r="I34" s="833" t="s">
        <v>1813</v>
      </c>
      <c r="J34" s="834"/>
      <c r="K34" s="2064"/>
      <c r="L34" s="2063"/>
      <c r="M34" s="2063"/>
    </row>
    <row r="35" spans="1:18" ht="18" customHeight="1">
      <c r="A35" s="813"/>
      <c r="B35" s="791"/>
      <c r="C35" s="69"/>
      <c r="D35" s="814"/>
      <c r="E35" s="782" t="s">
        <v>1801</v>
      </c>
      <c r="F35" s="783">
        <f ca="1">INDIRECT("'数据-取费表'!r"&amp;$G$1)</f>
        <v>0</v>
      </c>
      <c r="G35" s="2046"/>
      <c r="H35" s="2049"/>
      <c r="I35" s="835" t="s">
        <v>1814</v>
      </c>
      <c r="J35" s="836">
        <f ca="1">ROUND(C13*J36,0)</f>
        <v>0</v>
      </c>
      <c r="K35" s="2062"/>
      <c r="L35" s="2061"/>
      <c r="M35" s="2061"/>
    </row>
    <row r="36" spans="1:18" ht="18" customHeight="1">
      <c r="A36" s="1633" t="s">
        <v>1889</v>
      </c>
      <c r="B36" s="782" t="s">
        <v>1802</v>
      </c>
      <c r="C36" s="53">
        <f ca="1">ROUND(C29*F36,1)</f>
        <v>0</v>
      </c>
      <c r="D36" s="1961" t="s">
        <v>1803</v>
      </c>
      <c r="E36" s="782" t="s">
        <v>1796</v>
      </c>
      <c r="F36" s="815">
        <f ca="1">INDIRECT("'数据-取费表'!Ak"&amp;$G$1)</f>
        <v>0</v>
      </c>
      <c r="G36" s="2046"/>
      <c r="H36" s="2061"/>
      <c r="I36" s="837" t="s">
        <v>1815</v>
      </c>
      <c r="J36" s="838">
        <f ca="1">INDIRECT("'数据-取费表'!j"&amp;$G$1)</f>
        <v>0</v>
      </c>
      <c r="K36" s="2066"/>
      <c r="L36" s="2061"/>
      <c r="M36" s="2061"/>
    </row>
    <row r="37" spans="1:18" ht="18" customHeight="1">
      <c r="A37" s="1633" t="s">
        <v>1890</v>
      </c>
      <c r="B37" s="782" t="s">
        <v>679</v>
      </c>
      <c r="C37" s="53">
        <f ca="1">ROUND(C13*F37,1)</f>
        <v>0</v>
      </c>
      <c r="D37" s="1961" t="s">
        <v>1804</v>
      </c>
      <c r="E37" s="782" t="s">
        <v>1796</v>
      </c>
      <c r="F37" s="816">
        <f ca="1">INDIRECT("'数据-取费表'!Al"&amp;$G$1)</f>
        <v>0</v>
      </c>
      <c r="G37" s="2046"/>
      <c r="H37" s="2061"/>
      <c r="I37" s="839" t="s">
        <v>1816</v>
      </c>
      <c r="J37" s="840"/>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1" t="s">
        <v>1817</v>
      </c>
      <c r="J38" s="842"/>
      <c r="K38" s="2067"/>
      <c r="L38" s="2061"/>
      <c r="M38" s="2061"/>
    </row>
    <row r="39" spans="1:18" ht="24.6" customHeight="1" thickTop="1">
      <c r="A39" s="1813" t="s">
        <v>1894</v>
      </c>
      <c r="B39" s="2961" t="s">
        <v>2819</v>
      </c>
      <c r="C39" s="790">
        <f ca="1">C5-C30</f>
        <v>0</v>
      </c>
      <c r="D39" s="2511" t="s">
        <v>1806</v>
      </c>
      <c r="E39" s="2512"/>
      <c r="F39" s="2513"/>
      <c r="G39" s="2046"/>
      <c r="H39" s="2061"/>
      <c r="I39" s="835" t="s">
        <v>1818</v>
      </c>
      <c r="J39" s="843" t="e">
        <f ca="1">ROUND(J35/C39,3)</f>
        <v>#DIV/0!</v>
      </c>
      <c r="K39" s="2067"/>
      <c r="L39" s="2061"/>
      <c r="M39" s="2061"/>
    </row>
    <row r="40" spans="1:18" ht="18" customHeight="1">
      <c r="A40" s="779" t="s">
        <v>1895</v>
      </c>
      <c r="B40" s="2216" t="s">
        <v>2299</v>
      </c>
      <c r="C40" s="781" t="e">
        <f ca="1">ROUND(C39*(1-((1+F42)/(1+F40))^F41)/(F40-F42),0)</f>
        <v>#DIV/0!</v>
      </c>
      <c r="D40" s="812" t="s">
        <v>1807</v>
      </c>
      <c r="E40" s="782" t="s">
        <v>2417</v>
      </c>
      <c r="F40" s="792">
        <f ca="1">INDIRECT("'数据-取费表'!I"&amp;$G$1)</f>
        <v>0</v>
      </c>
      <c r="G40" s="2046"/>
      <c r="H40" s="2046"/>
      <c r="I40" s="835" t="s">
        <v>1819</v>
      </c>
      <c r="J40" s="843" t="e">
        <f ca="1">1-J39</f>
        <v>#DIV/0!</v>
      </c>
      <c r="K40" s="2067"/>
      <c r="L40" s="2046"/>
      <c r="M40" s="2046"/>
    </row>
    <row r="41" spans="1:18" ht="18" customHeight="1">
      <c r="A41" s="784"/>
      <c r="B41" s="785"/>
      <c r="C41" s="786"/>
      <c r="D41" s="819" t="s">
        <v>1808</v>
      </c>
      <c r="E41" s="782" t="s">
        <v>2959</v>
      </c>
      <c r="F41" s="820">
        <f ca="1">IF(INDIRECT("'数据-取费表'!af"&amp;$G$1)=0,INDIRECT("'数据-取费表'!ae"&amp;$G$1),INDIRECT("'数据-取费表'!af"&amp;$G$1))</f>
        <v>0</v>
      </c>
      <c r="G41" s="2046"/>
      <c r="H41" s="1972"/>
      <c r="I41" s="841" t="s">
        <v>1820</v>
      </c>
      <c r="J41" s="844"/>
      <c r="K41" s="2066"/>
      <c r="L41" s="1972"/>
      <c r="M41" s="1972"/>
    </row>
    <row r="42" spans="1:18" ht="18" customHeight="1">
      <c r="A42" s="788"/>
      <c r="B42" s="789"/>
      <c r="C42" s="790"/>
      <c r="D42" s="814"/>
      <c r="E42" s="782" t="s">
        <v>1809</v>
      </c>
      <c r="F42" s="792">
        <f ca="1">INDIRECT("'数据-取费表'!v"&amp;$G$1)</f>
        <v>0</v>
      </c>
      <c r="G42" s="2046"/>
      <c r="H42" s="1972"/>
      <c r="I42" s="845" t="s">
        <v>1821</v>
      </c>
      <c r="J42" s="843" t="e">
        <f ca="1">ROUND(C13/C40,3)</f>
        <v>#DIV/0!</v>
      </c>
      <c r="K42" s="2066"/>
      <c r="L42" s="1972"/>
      <c r="M42" s="1972"/>
    </row>
    <row r="43" spans="1:18" ht="18" customHeight="1" thickBot="1">
      <c r="A43" s="821" t="s">
        <v>1787</v>
      </c>
      <c r="B43" s="822" t="s">
        <v>1810</v>
      </c>
      <c r="C43" s="823" t="e">
        <f ca="1">ROUND(C40*10000/F43,0)</f>
        <v>#DIV/0!</v>
      </c>
      <c r="D43" s="824" t="s">
        <v>1811</v>
      </c>
      <c r="E43" s="825" t="s">
        <v>1812</v>
      </c>
      <c r="F43" s="826">
        <f ca="1">INDIRECT("'数据-取费表'!k"&amp;$G$1)</f>
        <v>0</v>
      </c>
      <c r="G43" s="2046"/>
      <c r="H43" s="1972"/>
      <c r="I43" s="845" t="s">
        <v>1822</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t="e">
        <f ca="1">C67-C40</f>
        <v>#DIV/0!</v>
      </c>
      <c r="D46" s="2069"/>
      <c r="E46" s="2069"/>
      <c r="F46" s="2069"/>
      <c r="I46" s="2341" t="s">
        <v>2341</v>
      </c>
      <c r="J46" s="2342"/>
      <c r="K46" s="2343"/>
      <c r="L46" s="3108" t="e">
        <f ca="1">IF(OR(M47="住宅",D1="土地（套用方法）"),0,IF(L48&gt;J51,L60,J60))</f>
        <v>#DIV/0!</v>
      </c>
      <c r="O46" s="2357" t="s">
        <v>2408</v>
      </c>
      <c r="P46" s="1577"/>
      <c r="Q46" s="1588"/>
      <c r="R46" s="1577"/>
    </row>
    <row r="47" spans="1:18" s="2043" customFormat="1" ht="18" customHeight="1" thickBot="1">
      <c r="A47" s="2335">
        <v>1</v>
      </c>
      <c r="B47" s="2336" t="s">
        <v>635</v>
      </c>
      <c r="C47" s="2537">
        <f ca="1">C48+C52+C54</f>
        <v>0</v>
      </c>
      <c r="D47" s="2069"/>
      <c r="E47" s="2069"/>
      <c r="F47" s="2069"/>
      <c r="I47" s="3098" t="s">
        <v>2342</v>
      </c>
      <c r="J47" s="2344"/>
      <c r="K47" s="3105" t="s">
        <v>2347</v>
      </c>
      <c r="L47" s="3109">
        <f ca="1">INDIRECT("'数据-取费表'!d"&amp;$G$1)</f>
        <v>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7" t="s">
        <v>2343</v>
      </c>
      <c r="J48" s="2345"/>
      <c r="K48" s="3106" t="s">
        <v>2349</v>
      </c>
      <c r="L48" s="1892">
        <f ca="1">INDIRECT("'数据-取费表'!f"&amp;$G$1)</f>
        <v>0</v>
      </c>
      <c r="O48" s="2361" t="s">
        <v>2377</v>
      </c>
      <c r="P48" s="2362" t="s">
        <v>2403</v>
      </c>
      <c r="Q48" s="2363" t="e">
        <f ca="1">C40+J29</f>
        <v>#DIV/0!</v>
      </c>
      <c r="R48" s="2362" t="s">
        <v>2378</v>
      </c>
    </row>
    <row r="49" spans="1:18" s="2043" customFormat="1" ht="18" customHeight="1" thickBot="1">
      <c r="A49" s="784"/>
      <c r="B49" s="785"/>
      <c r="C49" s="786"/>
      <c r="D49" s="787"/>
      <c r="E49" s="782" t="s">
        <v>1739</v>
      </c>
      <c r="F49" s="783">
        <f ca="1">F7</f>
        <v>0</v>
      </c>
      <c r="G49" s="2074"/>
      <c r="H49" s="2077"/>
      <c r="I49" s="3077" t="s">
        <v>2344</v>
      </c>
      <c r="J49" s="2346"/>
      <c r="K49" s="3107" t="s">
        <v>2350</v>
      </c>
      <c r="L49" s="2347"/>
      <c r="O49" s="2361" t="s">
        <v>2379</v>
      </c>
      <c r="P49" s="2362" t="s">
        <v>2404</v>
      </c>
      <c r="Q49" s="2363" t="e">
        <f ca="1">J60</f>
        <v>#DIV/0!</v>
      </c>
      <c r="R49" s="2362" t="s">
        <v>2380</v>
      </c>
    </row>
    <row r="50" spans="1:18" s="2043" customFormat="1" ht="18" customHeight="1" thickBot="1">
      <c r="A50" s="784"/>
      <c r="B50" s="785"/>
      <c r="C50" s="786"/>
      <c r="D50" s="787"/>
      <c r="E50" s="782" t="s">
        <v>1740</v>
      </c>
      <c r="F50" s="783">
        <f ca="1">F8</f>
        <v>0</v>
      </c>
      <c r="G50" s="2079"/>
      <c r="H50" s="2077"/>
      <c r="I50" s="3077" t="s">
        <v>2345</v>
      </c>
      <c r="J50" s="3102">
        <f>SUMPRODUCT((I63:I65=J47)*(J62:L62=J48)*(J63:L65))</f>
        <v>0</v>
      </c>
      <c r="K50" s="3107" t="s">
        <v>2351</v>
      </c>
      <c r="L50" s="2347"/>
      <c r="O50" s="2364" t="s">
        <v>2381</v>
      </c>
      <c r="P50" s="2362" t="s">
        <v>2405</v>
      </c>
      <c r="Q50" s="2363">
        <f ca="1">C29</f>
        <v>0</v>
      </c>
      <c r="R50" s="2362" t="s">
        <v>2378</v>
      </c>
    </row>
    <row r="51" spans="1:18" s="2043" customFormat="1" ht="18" customHeight="1" thickBot="1">
      <c r="A51" s="784"/>
      <c r="B51" s="785"/>
      <c r="C51" s="786"/>
      <c r="D51" s="787"/>
      <c r="E51" s="782" t="s">
        <v>640</v>
      </c>
      <c r="F51" s="2334"/>
      <c r="H51" s="2077"/>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3" customFormat="1" ht="18" customHeight="1" thickBot="1">
      <c r="A52" s="779" t="s">
        <v>2534</v>
      </c>
      <c r="B52" s="2457" t="s">
        <v>2457</v>
      </c>
      <c r="C52" s="797">
        <f ca="1">ROUND(IF(F52="押一",C48/12*F11,IF(F52="押二",C48/12*2*F11,IF(F52="押三",C48/12*3*F11,C53*F11))),0)</f>
        <v>0</v>
      </c>
      <c r="D52" s="2464" t="s">
        <v>2970</v>
      </c>
      <c r="E52" s="2461" t="s">
        <v>2462</v>
      </c>
      <c r="F52" s="2584"/>
      <c r="I52" s="3100" t="s">
        <v>2419</v>
      </c>
      <c r="J52" s="2348"/>
      <c r="K52" s="3100" t="s">
        <v>2418</v>
      </c>
      <c r="L52" s="2348"/>
      <c r="O52" s="2364" t="s">
        <v>2384</v>
      </c>
      <c r="P52" s="2362" t="s">
        <v>2385</v>
      </c>
      <c r="Q52" s="2365">
        <f>J52</f>
        <v>0</v>
      </c>
      <c r="R52" s="2366"/>
    </row>
    <row r="53" spans="1:18" s="2043" customFormat="1" ht="39.75" customHeight="1" thickBot="1">
      <c r="A53" s="784"/>
      <c r="B53" s="2458" t="s">
        <v>2571</v>
      </c>
      <c r="C53" s="2462"/>
      <c r="D53" s="2464"/>
      <c r="E53" s="2461"/>
      <c r="F53" s="798"/>
      <c r="I53" s="3101" t="s">
        <v>2973</v>
      </c>
      <c r="J53" s="3104">
        <f ca="1">IF(M47="住宅",IF(D1="——",MAX(J51,L48),MAX(J51,L48-'数据-取费表'!B20)),IF(D1="——",MIN(J51,L48),MIN(J51,L48-'数据-取费表'!B20)))</f>
        <v>0</v>
      </c>
      <c r="K53" s="3482" t="s">
        <v>2961</v>
      </c>
      <c r="L53" s="3483"/>
      <c r="O53" s="2364" t="s">
        <v>2386</v>
      </c>
      <c r="P53" s="2362" t="s">
        <v>2387</v>
      </c>
      <c r="Q53" s="2363">
        <f ca="1">J53</f>
        <v>0</v>
      </c>
      <c r="R53" s="2362" t="s">
        <v>2388</v>
      </c>
    </row>
    <row r="54" spans="1:18" s="2043" customFormat="1" ht="18" customHeight="1" thickBot="1">
      <c r="A54" s="2500" t="s">
        <v>2465</v>
      </c>
      <c r="B54" s="2501" t="s">
        <v>2458</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2389</v>
      </c>
      <c r="P54" s="2362" t="s">
        <v>2406</v>
      </c>
      <c r="Q54" s="2363" t="e">
        <f ca="1">Q48+Q49</f>
        <v>#DIV/0!</v>
      </c>
      <c r="R54" s="2366" t="s">
        <v>2390</v>
      </c>
    </row>
    <row r="55" spans="1:18" s="2043" customFormat="1" ht="18" customHeight="1" thickTop="1" thickBot="1">
      <c r="A55" s="795">
        <v>2</v>
      </c>
      <c r="B55" s="796" t="s">
        <v>644</v>
      </c>
      <c r="C55" s="797">
        <f ca="1">C13</f>
        <v>0</v>
      </c>
      <c r="D55" s="793"/>
      <c r="E55" s="793"/>
      <c r="F55" s="798"/>
      <c r="I55" s="3113" t="s">
        <v>2353</v>
      </c>
      <c r="J55" s="3052" t="e">
        <f ca="1">ROUND(IF(J47="钢混",J57/J50,1-(1-2%)*(J50-J57)/J50),3)</f>
        <v>#DIV/0!</v>
      </c>
      <c r="K55" s="3114" t="s">
        <v>2354</v>
      </c>
      <c r="L55" s="2349"/>
      <c r="O55" s="2367" t="s">
        <v>2409</v>
      </c>
      <c r="P55" s="1577"/>
      <c r="Q55" s="1588"/>
      <c r="R55" s="1577"/>
    </row>
    <row r="56" spans="1:18" s="2043" customFormat="1" ht="42.75" customHeight="1" thickBot="1">
      <c r="A56" s="1634"/>
      <c r="B56" s="2215" t="s">
        <v>2300</v>
      </c>
      <c r="C56" s="53">
        <f ca="1">C29</f>
        <v>0</v>
      </c>
      <c r="D56" s="2602"/>
      <c r="E56" s="782"/>
      <c r="F56" s="807"/>
      <c r="I56" s="3115" t="s">
        <v>2355</v>
      </c>
      <c r="J56" s="3125"/>
      <c r="K56" s="3077" t="s">
        <v>2360</v>
      </c>
      <c r="L56" s="1892">
        <f ca="1">IF(L48&lt;J51,"——",L48-J51)</f>
        <v>0</v>
      </c>
      <c r="O56" s="2358" t="s">
        <v>2373</v>
      </c>
      <c r="P56" s="2359" t="s">
        <v>2374</v>
      </c>
      <c r="Q56" s="2360" t="s">
        <v>2375</v>
      </c>
      <c r="R56" s="2359" t="s">
        <v>2376</v>
      </c>
    </row>
    <row r="57" spans="1:18" s="2043" customFormat="1" ht="28.5" customHeight="1" thickBot="1">
      <c r="A57" s="795" t="s">
        <v>1748</v>
      </c>
      <c r="B57" s="796" t="s">
        <v>651</v>
      </c>
      <c r="C57" s="797">
        <f ca="1">ROUND(C58+C63+C64+C65,0)</f>
        <v>0</v>
      </c>
      <c r="D57" s="26" t="s">
        <v>1750</v>
      </c>
      <c r="E57" s="2603"/>
      <c r="F57" s="56"/>
      <c r="I57" s="3116" t="s">
        <v>2356</v>
      </c>
      <c r="J57" s="3117">
        <f ca="1">IF(OR(M47="住宅",J51&lt;L48,J56="是"),"——",J51-L48)</f>
        <v>0</v>
      </c>
      <c r="K57" s="3077" t="s">
        <v>2361</v>
      </c>
      <c r="L57" s="1892">
        <f ca="1">IF(L48&lt;J51,"——",IF(L55="比较法",L49,IF(L55="基准地价",L50,L51)))</f>
        <v>0</v>
      </c>
      <c r="O57" s="2361" t="s">
        <v>2377</v>
      </c>
      <c r="P57" s="2362" t="s">
        <v>2407</v>
      </c>
      <c r="Q57" s="2363" t="e">
        <f ca="1">C40+J29</f>
        <v>#DIV/0!</v>
      </c>
      <c r="R57" s="2362" t="s">
        <v>2378</v>
      </c>
    </row>
    <row r="58" spans="1:18" s="2043" customFormat="1" ht="28.5" customHeight="1" thickBot="1">
      <c r="A58" s="1633" t="s">
        <v>1824</v>
      </c>
      <c r="B58" s="782" t="s">
        <v>656</v>
      </c>
      <c r="C58" s="53">
        <f ca="1">ROUND(IF(项目基本情况!B11="自然人",C47*F58,C59+C60+C61),1)</f>
        <v>0</v>
      </c>
      <c r="D58" s="2601" t="s">
        <v>657</v>
      </c>
      <c r="E58" s="2602" t="s">
        <v>690</v>
      </c>
      <c r="F58" s="808" t="str">
        <f ca="1">IF(项目基本情况!B11="企业","",IF(INDIRECT("'数据-取费表'!c"&amp;$G$1)="住宅",5%,IF(F48*F49*F50/12/(1+'数据-取费表'!C42)&gt;20000,12%,7%)))</f>
        <v/>
      </c>
      <c r="I58" s="3116" t="s">
        <v>2357</v>
      </c>
      <c r="J58" s="3053" t="e">
        <f ca="1">IF(J55&lt;0.4,0.4,J55)</f>
        <v>#DIV/0!</v>
      </c>
      <c r="K58" s="3077" t="s">
        <v>2362</v>
      </c>
      <c r="L58" s="1892" t="e">
        <f ca="1">ROUND(POWER(1+L52,L47-L48)*(POWER(1+L52,L48)-1)/(POWER(1+L52,L47)-1),4)</f>
        <v>#DIV/0!</v>
      </c>
      <c r="O58" s="2361" t="s">
        <v>2379</v>
      </c>
      <c r="P58" s="2362" t="s">
        <v>2410</v>
      </c>
      <c r="Q58" s="2363" t="e">
        <f ca="1">L60</f>
        <v>#DIV/0!</v>
      </c>
      <c r="R58" s="2366" t="s">
        <v>2412</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按房产原值计税</v>
      </c>
      <c r="E60" s="782" t="s">
        <v>1747</v>
      </c>
      <c r="F60" s="807">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3" customFormat="1" ht="18" customHeight="1" thickBot="1">
      <c r="A61" s="1635" t="s">
        <v>1833</v>
      </c>
      <c r="B61" s="339" t="s">
        <v>668</v>
      </c>
      <c r="C61" s="54">
        <f ca="1">ROUND(F61*F62/10000,1)</f>
        <v>0</v>
      </c>
      <c r="D61" s="812" t="s">
        <v>669</v>
      </c>
      <c r="E61" s="782" t="s">
        <v>670</v>
      </c>
      <c r="F61" s="638">
        <f t="shared" si="0"/>
        <v>5</v>
      </c>
      <c r="K61" s="2070"/>
      <c r="O61" s="2364" t="s">
        <v>2384</v>
      </c>
      <c r="P61" s="2362" t="s">
        <v>2392</v>
      </c>
      <c r="Q61" s="2363" t="e">
        <f ca="1">L58</f>
        <v>#DIV/0!</v>
      </c>
      <c r="R61" s="2366" t="s">
        <v>2393</v>
      </c>
    </row>
    <row r="62" spans="1:18" s="2043" customFormat="1" ht="15.75" thickBot="1">
      <c r="A62" s="813"/>
      <c r="B62" s="791"/>
      <c r="C62" s="69"/>
      <c r="D62" s="814"/>
      <c r="E62" s="782" t="s">
        <v>674</v>
      </c>
      <c r="F62" s="783">
        <f t="shared" ca="1" si="0"/>
        <v>0</v>
      </c>
      <c r="I62" s="3121" t="s">
        <v>2365</v>
      </c>
      <c r="J62" s="3122" t="s">
        <v>2366</v>
      </c>
      <c r="K62" s="3122" t="s">
        <v>2367</v>
      </c>
      <c r="L62" s="3122" t="s">
        <v>2348</v>
      </c>
      <c r="M62" s="3123" t="s">
        <v>2937</v>
      </c>
      <c r="O62" s="2364" t="s">
        <v>2386</v>
      </c>
      <c r="P62" s="2362" t="str">
        <f>K59</f>
        <v>建筑物剩余耐用年限下的土地年期修正系数Kn</v>
      </c>
      <c r="Q62" s="2363" t="e">
        <f ca="1">L59</f>
        <v>#DIV/0!</v>
      </c>
      <c r="R62" s="2366" t="s">
        <v>2395</v>
      </c>
    </row>
    <row r="63" spans="1:18" s="2043" customFormat="1" ht="15.75" thickBot="1">
      <c r="A63" s="1633" t="s">
        <v>1889</v>
      </c>
      <c r="B63" s="782" t="s">
        <v>676</v>
      </c>
      <c r="C63" s="53">
        <f ca="1">ROUND(C56*F63,1)</f>
        <v>0</v>
      </c>
      <c r="D63" s="2602" t="s">
        <v>1803</v>
      </c>
      <c r="E63" s="782" t="s">
        <v>1747</v>
      </c>
      <c r="F63" s="815">
        <f t="shared" ca="1" si="0"/>
        <v>0</v>
      </c>
      <c r="I63" s="3121" t="s">
        <v>2368</v>
      </c>
      <c r="J63" s="3122">
        <v>70</v>
      </c>
      <c r="K63" s="3122">
        <v>50</v>
      </c>
      <c r="L63" s="3122">
        <v>80</v>
      </c>
      <c r="M63" s="3124">
        <v>0.02</v>
      </c>
      <c r="O63" s="2361" t="s">
        <v>2389</v>
      </c>
      <c r="P63" s="2362" t="s">
        <v>2406</v>
      </c>
      <c r="Q63" s="2363" t="e">
        <f ca="1">Q57+Q58</f>
        <v>#DIV/0!</v>
      </c>
      <c r="R63" s="2366" t="s">
        <v>2390</v>
      </c>
    </row>
    <row r="64" spans="1:18" s="2043" customFormat="1" ht="16.5" thickBot="1">
      <c r="A64" s="1633" t="s">
        <v>1890</v>
      </c>
      <c r="B64" s="782" t="s">
        <v>679</v>
      </c>
      <c r="C64" s="53">
        <f ca="1">ROUND(C55*F64,1)</f>
        <v>0</v>
      </c>
      <c r="D64" s="2602" t="s">
        <v>680</v>
      </c>
      <c r="E64" s="782" t="s">
        <v>1747</v>
      </c>
      <c r="F64" s="816">
        <f t="shared" ca="1" si="0"/>
        <v>0</v>
      </c>
      <c r="I64" s="3121" t="s">
        <v>2369</v>
      </c>
      <c r="J64" s="3122">
        <v>50</v>
      </c>
      <c r="K64" s="3122">
        <v>35</v>
      </c>
      <c r="L64" s="3122">
        <v>60</v>
      </c>
      <c r="M64" s="844">
        <v>0</v>
      </c>
      <c r="O64" s="2367" t="s">
        <v>2413</v>
      </c>
      <c r="P64" s="1577"/>
      <c r="Q64" s="1588"/>
      <c r="R64" s="1577"/>
    </row>
    <row r="65" spans="1:18" s="2043" customFormat="1" ht="15.75" thickBot="1">
      <c r="A65" s="1633" t="s">
        <v>1891</v>
      </c>
      <c r="B65" s="782" t="s">
        <v>666</v>
      </c>
      <c r="C65" s="53">
        <f ca="1">ROUND(C47*F65,1)</f>
        <v>0</v>
      </c>
      <c r="D65" s="2602" t="s">
        <v>683</v>
      </c>
      <c r="E65" s="782" t="s">
        <v>1747</v>
      </c>
      <c r="F65" s="792">
        <f t="shared" ca="1" si="0"/>
        <v>0</v>
      </c>
      <c r="I65" s="3121" t="s">
        <v>2370</v>
      </c>
      <c r="J65" s="3122">
        <v>40</v>
      </c>
      <c r="K65" s="3122">
        <v>30</v>
      </c>
      <c r="L65" s="3122">
        <v>50</v>
      </c>
      <c r="M65" s="3124">
        <v>0.02</v>
      </c>
      <c r="O65" s="2358" t="s">
        <v>2373</v>
      </c>
      <c r="P65" s="2359" t="s">
        <v>2374</v>
      </c>
      <c r="Q65" s="2360" t="s">
        <v>2375</v>
      </c>
      <c r="R65" s="2359" t="s">
        <v>2376</v>
      </c>
    </row>
    <row r="66" spans="1:18" s="2043" customFormat="1" ht="24.75" thickBot="1">
      <c r="A66" s="795" t="s">
        <v>1776</v>
      </c>
      <c r="B66" s="2962" t="s">
        <v>2819</v>
      </c>
      <c r="C66" s="797">
        <f ca="1">C47-C57</f>
        <v>0</v>
      </c>
      <c r="D66" s="2601" t="s">
        <v>700</v>
      </c>
      <c r="E66" s="2600"/>
      <c r="F66" s="818"/>
      <c r="K66" s="2070"/>
      <c r="O66" s="2361" t="s">
        <v>2377</v>
      </c>
      <c r="P66" s="2362" t="s">
        <v>2407</v>
      </c>
      <c r="Q66" s="2363" t="e">
        <f ca="1">C40+J29</f>
        <v>#DIV/0!</v>
      </c>
      <c r="R66" s="2362" t="s">
        <v>2378</v>
      </c>
    </row>
    <row r="67" spans="1:18" s="2043" customFormat="1" ht="20.25" thickBot="1">
      <c r="A67" s="779" t="s">
        <v>1780</v>
      </c>
      <c r="B67" s="2216" t="s">
        <v>2299</v>
      </c>
      <c r="C67" s="781" t="e">
        <f ca="1">ROUND(C66*(1-((1+F69)/(1+F67))^F68)/(F67-F69),0)</f>
        <v>#DIV/0!</v>
      </c>
      <c r="D67" s="812" t="s">
        <v>704</v>
      </c>
      <c r="E67" s="782" t="s">
        <v>705</v>
      </c>
      <c r="F67" s="792">
        <f ca="1">F40</f>
        <v>0</v>
      </c>
      <c r="K67" s="2070"/>
      <c r="O67" s="2361" t="s">
        <v>2379</v>
      </c>
      <c r="P67" s="2362" t="s">
        <v>2410</v>
      </c>
      <c r="Q67" s="2363" t="e">
        <f ca="1">L60</f>
        <v>#DIV/0!</v>
      </c>
      <c r="R67" s="2366" t="s">
        <v>2412</v>
      </c>
    </row>
    <row r="68" spans="1:18" ht="21.75" thickBot="1">
      <c r="A68" s="784"/>
      <c r="B68" s="785"/>
      <c r="C68" s="786"/>
      <c r="D68" s="819" t="s">
        <v>1808</v>
      </c>
      <c r="E68" s="782" t="s">
        <v>1784</v>
      </c>
      <c r="F68" s="820">
        <f ca="1">F41</f>
        <v>0</v>
      </c>
      <c r="O68" s="2364" t="s">
        <v>2381</v>
      </c>
      <c r="P68" s="2362" t="s">
        <v>2411</v>
      </c>
      <c r="Q68" s="2368">
        <f ca="1">L51</f>
        <v>0</v>
      </c>
      <c r="R68" s="2369" t="s">
        <v>2414</v>
      </c>
    </row>
    <row r="69" spans="1:18" ht="20.25" thickBot="1">
      <c r="A69" s="788"/>
      <c r="B69" s="789"/>
      <c r="C69" s="790"/>
      <c r="D69" s="814"/>
      <c r="E69" s="782" t="s">
        <v>710</v>
      </c>
      <c r="F69" s="2334"/>
      <c r="O69" s="2364" t="s">
        <v>2382</v>
      </c>
      <c r="P69" s="2370" t="s">
        <v>2396</v>
      </c>
      <c r="Q69" s="2363">
        <f ca="1">ROUND(Q70-Q71*Q72,0)</f>
        <v>0</v>
      </c>
      <c r="R69" s="2366"/>
    </row>
    <row r="70" spans="1:18" ht="15.75" thickBot="1">
      <c r="A70" s="821" t="s">
        <v>1787</v>
      </c>
      <c r="B70" s="822" t="s">
        <v>1810</v>
      </c>
      <c r="C70" s="823" t="e">
        <f ca="1">ROUND(C67*10000/F70,0)</f>
        <v>#DIV/0!</v>
      </c>
      <c r="D70" s="824" t="s">
        <v>1811</v>
      </c>
      <c r="E70" s="825" t="s">
        <v>1812</v>
      </c>
      <c r="F70" s="826">
        <f ca="1">F43</f>
        <v>0</v>
      </c>
      <c r="O70" s="2364" t="s">
        <v>2397</v>
      </c>
      <c r="P70" s="2370" t="s">
        <v>2398</v>
      </c>
      <c r="Q70" s="2363">
        <f ca="1">C39</f>
        <v>0</v>
      </c>
      <c r="R70" s="2362" t="s">
        <v>2378</v>
      </c>
    </row>
    <row r="71" spans="1:18" ht="15.75" thickBot="1">
      <c r="O71" s="2364" t="s">
        <v>2399</v>
      </c>
      <c r="P71" s="2370" t="s">
        <v>2400</v>
      </c>
      <c r="Q71" s="2363">
        <f ca="1">C13</f>
        <v>0</v>
      </c>
      <c r="R71" s="2362" t="s">
        <v>2378</v>
      </c>
    </row>
    <row r="72" spans="1:18" ht="15.75" thickBot="1">
      <c r="O72" s="2364" t="s">
        <v>2401</v>
      </c>
      <c r="P72" s="2370" t="s">
        <v>2402</v>
      </c>
      <c r="Q72" s="2365">
        <f ca="1">J36</f>
        <v>0</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建筑物剩余耐用年限下的土地年期修正系数Kn</v>
      </c>
      <c r="Q75" s="2363" t="e">
        <f ca="1">L59</f>
        <v>#DIV/0!</v>
      </c>
      <c r="R75" s="2366" t="s">
        <v>2395</v>
      </c>
    </row>
    <row r="76" spans="1:18" ht="15.75"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500" t="s">
        <v>2469</v>
      </c>
      <c r="B1" s="3501"/>
      <c r="C1" s="3502"/>
      <c r="D1" s="3503">
        <f>SUM(I10,I15,I20,I21,I23)</f>
        <v>0</v>
      </c>
      <c r="E1" s="3503"/>
      <c r="F1" s="3503"/>
      <c r="G1" s="3503"/>
      <c r="H1" s="3503"/>
      <c r="I1" s="3504"/>
    </row>
    <row r="2" spans="1:9">
      <c r="A2" s="3490" t="s">
        <v>2470</v>
      </c>
      <c r="B2" s="3491" t="s">
        <v>2471</v>
      </c>
      <c r="C2" s="3491"/>
      <c r="D2" s="2470" t="s">
        <v>2472</v>
      </c>
      <c r="E2" s="2470" t="s">
        <v>2473</v>
      </c>
      <c r="F2" s="2470" t="s">
        <v>2474</v>
      </c>
      <c r="G2" s="2470" t="s">
        <v>2475</v>
      </c>
      <c r="H2" s="2470" t="s">
        <v>2476</v>
      </c>
      <c r="I2" s="2471" t="s">
        <v>2477</v>
      </c>
    </row>
    <row r="3" spans="1:9">
      <c r="A3" s="3490"/>
      <c r="B3" s="3491" t="s">
        <v>2478</v>
      </c>
      <c r="C3" s="3491"/>
      <c r="D3" s="2472"/>
      <c r="E3" s="2470"/>
      <c r="F3" s="2473"/>
      <c r="G3" s="2473"/>
      <c r="H3" s="2474"/>
      <c r="I3" s="2475">
        <f>ROUND(D3*E3*F3*G3*H3/10000,0)</f>
        <v>0</v>
      </c>
    </row>
    <row r="4" spans="1:9">
      <c r="A4" s="3490"/>
      <c r="B4" s="3491" t="s">
        <v>2479</v>
      </c>
      <c r="C4" s="3491"/>
      <c r="D4" s="2472"/>
      <c r="E4" s="2470"/>
      <c r="F4" s="2473"/>
      <c r="G4" s="2473"/>
      <c r="H4" s="2474"/>
      <c r="I4" s="2475">
        <f t="shared" ref="I4:I9" si="0">ROUND(D4*E4*F4*G4*H4/10000,0)</f>
        <v>0</v>
      </c>
    </row>
    <row r="5" spans="1:9">
      <c r="A5" s="3490"/>
      <c r="B5" s="3491" t="s">
        <v>2480</v>
      </c>
      <c r="C5" s="3491"/>
      <c r="D5" s="2472"/>
      <c r="E5" s="2470"/>
      <c r="F5" s="2473"/>
      <c r="G5" s="2473"/>
      <c r="H5" s="2474"/>
      <c r="I5" s="2475">
        <f t="shared" si="0"/>
        <v>0</v>
      </c>
    </row>
    <row r="6" spans="1:9">
      <c r="A6" s="3490"/>
      <c r="B6" s="3491" t="s">
        <v>2481</v>
      </c>
      <c r="C6" s="3491"/>
      <c r="D6" s="2472"/>
      <c r="E6" s="2470"/>
      <c r="F6" s="2473"/>
      <c r="G6" s="2473"/>
      <c r="H6" s="2474"/>
      <c r="I6" s="2475">
        <f t="shared" si="0"/>
        <v>0</v>
      </c>
    </row>
    <row r="7" spans="1:9">
      <c r="A7" s="3490"/>
      <c r="B7" s="3491" t="s">
        <v>2482</v>
      </c>
      <c r="C7" s="3491"/>
      <c r="D7" s="2472"/>
      <c r="E7" s="2470"/>
      <c r="F7" s="2473"/>
      <c r="G7" s="2473"/>
      <c r="H7" s="2474"/>
      <c r="I7" s="2475">
        <f t="shared" si="0"/>
        <v>0</v>
      </c>
    </row>
    <row r="8" spans="1:9">
      <c r="A8" s="3490"/>
      <c r="B8" s="3491" t="s">
        <v>2483</v>
      </c>
      <c r="C8" s="3491"/>
      <c r="D8" s="2472"/>
      <c r="E8" s="2470"/>
      <c r="F8" s="2473"/>
      <c r="G8" s="2473"/>
      <c r="H8" s="2474"/>
      <c r="I8" s="2475">
        <f t="shared" si="0"/>
        <v>0</v>
      </c>
    </row>
    <row r="9" spans="1:9">
      <c r="A9" s="3490"/>
      <c r="B9" s="3491" t="s">
        <v>2484</v>
      </c>
      <c r="C9" s="3491"/>
      <c r="D9" s="2472"/>
      <c r="E9" s="2470"/>
      <c r="F9" s="2473"/>
      <c r="G9" s="2473"/>
      <c r="H9" s="2474"/>
      <c r="I9" s="2475">
        <f t="shared" si="0"/>
        <v>0</v>
      </c>
    </row>
    <row r="10" spans="1:9">
      <c r="A10" s="3490"/>
      <c r="B10" s="3492" t="s">
        <v>2485</v>
      </c>
      <c r="C10" s="3492"/>
      <c r="D10" s="2476">
        <v>527</v>
      </c>
      <c r="E10" s="2476" t="e">
        <f>ROUND(D1*10000/D10/H9,0)</f>
        <v>#DIV/0!</v>
      </c>
      <c r="F10" s="2477"/>
      <c r="G10" s="2477"/>
      <c r="H10" s="2478"/>
      <c r="I10" s="2479">
        <f>SUM(I3:I9)</f>
        <v>0</v>
      </c>
    </row>
    <row r="11" spans="1:9" ht="14.25">
      <c r="A11" s="3490" t="s">
        <v>2486</v>
      </c>
      <c r="B11" s="3491" t="s">
        <v>2487</v>
      </c>
      <c r="C11" s="3491"/>
      <c r="D11" s="2472" t="s">
        <v>2488</v>
      </c>
      <c r="E11" s="2472" t="s">
        <v>2489</v>
      </c>
      <c r="F11" s="2473" t="s">
        <v>2490</v>
      </c>
      <c r="G11" s="2473" t="s">
        <v>2491</v>
      </c>
      <c r="H11" s="2480" t="s">
        <v>2492</v>
      </c>
      <c r="I11" s="2471" t="s">
        <v>2493</v>
      </c>
    </row>
    <row r="12" spans="1:9">
      <c r="A12" s="3490"/>
      <c r="B12" s="3491" t="s">
        <v>2494</v>
      </c>
      <c r="C12" s="3491"/>
      <c r="D12" s="2472"/>
      <c r="E12" s="2472"/>
      <c r="F12" s="2473"/>
      <c r="G12" s="2474"/>
      <c r="H12" s="2481"/>
      <c r="I12" s="2471">
        <f>ROUND(D12*E12*F12*G12/10000,0)</f>
        <v>0</v>
      </c>
    </row>
    <row r="13" spans="1:9">
      <c r="A13" s="3490"/>
      <c r="B13" s="3491" t="s">
        <v>2495</v>
      </c>
      <c r="C13" s="3491"/>
      <c r="D13" s="2472"/>
      <c r="E13" s="2472"/>
      <c r="F13" s="2473"/>
      <c r="G13" s="2474"/>
      <c r="H13" s="2481"/>
      <c r="I13" s="2471">
        <f>ROUND(D13*E13*F13*G13/10000,0)</f>
        <v>0</v>
      </c>
    </row>
    <row r="14" spans="1:9">
      <c r="A14" s="3490"/>
      <c r="B14" s="3491" t="s">
        <v>2496</v>
      </c>
      <c r="C14" s="3491"/>
      <c r="D14" s="2472"/>
      <c r="E14" s="2472"/>
      <c r="F14" s="2473"/>
      <c r="G14" s="2474"/>
      <c r="H14" s="2481"/>
      <c r="I14" s="2471">
        <f>ROUND(D14*E14*F14*G14/10000,0)</f>
        <v>0</v>
      </c>
    </row>
    <row r="15" spans="1:9">
      <c r="A15" s="3490"/>
      <c r="B15" s="3492" t="s">
        <v>2485</v>
      </c>
      <c r="C15" s="3492"/>
      <c r="D15" s="2476"/>
      <c r="E15" s="2476">
        <f>SUM(E12:E14)</f>
        <v>0</v>
      </c>
      <c r="F15" s="2477"/>
      <c r="G15" s="2474"/>
      <c r="H15" s="2481"/>
      <c r="I15" s="2482">
        <f>SUM(I12:I14)</f>
        <v>0</v>
      </c>
    </row>
    <row r="16" spans="1:9" ht="24">
      <c r="A16" s="3490" t="s">
        <v>2497</v>
      </c>
      <c r="B16" s="3491" t="s">
        <v>2498</v>
      </c>
      <c r="C16" s="3491"/>
      <c r="D16" s="2472" t="s">
        <v>2499</v>
      </c>
      <c r="E16" s="2483" t="s">
        <v>2500</v>
      </c>
      <c r="F16" s="2473" t="s">
        <v>2501</v>
      </c>
      <c r="G16" s="2474" t="s">
        <v>2491</v>
      </c>
      <c r="H16" s="2480" t="s">
        <v>2492</v>
      </c>
      <c r="I16" s="2471" t="s">
        <v>2493</v>
      </c>
    </row>
    <row r="17" spans="1:9" ht="14.25">
      <c r="A17" s="3490"/>
      <c r="B17" s="3491" t="s">
        <v>2502</v>
      </c>
      <c r="C17" s="3491"/>
      <c r="D17" s="2472"/>
      <c r="E17" s="2472"/>
      <c r="F17" s="2473"/>
      <c r="G17" s="2474"/>
      <c r="H17" s="2484"/>
      <c r="I17" s="2485">
        <f>ROUND(D17*E17*F17*G17/10000,0)</f>
        <v>0</v>
      </c>
    </row>
    <row r="18" spans="1:9" ht="14.25">
      <c r="A18" s="3490"/>
      <c r="B18" s="3491" t="s">
        <v>2503</v>
      </c>
      <c r="C18" s="3491"/>
      <c r="D18" s="2472"/>
      <c r="E18" s="2472"/>
      <c r="F18" s="2473"/>
      <c r="G18" s="2474"/>
      <c r="H18" s="2484"/>
      <c r="I18" s="2485">
        <f>ROUND(D18*E18*F18*G18/10000,0)</f>
        <v>0</v>
      </c>
    </row>
    <row r="19" spans="1:9" ht="14.25">
      <c r="A19" s="3490"/>
      <c r="B19" s="3491" t="s">
        <v>2504</v>
      </c>
      <c r="C19" s="3491"/>
      <c r="D19" s="2472"/>
      <c r="E19" s="2472"/>
      <c r="F19" s="2473"/>
      <c r="G19" s="2474"/>
      <c r="H19" s="2484"/>
      <c r="I19" s="2485">
        <f>ROUND(D19*E19*F19*G19/10000,0)</f>
        <v>0</v>
      </c>
    </row>
    <row r="20" spans="1:9">
      <c r="A20" s="3490"/>
      <c r="B20" s="3492" t="s">
        <v>2485</v>
      </c>
      <c r="C20" s="3492"/>
      <c r="D20" s="2476">
        <f>SUM(D17:D19)</f>
        <v>0</v>
      </c>
      <c r="E20" s="2476"/>
      <c r="F20" s="2477"/>
      <c r="G20" s="2474"/>
      <c r="H20" s="2481"/>
      <c r="I20" s="2482">
        <f>SUM(I17:I19)</f>
        <v>0</v>
      </c>
    </row>
    <row r="21" spans="1:9">
      <c r="A21" s="3490" t="s">
        <v>2505</v>
      </c>
      <c r="B21" s="3493"/>
      <c r="C21" s="3493"/>
      <c r="D21" s="3493"/>
      <c r="E21" s="3493"/>
      <c r="F21" s="3493"/>
      <c r="G21" s="3493"/>
      <c r="H21" s="2486">
        <v>0.1</v>
      </c>
      <c r="I21" s="2479">
        <f>ROUND(I10*H21,0)</f>
        <v>0</v>
      </c>
    </row>
    <row r="22" spans="1:9" ht="14.25">
      <c r="A22" s="3494" t="s">
        <v>2506</v>
      </c>
      <c r="B22" s="3495"/>
      <c r="C22" s="3496"/>
      <c r="D22" s="2487" t="s">
        <v>2507</v>
      </c>
      <c r="E22" s="2487" t="s">
        <v>2508</v>
      </c>
      <c r="F22" s="2488" t="s">
        <v>2509</v>
      </c>
      <c r="G22" s="2488" t="s">
        <v>2510</v>
      </c>
      <c r="H22" s="2480" t="s">
        <v>2511</v>
      </c>
      <c r="I22" s="2471" t="s">
        <v>2512</v>
      </c>
    </row>
    <row r="23" spans="1:9" ht="14.25" thickBot="1">
      <c r="A23" s="3497"/>
      <c r="B23" s="3498"/>
      <c r="C23" s="3499"/>
      <c r="D23" s="2489"/>
      <c r="E23" s="2489"/>
      <c r="F23" s="2489"/>
      <c r="G23" s="2490"/>
      <c r="H23" s="2491"/>
      <c r="I23" s="2492">
        <f>ROUND(E23*D23*F23*(1-G23)/10000,0)</f>
        <v>0</v>
      </c>
    </row>
    <row r="26" spans="1:9">
      <c r="A26" s="2493" t="s">
        <v>2513</v>
      </c>
      <c r="B26" s="2493"/>
      <c r="C26" s="2493"/>
      <c r="D26" s="2493"/>
      <c r="E26" s="3487">
        <f>C27-C30-C31-C32</f>
        <v>0</v>
      </c>
      <c r="F26" s="3487"/>
      <c r="G26" s="3487"/>
      <c r="H26" s="2994" t="s">
        <v>2840</v>
      </c>
    </row>
    <row r="27" spans="1:9">
      <c r="A27" s="2494">
        <v>1</v>
      </c>
      <c r="B27" s="2495" t="s">
        <v>2514</v>
      </c>
      <c r="C27" s="2495"/>
      <c r="D27" s="2495"/>
      <c r="E27" s="3488"/>
      <c r="F27" s="3488"/>
      <c r="G27" s="3488"/>
    </row>
    <row r="28" spans="1:9">
      <c r="A28" s="2496" t="s">
        <v>2515</v>
      </c>
      <c r="B28" s="2495" t="s">
        <v>2516</v>
      </c>
      <c r="C28" s="2495"/>
      <c r="D28" s="2495"/>
      <c r="E28" s="3488"/>
      <c r="F28" s="3488"/>
      <c r="G28" s="3488"/>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9"/>
      <c r="F32" s="3489"/>
      <c r="G32" s="3489"/>
    </row>
    <row r="33" spans="1:7" hidden="1">
      <c r="A33" s="3484" t="s">
        <v>2524</v>
      </c>
      <c r="B33" s="3485"/>
      <c r="C33" s="3485"/>
      <c r="D33" s="3486"/>
      <c r="E33" s="3487"/>
      <c r="F33" s="3487"/>
      <c r="G33" s="3487"/>
    </row>
    <row r="34" spans="1:7" hidden="1">
      <c r="A34" s="2498">
        <v>1</v>
      </c>
      <c r="B34" s="2495" t="s">
        <v>2525</v>
      </c>
      <c r="C34" s="2495"/>
      <c r="D34" s="2495"/>
      <c r="E34" s="3488"/>
      <c r="F34" s="3488"/>
      <c r="G34" s="3488"/>
    </row>
    <row r="35" spans="1:7" hidden="1">
      <c r="A35" s="2498">
        <v>2</v>
      </c>
      <c r="B35" s="2495" t="s">
        <v>2526</v>
      </c>
      <c r="C35" s="2495"/>
      <c r="D35" s="2495"/>
      <c r="E35" s="3488"/>
      <c r="F35" s="3488"/>
      <c r="G35" s="3488"/>
    </row>
    <row r="36" spans="1:7" hidden="1">
      <c r="A36" s="2498">
        <v>3</v>
      </c>
      <c r="B36" s="2495" t="s">
        <v>2527</v>
      </c>
      <c r="C36" s="2495"/>
      <c r="D36" s="2495"/>
      <c r="E36" s="3488"/>
      <c r="F36" s="3488"/>
      <c r="G36" s="3488"/>
    </row>
    <row r="37" spans="1:7" hidden="1">
      <c r="A37" s="2498">
        <v>4</v>
      </c>
      <c r="B37" s="2495" t="s">
        <v>2528</v>
      </c>
      <c r="C37" s="2495"/>
      <c r="D37" s="2495"/>
      <c r="E37" s="3488"/>
      <c r="F37" s="3488"/>
      <c r="G37" s="3488"/>
    </row>
    <row r="38" spans="1:7" hidden="1">
      <c r="A38" s="3484" t="s">
        <v>2529</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2438</v>
      </c>
      <c r="B8" s="2435" t="s">
        <v>2440</v>
      </c>
      <c r="C8" s="2436"/>
      <c r="D8" s="747"/>
      <c r="E8" s="748"/>
      <c r="F8" s="748"/>
      <c r="G8" s="749"/>
    </row>
    <row r="9" spans="1:25" s="2167" customFormat="1" ht="13.5" customHeight="1">
      <c r="A9" s="2432" t="s">
        <v>2439</v>
      </c>
      <c r="B9" s="2435" t="s">
        <v>2441</v>
      </c>
      <c r="C9" s="2436"/>
      <c r="D9" s="747"/>
      <c r="E9" s="748"/>
      <c r="F9" s="748"/>
      <c r="G9" s="749"/>
    </row>
    <row r="10" spans="1:25" s="2167" customFormat="1" ht="36">
      <c r="A10" s="2432">
        <v>2</v>
      </c>
      <c r="B10" s="746" t="s">
        <v>613</v>
      </c>
      <c r="C10" s="747">
        <f>C11+C14+C15</f>
        <v>0</v>
      </c>
      <c r="D10" s="758">
        <f>'数据-汇总表'!E3</f>
        <v>37003</v>
      </c>
      <c r="E10" s="747">
        <f>'数据-取费表'!B31</f>
        <v>50</v>
      </c>
      <c r="F10" s="759"/>
      <c r="G10" s="757" t="s">
        <v>614</v>
      </c>
    </row>
    <row r="11" spans="1:25" s="2167" customFormat="1" ht="13.5" customHeight="1">
      <c r="A11" s="2432" t="s">
        <v>2438</v>
      </c>
      <c r="B11" s="750" t="s">
        <v>610</v>
      </c>
      <c r="C11" s="751">
        <f>'数据-取费表'!B29</f>
        <v>0</v>
      </c>
      <c r="D11" s="752"/>
      <c r="E11" s="751"/>
      <c r="F11" s="753"/>
      <c r="G11" s="2441" t="s">
        <v>2449</v>
      </c>
    </row>
    <row r="12" spans="1:25" s="2167" customFormat="1" ht="13.5" customHeight="1">
      <c r="A12" s="2439" t="s">
        <v>2446</v>
      </c>
      <c r="B12" s="754" t="s">
        <v>611</v>
      </c>
      <c r="C12" s="755">
        <f>ROUND(D12*E12/10000,0)</f>
        <v>444</v>
      </c>
      <c r="D12" s="756">
        <f>'数据-汇总表'!E5</f>
        <v>37003</v>
      </c>
      <c r="E12" s="755">
        <f>'数据-取费表'!B27</f>
        <v>120</v>
      </c>
      <c r="F12" s="753"/>
      <c r="G12" s="757"/>
    </row>
    <row r="13" spans="1:25" s="2167" customFormat="1" ht="13.5" customHeight="1">
      <c r="A13" s="2439" t="s">
        <v>2445</v>
      </c>
      <c r="B13" s="754" t="s">
        <v>612</v>
      </c>
      <c r="C13" s="755">
        <f>ROUND(D13*E13/10000,0)</f>
        <v>0</v>
      </c>
      <c r="D13" s="756">
        <f>'数据-汇总表'!E6</f>
        <v>0</v>
      </c>
      <c r="E13" s="755">
        <f>'数据-取费表'!B28</f>
        <v>160</v>
      </c>
      <c r="F13" s="753"/>
      <c r="G13" s="757"/>
    </row>
    <row r="14" spans="1:25" s="2167" customFormat="1" ht="13.5" customHeight="1">
      <c r="A14" s="2432" t="s">
        <v>2439</v>
      </c>
      <c r="B14" s="2438" t="s">
        <v>2442</v>
      </c>
      <c r="C14" s="2436"/>
      <c r="D14" s="756"/>
      <c r="E14" s="755"/>
      <c r="F14" s="2437"/>
      <c r="G14" s="2440" t="s">
        <v>2447</v>
      </c>
    </row>
    <row r="15" spans="1:25" s="2167" customFormat="1" ht="13.5" customHeight="1">
      <c r="A15" s="2432" t="s">
        <v>2444</v>
      </c>
      <c r="B15" s="2438" t="s">
        <v>2443</v>
      </c>
      <c r="C15" s="2436"/>
      <c r="D15" s="756"/>
      <c r="E15" s="755"/>
      <c r="F15" s="2437"/>
      <c r="G15" s="2440" t="s">
        <v>2448</v>
      </c>
    </row>
    <row r="16" spans="1:25" s="2168" customFormat="1" ht="48">
      <c r="A16" s="2432">
        <v>3</v>
      </c>
      <c r="B16" s="746" t="s">
        <v>615</v>
      </c>
      <c r="C16" s="2436"/>
      <c r="D16" s="758"/>
      <c r="E16" s="747"/>
      <c r="F16" s="759"/>
      <c r="G16" s="757"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0.3</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0.95</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1" zoomScale="80" zoomScaleNormal="95" zoomScaleSheetLayoutView="80" zoomScalePageLayoutView="95" workbookViewId="0">
      <selection activeCell="A40" sqref="A40:XFD40"/>
    </sheetView>
  </sheetViews>
  <sheetFormatPr defaultColWidth="9" defaultRowHeight="14.25"/>
  <cols>
    <col min="1" max="1" width="15.625" style="1331" customWidth="1"/>
    <col min="2" max="2" width="15.87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2635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712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712</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47</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521</v>
      </c>
      <c r="B6" s="511"/>
      <c r="C6" s="3413" t="s">
        <v>522</v>
      </c>
      <c r="D6" s="3414"/>
      <c r="E6" s="3413" t="s">
        <v>523</v>
      </c>
      <c r="F6" s="3414"/>
      <c r="G6" s="3413" t="s">
        <v>524</v>
      </c>
      <c r="H6" s="3414"/>
      <c r="I6" s="3413" t="s">
        <v>525</v>
      </c>
      <c r="J6" s="3414"/>
      <c r="K6" s="512" t="s">
        <v>526</v>
      </c>
      <c r="L6" s="2117"/>
      <c r="M6" s="2116"/>
      <c r="N6" s="2116"/>
      <c r="O6" s="2118"/>
      <c r="P6" s="3417" t="s">
        <v>527</v>
      </c>
      <c r="Q6" s="3418"/>
      <c r="R6" s="3423" t="s">
        <v>523</v>
      </c>
      <c r="S6" s="3424"/>
      <c r="T6" s="3423" t="s">
        <v>524</v>
      </c>
      <c r="U6" s="3424"/>
      <c r="V6" s="3403" t="s">
        <v>525</v>
      </c>
      <c r="W6" s="3403"/>
      <c r="X6" s="1552"/>
      <c r="Y6" s="3423" t="s">
        <v>527</v>
      </c>
      <c r="Z6" s="3424"/>
      <c r="AA6" s="3410" t="s">
        <v>523</v>
      </c>
      <c r="AB6" s="3411" t="s">
        <v>524</v>
      </c>
      <c r="AC6" s="3410" t="s">
        <v>525</v>
      </c>
    </row>
    <row r="7" spans="1:30" ht="20.25">
      <c r="A7" s="513"/>
      <c r="B7" s="514"/>
      <c r="C7" s="3431" t="s">
        <v>2924</v>
      </c>
      <c r="D7" s="3432"/>
      <c r="E7" s="3431" t="str">
        <f>'土地案例（住宅）'!F5</f>
        <v>龙街街道办事处广龙社区</v>
      </c>
      <c r="F7" s="3432"/>
      <c r="G7" s="3431" t="str">
        <f>'土地案例（住宅）'!F7</f>
        <v>龙街街道办事处广龙社区</v>
      </c>
      <c r="H7" s="3432"/>
      <c r="I7" s="3431" t="str">
        <f>'土地案例（住宅）'!F8</f>
        <v>龙街街道办事处广龙社区</v>
      </c>
      <c r="J7" s="3432"/>
      <c r="K7" s="512"/>
      <c r="L7" s="2117"/>
      <c r="M7" s="2116"/>
      <c r="N7" s="2116"/>
      <c r="O7" s="2118"/>
      <c r="P7" s="3419"/>
      <c r="Q7" s="3420"/>
      <c r="R7" s="3425"/>
      <c r="S7" s="3426"/>
      <c r="T7" s="3425"/>
      <c r="U7" s="3426"/>
      <c r="V7" s="3403"/>
      <c r="W7" s="3403"/>
      <c r="X7" s="1552"/>
      <c r="Y7" s="3425"/>
      <c r="Z7" s="3426"/>
      <c r="AA7" s="3411"/>
      <c r="AB7" s="3411"/>
      <c r="AC7" s="3411"/>
    </row>
    <row r="8" spans="1:30" ht="21" thickBot="1">
      <c r="A8" s="513"/>
      <c r="B8" s="514"/>
      <c r="C8" s="3510" t="s">
        <v>2928</v>
      </c>
      <c r="D8" s="3511"/>
      <c r="E8" s="3510" t="str">
        <f>'土地案例（住宅）'!H5</f>
        <v>CTC(2018)16</v>
      </c>
      <c r="F8" s="3511"/>
      <c r="G8" s="3433" t="str">
        <f>'土地案例（住宅）'!H7</f>
        <v>CTC(2018)21</v>
      </c>
      <c r="H8" s="3434"/>
      <c r="I8" s="3433" t="str">
        <f>'土地案例（住宅）'!H8</f>
        <v>CTC(2018)20</v>
      </c>
      <c r="J8" s="3434"/>
      <c r="K8" s="512" t="s">
        <v>528</v>
      </c>
      <c r="L8" s="2117"/>
      <c r="M8" s="2116"/>
      <c r="N8" s="2116"/>
      <c r="O8" s="2118"/>
      <c r="P8" s="3421"/>
      <c r="Q8" s="3422"/>
      <c r="R8" s="3425"/>
      <c r="S8" s="3426"/>
      <c r="T8" s="3427"/>
      <c r="U8" s="3428"/>
      <c r="V8" s="3403"/>
      <c r="W8" s="3403"/>
      <c r="X8" s="1552"/>
      <c r="Y8" s="3427"/>
      <c r="Z8" s="3428"/>
      <c r="AA8" s="3412"/>
      <c r="AB8" s="3412"/>
      <c r="AC8" s="3412"/>
    </row>
    <row r="9" spans="1:30" s="1214" customFormat="1" ht="21" thickBot="1">
      <c r="A9" s="2866"/>
      <c r="B9" s="2873" t="s">
        <v>529</v>
      </c>
      <c r="C9" s="2865">
        <f>'数据-取费表'!B2</f>
        <v>43571</v>
      </c>
      <c r="D9" s="518">
        <v>100</v>
      </c>
      <c r="E9" s="519" t="str">
        <f>'土地案例（住宅）'!T5</f>
        <v>2018-06-15</v>
      </c>
      <c r="F9" s="520">
        <f>SUMIF(72:72,YEAR(E9)&amp;"-"&amp;INT((MONTH(E9)+2)/3),73:73)</f>
        <v>98</v>
      </c>
      <c r="G9" s="521" t="str">
        <f>'土地案例（住宅）'!T7</f>
        <v>2018-06-15</v>
      </c>
      <c r="H9" s="518">
        <f>SUMIF(72:72,YEAR(G9)&amp;"-"&amp;INT((MONTH(G9)+2)/3),73:73)</f>
        <v>98</v>
      </c>
      <c r="I9" s="521" t="str">
        <f>'土地案例（住宅）'!T8</f>
        <v>2018-06-15</v>
      </c>
      <c r="J9" s="518">
        <f>SUMIF(72:72,YEAR(I9)&amp;"-"&amp;INT((MONTH(I9)+2)/3),73:73)</f>
        <v>98</v>
      </c>
      <c r="K9" s="522"/>
      <c r="L9" s="2119"/>
      <c r="M9" s="2116"/>
      <c r="N9" s="2116"/>
      <c r="O9" s="2120"/>
      <c r="P9" s="3408" t="s">
        <v>530</v>
      </c>
      <c r="Q9" s="3435"/>
      <c r="R9" s="1553" t="s">
        <v>8</v>
      </c>
      <c r="S9" s="1554">
        <f t="shared" ref="S9:S17" si="0">F9</f>
        <v>98</v>
      </c>
      <c r="T9" s="1553" t="s">
        <v>8</v>
      </c>
      <c r="U9" s="1554">
        <f t="shared" ref="U9:U17" si="1">H9</f>
        <v>98</v>
      </c>
      <c r="V9" s="1553" t="s">
        <v>8</v>
      </c>
      <c r="W9" s="1554">
        <f t="shared" ref="W9:W17" si="2">J9</f>
        <v>98</v>
      </c>
      <c r="X9" s="1555"/>
      <c r="Y9" s="3408" t="s">
        <v>530</v>
      </c>
      <c r="Z9" s="3409"/>
      <c r="AA9" s="1556">
        <f>D9/F9</f>
        <v>1.0204081632653061</v>
      </c>
      <c r="AB9" s="1556">
        <f>D9/H9</f>
        <v>1.0204081632653061</v>
      </c>
      <c r="AC9" s="1556">
        <f>D9/J9</f>
        <v>1.0204081632653061</v>
      </c>
    </row>
    <row r="10" spans="1:30" s="1214" customFormat="1" ht="21" thickBot="1">
      <c r="A10" s="2867"/>
      <c r="B10" s="2874" t="s">
        <v>531</v>
      </c>
      <c r="C10" s="854" t="s">
        <v>532</v>
      </c>
      <c r="D10" s="518">
        <v>100</v>
      </c>
      <c r="E10" s="523" t="s">
        <v>3002</v>
      </c>
      <c r="F10" s="520">
        <f>SUMIF(75:75,E10,76:76)-SUMIF(75:75,C10,76:76)+100</f>
        <v>100</v>
      </c>
      <c r="G10" s="523" t="s">
        <v>3002</v>
      </c>
      <c r="H10" s="518">
        <f>SUMIF(75:75,G10,76:76)-SUMIF(75:75,C10,76:76)+100</f>
        <v>100</v>
      </c>
      <c r="I10" s="523" t="s">
        <v>3002</v>
      </c>
      <c r="J10" s="518">
        <f>SUMIF(75:75,I10,76:76)-SUMIF(75:75,C10,76:76)+100</f>
        <v>100</v>
      </c>
      <c r="K10" s="522"/>
      <c r="L10" s="2119"/>
      <c r="M10" s="2116"/>
      <c r="N10" s="2116"/>
      <c r="O10" s="2120"/>
      <c r="P10" s="3408" t="s">
        <v>533</v>
      </c>
      <c r="Q10" s="3409"/>
      <c r="R10" s="1553" t="s">
        <v>8</v>
      </c>
      <c r="S10" s="1554">
        <f t="shared" si="0"/>
        <v>100</v>
      </c>
      <c r="T10" s="1553" t="s">
        <v>8</v>
      </c>
      <c r="U10" s="1554">
        <f t="shared" si="1"/>
        <v>100</v>
      </c>
      <c r="V10" s="1553" t="s">
        <v>8</v>
      </c>
      <c r="W10" s="1554">
        <f t="shared" si="2"/>
        <v>100</v>
      </c>
      <c r="X10" s="1555"/>
      <c r="Y10" s="3408" t="s">
        <v>533</v>
      </c>
      <c r="Z10" s="3409"/>
      <c r="AA10" s="1556">
        <f t="shared" ref="AA10:AA47" si="3">D10/F10</f>
        <v>1</v>
      </c>
      <c r="AB10" s="1556">
        <f t="shared" ref="AB10:AB47" si="4">D10/H10</f>
        <v>1</v>
      </c>
      <c r="AC10" s="1556">
        <f t="shared" ref="AC10:AC47" si="5">D10/J10</f>
        <v>1</v>
      </c>
    </row>
    <row r="11" spans="1:30" s="1214" customFormat="1" ht="28.5">
      <c r="A11" s="2868"/>
      <c r="B11" s="2875" t="s">
        <v>2753</v>
      </c>
      <c r="C11" s="2862" t="s">
        <v>3227</v>
      </c>
      <c r="D11" s="252">
        <v>100</v>
      </c>
      <c r="E11" s="524" t="s">
        <v>3082</v>
      </c>
      <c r="F11" s="252">
        <f>SUMIF(77:77,E11,78:78)-SUMIF(77:77,C11,78:78)+100</f>
        <v>100</v>
      </c>
      <c r="G11" s="524" t="s">
        <v>3082</v>
      </c>
      <c r="H11" s="252">
        <f>SUMIF(77:77,G11,78:78)-SUMIF(77:77,C11,78:78)+100</f>
        <v>100</v>
      </c>
      <c r="I11" s="524" t="s">
        <v>3082</v>
      </c>
      <c r="J11" s="252">
        <f>SUMIF(77:77,I11,78:78)-SUMIF(77:77,C11,78:78)+100</f>
        <v>100</v>
      </c>
      <c r="K11" s="522"/>
      <c r="L11" s="2119"/>
      <c r="M11" s="2116"/>
      <c r="N11" s="2116"/>
      <c r="O11" s="2121"/>
      <c r="P11" s="3401" t="s">
        <v>535</v>
      </c>
      <c r="Q11" s="1145" t="str">
        <f t="shared" ref="Q11:Q17" si="6">B11</f>
        <v>用途</v>
      </c>
      <c r="R11" s="1553" t="s">
        <v>8</v>
      </c>
      <c r="S11" s="1554">
        <f t="shared" si="0"/>
        <v>100</v>
      </c>
      <c r="T11" s="1553" t="s">
        <v>8</v>
      </c>
      <c r="U11" s="1554">
        <f t="shared" si="1"/>
        <v>100</v>
      </c>
      <c r="V11" s="1553" t="s">
        <v>8</v>
      </c>
      <c r="W11" s="1554">
        <f t="shared" si="2"/>
        <v>100</v>
      </c>
      <c r="X11" s="1555"/>
      <c r="Y11" s="3366" t="s">
        <v>536</v>
      </c>
      <c r="Z11" s="1144" t="str">
        <f t="shared" ref="Z11:Z17" si="7">Q11</f>
        <v>用途</v>
      </c>
      <c r="AA11" s="1556">
        <f t="shared" si="3"/>
        <v>1</v>
      </c>
      <c r="AB11" s="1556">
        <f t="shared" si="4"/>
        <v>1</v>
      </c>
      <c r="AC11" s="1556">
        <f t="shared" si="5"/>
        <v>1</v>
      </c>
    </row>
    <row r="12" spans="1:30" s="1332" customFormat="1" ht="27">
      <c r="A12" s="2869"/>
      <c r="B12" s="2874" t="s">
        <v>2754</v>
      </c>
      <c r="C12" s="908"/>
      <c r="D12" s="253">
        <v>100</v>
      </c>
      <c r="E12" s="527"/>
      <c r="F12" s="253">
        <f>ROUND(100/'数据-取费表'!G16,0)</f>
        <v>100</v>
      </c>
      <c r="G12" s="528"/>
      <c r="H12" s="253">
        <f>ROUND(100/'数据-取费表'!G16,0)</f>
        <v>100</v>
      </c>
      <c r="I12" s="528"/>
      <c r="J12" s="253">
        <f>ROUND(100/'数据-取费表'!G16,0)</f>
        <v>100</v>
      </c>
      <c r="K12" s="529"/>
      <c r="L12" s="2122"/>
      <c r="M12" s="2116"/>
      <c r="N12" s="2116"/>
      <c r="O12" s="2123"/>
      <c r="P12" s="3401"/>
      <c r="Q12" s="1145" t="str">
        <f t="shared" si="6"/>
        <v>土地使用年限（年）</v>
      </c>
      <c r="R12" s="1553" t="s">
        <v>8</v>
      </c>
      <c r="S12" s="1554">
        <f t="shared" si="0"/>
        <v>100</v>
      </c>
      <c r="T12" s="1553" t="s">
        <v>8</v>
      </c>
      <c r="U12" s="1554">
        <f t="shared" si="1"/>
        <v>100</v>
      </c>
      <c r="V12" s="1553" t="s">
        <v>8</v>
      </c>
      <c r="W12" s="1554">
        <f t="shared" si="2"/>
        <v>100</v>
      </c>
      <c r="X12" s="1555"/>
      <c r="Y12" s="3366"/>
      <c r="Z12" s="1144" t="str">
        <f t="shared" si="7"/>
        <v>土地使用年限（年）</v>
      </c>
      <c r="AA12" s="1556">
        <f t="shared" si="3"/>
        <v>1</v>
      </c>
      <c r="AB12" s="1556">
        <f t="shared" si="4"/>
        <v>1</v>
      </c>
      <c r="AC12" s="1556">
        <f t="shared" si="5"/>
        <v>1</v>
      </c>
    </row>
    <row r="13" spans="1:30" ht="20.25">
      <c r="A13" s="2870"/>
      <c r="B13" s="2874" t="s">
        <v>2755</v>
      </c>
      <c r="C13" s="532">
        <f>'数据-汇总表'!I6</f>
        <v>1</v>
      </c>
      <c r="D13" s="253">
        <v>100</v>
      </c>
      <c r="E13" s="531">
        <v>1.5</v>
      </c>
      <c r="F13" s="253">
        <f>LOOKUP(E13,82:82,83:83)-LOOKUP(C13,82:82,83:83)+100</f>
        <v>90</v>
      </c>
      <c r="G13" s="532">
        <v>1.5</v>
      </c>
      <c r="H13" s="253">
        <f>LOOKUP(G13,82:82,83:83)-LOOKUP(C13,82:82,83:83)+100</f>
        <v>90</v>
      </c>
      <c r="I13" s="531">
        <v>1.5</v>
      </c>
      <c r="J13" s="253">
        <f>LOOKUP(I13,82:82,83:83)-LOOKUP(C13,82:82,83:83)+100</f>
        <v>90</v>
      </c>
      <c r="K13" s="533">
        <v>10</v>
      </c>
      <c r="L13" s="2124"/>
      <c r="M13" s="2116"/>
      <c r="N13" s="2116"/>
      <c r="O13" s="2125"/>
      <c r="P13" s="3401"/>
      <c r="Q13" s="1145" t="str">
        <f t="shared" si="6"/>
        <v>容积率</v>
      </c>
      <c r="R13" s="1553" t="s">
        <v>8</v>
      </c>
      <c r="S13" s="1554">
        <f t="shared" si="0"/>
        <v>90</v>
      </c>
      <c r="T13" s="1553" t="s">
        <v>8</v>
      </c>
      <c r="U13" s="1554">
        <f t="shared" si="1"/>
        <v>90</v>
      </c>
      <c r="V13" s="1553" t="s">
        <v>8</v>
      </c>
      <c r="W13" s="1554">
        <f t="shared" si="2"/>
        <v>90</v>
      </c>
      <c r="X13" s="1555"/>
      <c r="Y13" s="3366"/>
      <c r="Z13" s="1144" t="str">
        <f t="shared" si="7"/>
        <v>容积率</v>
      </c>
      <c r="AA13" s="1556">
        <f t="shared" si="3"/>
        <v>1.1111111111111112</v>
      </c>
      <c r="AB13" s="1556">
        <f t="shared" si="4"/>
        <v>1.1111111111111112</v>
      </c>
      <c r="AC13" s="1556">
        <f t="shared" si="5"/>
        <v>1.1111111111111112</v>
      </c>
    </row>
    <row r="14" spans="1:30" s="1214" customFormat="1" ht="20.25">
      <c r="A14" s="2867"/>
      <c r="B14" s="2876" t="s">
        <v>2756</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401"/>
      <c r="Q14" s="1145" t="str">
        <f t="shared" si="6"/>
        <v>配建</v>
      </c>
      <c r="R14" s="1553" t="s">
        <v>8</v>
      </c>
      <c r="S14" s="1554">
        <f t="shared" si="0"/>
        <v>100</v>
      </c>
      <c r="T14" s="1553" t="s">
        <v>8</v>
      </c>
      <c r="U14" s="1554">
        <f t="shared" si="1"/>
        <v>100</v>
      </c>
      <c r="V14" s="1553" t="s">
        <v>8</v>
      </c>
      <c r="W14" s="1554">
        <f t="shared" si="2"/>
        <v>100</v>
      </c>
      <c r="X14" s="1555"/>
      <c r="Y14" s="3366"/>
      <c r="Z14" s="1144" t="str">
        <f t="shared" si="7"/>
        <v>配建</v>
      </c>
      <c r="AA14" s="1556">
        <f>D14/F14</f>
        <v>1</v>
      </c>
      <c r="AB14" s="1556">
        <f>D14/H14</f>
        <v>1</v>
      </c>
      <c r="AC14" s="1556">
        <f>D14/J14</f>
        <v>1</v>
      </c>
    </row>
    <row r="15" spans="1:30" ht="20.25">
      <c r="A15" s="2871"/>
      <c r="B15" s="2877"/>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401"/>
      <c r="Q15" s="1145">
        <f t="shared" si="6"/>
        <v>0</v>
      </c>
      <c r="R15" s="1553" t="s">
        <v>8</v>
      </c>
      <c r="S15" s="1554">
        <f t="shared" si="0"/>
        <v>100</v>
      </c>
      <c r="T15" s="1553" t="s">
        <v>8</v>
      </c>
      <c r="U15" s="1554">
        <f t="shared" si="1"/>
        <v>100</v>
      </c>
      <c r="V15" s="1553" t="s">
        <v>8</v>
      </c>
      <c r="W15" s="1554">
        <f t="shared" si="2"/>
        <v>100</v>
      </c>
      <c r="X15" s="1555"/>
      <c r="Y15" s="3366"/>
      <c r="Z15" s="1144">
        <f t="shared" si="7"/>
        <v>0</v>
      </c>
      <c r="AA15" s="1556">
        <f>D15/F15</f>
        <v>1</v>
      </c>
      <c r="AB15" s="1556">
        <f>D15/H15</f>
        <v>1</v>
      </c>
      <c r="AC15" s="1556">
        <f>D15/J15</f>
        <v>1</v>
      </c>
    </row>
    <row r="16" spans="1:30" ht="21" thickBot="1">
      <c r="A16" s="2872"/>
      <c r="B16" s="2878"/>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401"/>
      <c r="Q16" s="1145">
        <f t="shared" si="6"/>
        <v>0</v>
      </c>
      <c r="R16" s="1553" t="s">
        <v>8</v>
      </c>
      <c r="S16" s="1554">
        <f t="shared" si="0"/>
        <v>100</v>
      </c>
      <c r="T16" s="1553" t="s">
        <v>8</v>
      </c>
      <c r="U16" s="1554">
        <f t="shared" si="1"/>
        <v>100</v>
      </c>
      <c r="V16" s="1553" t="s">
        <v>8</v>
      </c>
      <c r="W16" s="1554">
        <f t="shared" si="2"/>
        <v>100</v>
      </c>
      <c r="X16" s="1555"/>
      <c r="Y16" s="3366"/>
      <c r="Z16" s="1144">
        <f t="shared" si="7"/>
        <v>0</v>
      </c>
      <c r="AA16" s="1556">
        <f>D16/F16</f>
        <v>1</v>
      </c>
      <c r="AB16" s="1556">
        <f>D16/H16</f>
        <v>1</v>
      </c>
      <c r="AC16" s="1556">
        <f>D16/J16</f>
        <v>1</v>
      </c>
    </row>
    <row r="17" spans="1:29" ht="99.75">
      <c r="A17" s="2864" t="s">
        <v>2751</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50"/>
      <c r="H17" s="547">
        <f>SUMIF(90:90,G18,91:91)-SUMIF(90:90,C18,91:91)+100</f>
        <v>105</v>
      </c>
      <c r="I17" s="550"/>
      <c r="J17" s="547">
        <f>SUMIF(90:90,I18,91:91)-SUMIF(90:90,C18,91:91)+100</f>
        <v>105</v>
      </c>
      <c r="K17" s="533">
        <v>5</v>
      </c>
      <c r="L17" s="2126"/>
      <c r="M17" s="2116"/>
      <c r="N17" s="2116"/>
      <c r="O17" s="2125"/>
      <c r="P17" s="3404" t="s">
        <v>540</v>
      </c>
      <c r="Q17" s="1557" t="str">
        <f t="shared" si="6"/>
        <v>居住社区成熟度</v>
      </c>
      <c r="R17" s="1558" t="s">
        <v>8</v>
      </c>
      <c r="S17" s="1559">
        <f t="shared" si="0"/>
        <v>105</v>
      </c>
      <c r="T17" s="1558" t="s">
        <v>8</v>
      </c>
      <c r="U17" s="1559">
        <f t="shared" si="1"/>
        <v>105</v>
      </c>
      <c r="V17" s="1558" t="s">
        <v>8</v>
      </c>
      <c r="W17" s="1559">
        <f t="shared" si="2"/>
        <v>105</v>
      </c>
      <c r="X17" s="1552"/>
      <c r="Y17" s="3404" t="s">
        <v>540</v>
      </c>
      <c r="Z17" s="1560" t="str">
        <f t="shared" si="7"/>
        <v>居住社区成熟度</v>
      </c>
      <c r="AA17" s="1561">
        <f t="shared" si="3"/>
        <v>0.95238095238095233</v>
      </c>
      <c r="AB17" s="1561">
        <f t="shared" si="4"/>
        <v>0.95238095238095233</v>
      </c>
      <c r="AC17" s="1561">
        <f t="shared" si="5"/>
        <v>0.95238095238095233</v>
      </c>
    </row>
    <row r="18" spans="1:29" ht="20.25">
      <c r="A18" s="530"/>
      <c r="B18" s="551"/>
      <c r="C18" s="552" t="s">
        <v>3245</v>
      </c>
      <c r="D18" s="555"/>
      <c r="E18" s="552" t="s">
        <v>3246</v>
      </c>
      <c r="F18" s="553"/>
      <c r="G18" s="552" t="s">
        <v>3246</v>
      </c>
      <c r="H18" s="557"/>
      <c r="I18" s="552" t="s">
        <v>3246</v>
      </c>
      <c r="J18" s="553"/>
      <c r="K18" s="529"/>
      <c r="L18" s="2126"/>
      <c r="M18" s="2116"/>
      <c r="N18" s="2116"/>
      <c r="O18" s="2125"/>
      <c r="P18" s="3405"/>
      <c r="Q18" s="1557"/>
      <c r="R18" s="1558"/>
      <c r="S18" s="1559"/>
      <c r="T18" s="1558"/>
      <c r="U18" s="1559"/>
      <c r="V18" s="1558"/>
      <c r="W18" s="1559"/>
      <c r="X18" s="1552"/>
      <c r="Y18" s="3405"/>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103</v>
      </c>
      <c r="G19" s="562"/>
      <c r="H19" s="563">
        <f>SUMIF(92:92,G20,93:93)-SUMIF(92:92,C20,93:93)+100</f>
        <v>103</v>
      </c>
      <c r="I19" s="562"/>
      <c r="J19" s="563">
        <f>SUMIF(92:92,I20,93:93)-SUMIF(92:92,C20,93:93)+100</f>
        <v>103</v>
      </c>
      <c r="K19" s="533">
        <v>3</v>
      </c>
      <c r="L19" s="2126"/>
      <c r="M19" s="2116"/>
      <c r="N19" s="2116"/>
      <c r="O19" s="2125"/>
      <c r="P19" s="3405"/>
      <c r="Q19" s="1557" t="str">
        <f>B19</f>
        <v>商业繁华度</v>
      </c>
      <c r="R19" s="1558" t="s">
        <v>8</v>
      </c>
      <c r="S19" s="1559">
        <f>F19</f>
        <v>103</v>
      </c>
      <c r="T19" s="1558" t="s">
        <v>8</v>
      </c>
      <c r="U19" s="1559">
        <f>H19</f>
        <v>103</v>
      </c>
      <c r="V19" s="1558" t="s">
        <v>8</v>
      </c>
      <c r="W19" s="1559">
        <f>J19</f>
        <v>103</v>
      </c>
      <c r="X19" s="1552"/>
      <c r="Y19" s="3405"/>
      <c r="Z19" s="1560" t="str">
        <f>Q19</f>
        <v>商业繁华度</v>
      </c>
      <c r="AA19" s="1561">
        <f t="shared" si="3"/>
        <v>0.970873786407767</v>
      </c>
      <c r="AB19" s="1561">
        <f t="shared" si="4"/>
        <v>0.970873786407767</v>
      </c>
      <c r="AC19" s="1561">
        <f t="shared" si="5"/>
        <v>0.970873786407767</v>
      </c>
    </row>
    <row r="20" spans="1:29" ht="20.25">
      <c r="A20" s="530"/>
      <c r="B20" s="564"/>
      <c r="C20" s="552" t="s">
        <v>3245</v>
      </c>
      <c r="D20" s="561"/>
      <c r="E20" s="552" t="s">
        <v>3246</v>
      </c>
      <c r="F20" s="557"/>
      <c r="G20" s="552" t="s">
        <v>3246</v>
      </c>
      <c r="H20" s="553"/>
      <c r="I20" s="552" t="s">
        <v>3246</v>
      </c>
      <c r="J20" s="553"/>
      <c r="K20" s="529"/>
      <c r="L20" s="2126"/>
      <c r="M20" s="2116"/>
      <c r="N20" s="2116"/>
      <c r="O20" s="2125"/>
      <c r="P20" s="3405"/>
      <c r="Q20" s="1557"/>
      <c r="R20" s="1558"/>
      <c r="S20" s="1559"/>
      <c r="T20" s="1558"/>
      <c r="U20" s="1559"/>
      <c r="V20" s="1558"/>
      <c r="W20" s="1559"/>
      <c r="X20" s="1552"/>
      <c r="Y20" s="3405"/>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26"/>
      <c r="M21" s="2116"/>
      <c r="N21" s="2116"/>
      <c r="O21" s="2125"/>
      <c r="P21" s="3405"/>
      <c r="Q21" s="1557" t="str">
        <f>B21</f>
        <v>办公集聚程度</v>
      </c>
      <c r="R21" s="1558" t="s">
        <v>8</v>
      </c>
      <c r="S21" s="1559">
        <f>F21</f>
        <v>100</v>
      </c>
      <c r="T21" s="1558" t="s">
        <v>8</v>
      </c>
      <c r="U21" s="1559">
        <f>H21</f>
        <v>100</v>
      </c>
      <c r="V21" s="1558" t="s">
        <v>8</v>
      </c>
      <c r="W21" s="1559">
        <f>J21</f>
        <v>100</v>
      </c>
      <c r="X21" s="1552"/>
      <c r="Y21" s="3405"/>
      <c r="Z21" s="1560" t="str">
        <f>Q21</f>
        <v>办公集聚程度</v>
      </c>
      <c r="AA21" s="1561">
        <f t="shared" si="3"/>
        <v>1</v>
      </c>
      <c r="AB21" s="1561">
        <f t="shared" si="4"/>
        <v>1</v>
      </c>
      <c r="AC21" s="1561">
        <f t="shared" si="5"/>
        <v>1</v>
      </c>
    </row>
    <row r="22" spans="1:29" ht="20.25">
      <c r="A22" s="530"/>
      <c r="B22" s="564"/>
      <c r="C22" s="552"/>
      <c r="D22" s="555"/>
      <c r="E22" s="556"/>
      <c r="F22" s="553"/>
      <c r="G22" s="556"/>
      <c r="H22" s="553"/>
      <c r="I22" s="556"/>
      <c r="J22" s="553"/>
      <c r="K22" s="529"/>
      <c r="L22" s="2126"/>
      <c r="M22" s="2116"/>
      <c r="N22" s="2116"/>
      <c r="O22" s="2125"/>
      <c r="P22" s="3405"/>
      <c r="Q22" s="1557"/>
      <c r="R22" s="1558"/>
      <c r="S22" s="1559"/>
      <c r="T22" s="1558"/>
      <c r="U22" s="1559"/>
      <c r="V22" s="1558"/>
      <c r="W22" s="1559"/>
      <c r="X22" s="1552"/>
      <c r="Y22" s="3405"/>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26"/>
      <c r="M23" s="2116"/>
      <c r="N23" s="2116"/>
      <c r="O23" s="2125"/>
      <c r="P23" s="3405"/>
      <c r="Q23" s="1557" t="str">
        <f>B23</f>
        <v>交通便捷度</v>
      </c>
      <c r="R23" s="1558" t="s">
        <v>8</v>
      </c>
      <c r="S23" s="1559">
        <f>F23</f>
        <v>100</v>
      </c>
      <c r="T23" s="1558" t="s">
        <v>8</v>
      </c>
      <c r="U23" s="1559">
        <f>H23</f>
        <v>100</v>
      </c>
      <c r="V23" s="1558" t="s">
        <v>8</v>
      </c>
      <c r="W23" s="1559">
        <f>J23</f>
        <v>100</v>
      </c>
      <c r="X23" s="1552"/>
      <c r="Y23" s="3405"/>
      <c r="Z23" s="1560" t="str">
        <f>Q23</f>
        <v>交通便捷度</v>
      </c>
      <c r="AA23" s="1561">
        <f t="shared" si="3"/>
        <v>1</v>
      </c>
      <c r="AB23" s="1561">
        <f t="shared" si="4"/>
        <v>1</v>
      </c>
      <c r="AC23" s="1561">
        <f t="shared" si="5"/>
        <v>1</v>
      </c>
    </row>
    <row r="24" spans="1:29" ht="20.25">
      <c r="A24" s="530"/>
      <c r="B24" s="576"/>
      <c r="C24" s="552" t="s">
        <v>3246</v>
      </c>
      <c r="D24" s="555"/>
      <c r="E24" s="552" t="s">
        <v>3246</v>
      </c>
      <c r="F24" s="553"/>
      <c r="G24" s="552" t="s">
        <v>3246</v>
      </c>
      <c r="H24" s="553"/>
      <c r="I24" s="552" t="s">
        <v>3246</v>
      </c>
      <c r="J24" s="553"/>
      <c r="K24" s="529"/>
      <c r="L24" s="2126"/>
      <c r="M24" s="2116"/>
      <c r="N24" s="2116"/>
      <c r="O24" s="2125"/>
      <c r="P24" s="3405"/>
      <c r="Q24" s="1557"/>
      <c r="R24" s="1558"/>
      <c r="S24" s="1559"/>
      <c r="T24" s="1558"/>
      <c r="U24" s="1559"/>
      <c r="V24" s="1558"/>
      <c r="W24" s="1559"/>
      <c r="X24" s="1552"/>
      <c r="Y24" s="3405"/>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26"/>
      <c r="M25" s="2116"/>
      <c r="N25" s="2116"/>
      <c r="O25" s="2125"/>
      <c r="P25" s="3405"/>
      <c r="Q25" s="1557" t="str">
        <f t="shared" ref="Q25:Q39" si="8">B25</f>
        <v>区域土地利用方向</v>
      </c>
      <c r="R25" s="1558" t="s">
        <v>8</v>
      </c>
      <c r="S25" s="1559">
        <f>F25</f>
        <v>100</v>
      </c>
      <c r="T25" s="1558" t="s">
        <v>8</v>
      </c>
      <c r="U25" s="1559">
        <f>H25</f>
        <v>100</v>
      </c>
      <c r="V25" s="1558" t="s">
        <v>8</v>
      </c>
      <c r="W25" s="1559">
        <f>J25</f>
        <v>100</v>
      </c>
      <c r="X25" s="1552"/>
      <c r="Y25" s="3405"/>
      <c r="Z25" s="1560" t="str">
        <f>Q25</f>
        <v>区域土地利用方向</v>
      </c>
      <c r="AA25" s="1561">
        <f t="shared" si="3"/>
        <v>1</v>
      </c>
      <c r="AB25" s="1561">
        <f t="shared" si="4"/>
        <v>1</v>
      </c>
      <c r="AC25" s="1561">
        <f t="shared" si="5"/>
        <v>1</v>
      </c>
    </row>
    <row r="26" spans="1:29" ht="20.25">
      <c r="A26" s="513"/>
      <c r="B26" s="1005"/>
      <c r="C26" s="552" t="s">
        <v>3246</v>
      </c>
      <c r="D26" s="555"/>
      <c r="E26" s="552" t="s">
        <v>3246</v>
      </c>
      <c r="F26" s="553"/>
      <c r="G26" s="552" t="s">
        <v>3246</v>
      </c>
      <c r="H26" s="553"/>
      <c r="I26" s="552" t="s">
        <v>3246</v>
      </c>
      <c r="J26" s="553"/>
      <c r="K26" s="529"/>
      <c r="L26" s="2126"/>
      <c r="M26" s="2116"/>
      <c r="N26" s="2116"/>
      <c r="O26" s="2125"/>
      <c r="P26" s="3405"/>
      <c r="Q26" s="1557"/>
      <c r="R26" s="1558"/>
      <c r="S26" s="1559"/>
      <c r="T26" s="1558"/>
      <c r="U26" s="1559"/>
      <c r="V26" s="1558"/>
      <c r="W26" s="1559"/>
      <c r="X26" s="1552"/>
      <c r="Y26" s="3405"/>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5</v>
      </c>
      <c r="L27" s="2126"/>
      <c r="M27" s="2116"/>
      <c r="N27" s="2116"/>
      <c r="O27" s="2125"/>
      <c r="P27" s="3405"/>
      <c r="Q27" s="1557" t="str">
        <f t="shared" si="8"/>
        <v>自然及人文环境状况</v>
      </c>
      <c r="R27" s="1558" t="s">
        <v>8</v>
      </c>
      <c r="S27" s="1559">
        <f>F27</f>
        <v>100</v>
      </c>
      <c r="T27" s="1558" t="s">
        <v>8</v>
      </c>
      <c r="U27" s="1559">
        <f>H27</f>
        <v>100</v>
      </c>
      <c r="V27" s="1558" t="s">
        <v>8</v>
      </c>
      <c r="W27" s="1559">
        <f>J27</f>
        <v>100</v>
      </c>
      <c r="X27" s="1552"/>
      <c r="Y27" s="3405"/>
      <c r="Z27" s="1560" t="str">
        <f>Q27</f>
        <v>自然及人文环境状况</v>
      </c>
      <c r="AA27" s="1561">
        <f t="shared" si="3"/>
        <v>1</v>
      </c>
      <c r="AB27" s="1561">
        <f t="shared" si="4"/>
        <v>1</v>
      </c>
      <c r="AC27" s="1561">
        <f t="shared" si="5"/>
        <v>1</v>
      </c>
    </row>
    <row r="28" spans="1:29" ht="20.25">
      <c r="A28" s="513"/>
      <c r="B28" s="564"/>
      <c r="C28" s="552" t="s">
        <v>3230</v>
      </c>
      <c r="D28" s="555"/>
      <c r="E28" s="552" t="s">
        <v>3230</v>
      </c>
      <c r="F28" s="553"/>
      <c r="G28" s="552" t="s">
        <v>3230</v>
      </c>
      <c r="H28" s="553"/>
      <c r="I28" s="552" t="s">
        <v>3230</v>
      </c>
      <c r="J28" s="553"/>
      <c r="K28" s="529"/>
      <c r="L28" s="2126"/>
      <c r="M28" s="2116"/>
      <c r="N28" s="2116"/>
      <c r="O28" s="2125"/>
      <c r="P28" s="3405"/>
      <c r="Q28" s="1557"/>
      <c r="R28" s="1558"/>
      <c r="S28" s="1559"/>
      <c r="T28" s="1558"/>
      <c r="U28" s="1559"/>
      <c r="V28" s="1558"/>
      <c r="W28" s="1559"/>
      <c r="X28" s="1552"/>
      <c r="Y28" s="3405"/>
      <c r="Z28" s="1560"/>
      <c r="AA28" s="1561">
        <v>1</v>
      </c>
      <c r="AB28" s="1561">
        <v>1</v>
      </c>
      <c r="AC28" s="1561">
        <v>1</v>
      </c>
    </row>
    <row r="29" spans="1:29" s="1214" customFormat="1" ht="42.75">
      <c r="A29" s="575"/>
      <c r="B29" s="2554" t="s">
        <v>2546</v>
      </c>
      <c r="C29" s="571" t="str">
        <f>估价对象房地状况!C21</f>
        <v>估价对象所在区域公共配套设施齐备情况</v>
      </c>
      <c r="D29" s="561">
        <v>100</v>
      </c>
      <c r="E29" s="562"/>
      <c r="F29" s="557">
        <f>SUMIF(102:102,E30,103:103)-SUMIF(102:102,C30,103:103)+100</f>
        <v>105</v>
      </c>
      <c r="G29" s="562"/>
      <c r="H29" s="557">
        <f>SUMIF(102:102,G30,103:103)-SUMIF(102:102,C30,103:103)+100</f>
        <v>105</v>
      </c>
      <c r="I29" s="562"/>
      <c r="J29" s="557">
        <f>SUMIF(102:102,I30,103:103)-SUMIF(102:102,C30,103:103)+100</f>
        <v>105</v>
      </c>
      <c r="K29" s="533">
        <v>5</v>
      </c>
      <c r="L29" s="2119"/>
      <c r="M29" s="2116"/>
      <c r="N29" s="2116"/>
      <c r="O29" s="2121"/>
      <c r="P29" s="3405"/>
      <c r="Q29" s="1145" t="str">
        <f t="shared" si="8"/>
        <v>公共配套设施</v>
      </c>
      <c r="R29" s="1553" t="s">
        <v>8</v>
      </c>
      <c r="S29" s="1554">
        <f>F29</f>
        <v>105</v>
      </c>
      <c r="T29" s="1553" t="s">
        <v>8</v>
      </c>
      <c r="U29" s="1554">
        <f>H29</f>
        <v>105</v>
      </c>
      <c r="V29" s="1553" t="s">
        <v>8</v>
      </c>
      <c r="W29" s="1554">
        <f>J29</f>
        <v>105</v>
      </c>
      <c r="X29" s="1555"/>
      <c r="Y29" s="3405"/>
      <c r="Z29" s="1144" t="str">
        <f>Q29</f>
        <v>公共配套设施</v>
      </c>
      <c r="AA29" s="1561">
        <f>D29/F29</f>
        <v>0.95238095238095233</v>
      </c>
      <c r="AB29" s="1561">
        <f>D29/H29</f>
        <v>0.95238095238095233</v>
      </c>
      <c r="AC29" s="1561">
        <f>D29/J29</f>
        <v>0.95238095238095233</v>
      </c>
    </row>
    <row r="30" spans="1:29" s="1214" customFormat="1" ht="20.25">
      <c r="A30" s="575"/>
      <c r="B30" s="564"/>
      <c r="C30" s="577" t="s">
        <v>3245</v>
      </c>
      <c r="D30" s="555"/>
      <c r="E30" s="577" t="s">
        <v>3246</v>
      </c>
      <c r="F30" s="553"/>
      <c r="G30" s="577" t="s">
        <v>3246</v>
      </c>
      <c r="H30" s="553"/>
      <c r="I30" s="577" t="s">
        <v>3246</v>
      </c>
      <c r="J30" s="553"/>
      <c r="K30" s="529"/>
      <c r="L30" s="2119"/>
      <c r="M30" s="2116"/>
      <c r="N30" s="2116"/>
      <c r="O30" s="2121"/>
      <c r="P30" s="3405"/>
      <c r="Q30" s="1145"/>
      <c r="R30" s="1553"/>
      <c r="S30" s="1554"/>
      <c r="T30" s="1553"/>
      <c r="U30" s="1554"/>
      <c r="V30" s="1553"/>
      <c r="W30" s="1554"/>
      <c r="X30" s="1555"/>
      <c r="Y30" s="3405"/>
      <c r="Z30" s="1144"/>
      <c r="AA30" s="1561">
        <v>1</v>
      </c>
      <c r="AB30" s="1561">
        <v>1</v>
      </c>
      <c r="AC30" s="1561">
        <v>1</v>
      </c>
    </row>
    <row r="31" spans="1:29" s="1214" customFormat="1" ht="28.5">
      <c r="A31" s="575"/>
      <c r="B31" s="2554" t="s">
        <v>2547</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19"/>
      <c r="M31" s="2116"/>
      <c r="N31" s="2116"/>
      <c r="O31" s="2121"/>
      <c r="P31" s="3405"/>
      <c r="Q31" s="2541" t="str">
        <f t="shared" ref="Q31" si="9">B31</f>
        <v>基础设施水平</v>
      </c>
      <c r="R31" s="1553" t="s">
        <v>8</v>
      </c>
      <c r="S31" s="1554">
        <f>F31</f>
        <v>100</v>
      </c>
      <c r="T31" s="1553" t="s">
        <v>8</v>
      </c>
      <c r="U31" s="1554">
        <f>H31</f>
        <v>100</v>
      </c>
      <c r="V31" s="1553" t="s">
        <v>8</v>
      </c>
      <c r="W31" s="1554">
        <f>J31</f>
        <v>100</v>
      </c>
      <c r="X31" s="1555"/>
      <c r="Y31" s="3405"/>
      <c r="Z31" s="2538" t="str">
        <f>Q31</f>
        <v>基础设施水平</v>
      </c>
      <c r="AA31" s="1561">
        <f>D31/F31</f>
        <v>1</v>
      </c>
      <c r="AB31" s="1561">
        <f>D31/H31</f>
        <v>1</v>
      </c>
      <c r="AC31" s="1561">
        <f>D31/J31</f>
        <v>1</v>
      </c>
    </row>
    <row r="32" spans="1:29" s="1214" customFormat="1" ht="20.25">
      <c r="A32" s="575"/>
      <c r="B32" s="564"/>
      <c r="C32" s="577" t="s">
        <v>3239</v>
      </c>
      <c r="D32" s="555"/>
      <c r="E32" s="577" t="s">
        <v>3239</v>
      </c>
      <c r="F32" s="553"/>
      <c r="G32" s="577" t="s">
        <v>3239</v>
      </c>
      <c r="H32" s="553"/>
      <c r="I32" s="577" t="s">
        <v>3239</v>
      </c>
      <c r="J32" s="553"/>
      <c r="K32" s="529"/>
      <c r="L32" s="2119"/>
      <c r="M32" s="2116"/>
      <c r="N32" s="2116"/>
      <c r="O32" s="2121"/>
      <c r="P32" s="3405"/>
      <c r="Q32" s="2541"/>
      <c r="R32" s="1553"/>
      <c r="S32" s="1554"/>
      <c r="T32" s="1553"/>
      <c r="U32" s="1554"/>
      <c r="V32" s="1553"/>
      <c r="W32" s="1554"/>
      <c r="X32" s="1555"/>
      <c r="Y32" s="3405"/>
      <c r="Z32" s="2538"/>
      <c r="AA32" s="1561">
        <v>1</v>
      </c>
      <c r="AB32" s="1561">
        <v>1</v>
      </c>
      <c r="AC32" s="1561">
        <v>1</v>
      </c>
    </row>
    <row r="33" spans="1:29" ht="20.25">
      <c r="A33" s="530"/>
      <c r="B33" s="564" t="s">
        <v>547</v>
      </c>
      <c r="C33" s="578"/>
      <c r="D33" s="573">
        <v>100</v>
      </c>
      <c r="E33" s="581"/>
      <c r="F33" s="538">
        <f>SUMIF(106:106,E33,107:107)-SUMIF(106:106,C33,107:107)+100</f>
        <v>100</v>
      </c>
      <c r="G33" s="581"/>
      <c r="H33" s="538">
        <f>SUMIF(106:106,G33,107:107)-SUMIF(106:106,C33,107:107)+100</f>
        <v>100</v>
      </c>
      <c r="I33" s="581"/>
      <c r="J33" s="538">
        <f>SUMIF(106:106,I33,107:107)-SUMIF(106:106,C33,107:107)+100</f>
        <v>100</v>
      </c>
      <c r="K33" s="533"/>
      <c r="L33" s="2126"/>
      <c r="M33" s="2116"/>
      <c r="N33" s="2116"/>
      <c r="O33" s="2125"/>
      <c r="P33" s="340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5"/>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v>1</v>
      </c>
      <c r="L34" s="2126"/>
      <c r="M34" s="2116"/>
      <c r="N34" s="2116"/>
      <c r="O34" s="2125"/>
      <c r="P34" s="3405"/>
      <c r="Q34" s="1557" t="str">
        <f t="shared" si="8"/>
        <v>毗邻道路的类型与等级</v>
      </c>
      <c r="R34" s="1558" t="s">
        <v>8</v>
      </c>
      <c r="S34" s="1559">
        <f t="shared" si="10"/>
        <v>100</v>
      </c>
      <c r="T34" s="1558" t="s">
        <v>8</v>
      </c>
      <c r="U34" s="1559">
        <f t="shared" si="11"/>
        <v>100</v>
      </c>
      <c r="V34" s="1558" t="s">
        <v>8</v>
      </c>
      <c r="W34" s="1559">
        <f t="shared" si="12"/>
        <v>100</v>
      </c>
      <c r="X34" s="1552"/>
      <c r="Y34" s="3405"/>
      <c r="Z34" s="1560" t="str">
        <f t="shared" si="13"/>
        <v>毗邻道路的类型与等级</v>
      </c>
      <c r="AA34" s="1561">
        <f t="shared" si="3"/>
        <v>1</v>
      </c>
      <c r="AB34" s="1561">
        <f t="shared" si="4"/>
        <v>1</v>
      </c>
      <c r="AC34" s="1561">
        <f t="shared" si="5"/>
        <v>1</v>
      </c>
    </row>
    <row r="35" spans="1:29" ht="20.25">
      <c r="A35" s="530"/>
      <c r="B35" s="564"/>
      <c r="C35" s="552" t="s">
        <v>3247</v>
      </c>
      <c r="D35" s="555"/>
      <c r="E35" s="552" t="s">
        <v>3247</v>
      </c>
      <c r="F35" s="553"/>
      <c r="G35" s="552" t="s">
        <v>3247</v>
      </c>
      <c r="H35" s="553"/>
      <c r="I35" s="552" t="s">
        <v>3247</v>
      </c>
      <c r="J35" s="553"/>
      <c r="K35" s="579"/>
      <c r="L35" s="2126"/>
      <c r="M35" s="2116"/>
      <c r="N35" s="2116"/>
      <c r="O35" s="2125"/>
      <c r="P35" s="3405"/>
      <c r="Q35" s="1557"/>
      <c r="R35" s="1558"/>
      <c r="S35" s="1559"/>
      <c r="T35" s="1558"/>
      <c r="U35" s="1559"/>
      <c r="V35" s="1558"/>
      <c r="W35" s="1559"/>
      <c r="X35" s="1552"/>
      <c r="Y35" s="3405"/>
      <c r="Z35" s="1560"/>
      <c r="AA35" s="1561">
        <v>1</v>
      </c>
      <c r="AB35" s="1561">
        <v>1</v>
      </c>
      <c r="AC35" s="1561">
        <v>1</v>
      </c>
    </row>
    <row r="36" spans="1:29" ht="20.25">
      <c r="A36" s="530"/>
      <c r="B36" s="580" t="s">
        <v>549</v>
      </c>
      <c r="C36" s="578"/>
      <c r="D36" s="573">
        <v>100</v>
      </c>
      <c r="E36" s="581"/>
      <c r="F36" s="538">
        <f>SUMIF(110:110,E36,111:111)-SUMIF(110:110,C36,111:111)+100</f>
        <v>100</v>
      </c>
      <c r="G36" s="581"/>
      <c r="H36" s="538">
        <f>SUMIF(110:110,G36,111:111)-SUMIF(110:110,C36,111:111)+100</f>
        <v>100</v>
      </c>
      <c r="I36" s="581"/>
      <c r="J36" s="538">
        <f>SUMIF(110:110,I36,111:111)-SUMIF(110:110,C36,111:111)+100</f>
        <v>100</v>
      </c>
      <c r="K36" s="582"/>
      <c r="L36" s="2126"/>
      <c r="M36" s="2116"/>
      <c r="N36" s="2116"/>
      <c r="O36" s="2125"/>
      <c r="P36" s="3405"/>
      <c r="Q36" s="1557" t="str">
        <f t="shared" si="8"/>
        <v>土地级别</v>
      </c>
      <c r="R36" s="1558" t="s">
        <v>8</v>
      </c>
      <c r="S36" s="1559">
        <f t="shared" si="10"/>
        <v>100</v>
      </c>
      <c r="T36" s="1558" t="s">
        <v>8</v>
      </c>
      <c r="U36" s="1559">
        <f t="shared" si="11"/>
        <v>100</v>
      </c>
      <c r="V36" s="1558" t="s">
        <v>8</v>
      </c>
      <c r="W36" s="1559">
        <f t="shared" si="12"/>
        <v>100</v>
      </c>
      <c r="X36" s="1552"/>
      <c r="Y36" s="3405"/>
      <c r="Z36" s="1560" t="str">
        <f t="shared" si="13"/>
        <v>土地级别</v>
      </c>
      <c r="AA36" s="1561">
        <f t="shared" si="3"/>
        <v>1</v>
      </c>
      <c r="AB36" s="1561">
        <f t="shared" si="4"/>
        <v>1</v>
      </c>
      <c r="AC36" s="1561">
        <f t="shared" si="5"/>
        <v>1</v>
      </c>
    </row>
    <row r="37" spans="1:29" ht="20.25">
      <c r="A37" s="513"/>
      <c r="B37" s="583"/>
      <c r="C37" s="584"/>
      <c r="D37" s="573">
        <v>100</v>
      </c>
      <c r="E37" s="540"/>
      <c r="F37" s="538">
        <f>SUMIF(112:112,E37,113:113)-SUMIF(112:112,C37,113:113)+100</f>
        <v>100</v>
      </c>
      <c r="G37" s="540"/>
      <c r="H37" s="538">
        <f>SUMIF(112:112,G37,113:113)-SUMIF(112:112,C37,113:113)+100</f>
        <v>100</v>
      </c>
      <c r="I37" s="540"/>
      <c r="J37" s="538">
        <f>SUMIF(112:112,I37,113:113)-SUMIF(112:112,C37,113:113)+100</f>
        <v>100</v>
      </c>
      <c r="K37" s="579"/>
      <c r="L37" s="2126"/>
      <c r="M37" s="2116"/>
      <c r="N37" s="2116"/>
      <c r="O37" s="2125"/>
      <c r="P37" s="3405"/>
      <c r="Q37" s="1557">
        <f t="shared" si="8"/>
        <v>0</v>
      </c>
      <c r="R37" s="1558" t="s">
        <v>8</v>
      </c>
      <c r="S37" s="1559">
        <f t="shared" si="10"/>
        <v>100</v>
      </c>
      <c r="T37" s="1558" t="s">
        <v>8</v>
      </c>
      <c r="U37" s="1559">
        <f t="shared" si="11"/>
        <v>100</v>
      </c>
      <c r="V37" s="1558" t="s">
        <v>8</v>
      </c>
      <c r="W37" s="1559">
        <f t="shared" si="12"/>
        <v>100</v>
      </c>
      <c r="X37" s="1552"/>
      <c r="Y37" s="3405"/>
      <c r="Z37" s="1560">
        <f t="shared" si="13"/>
        <v>0</v>
      </c>
      <c r="AA37" s="1561">
        <f t="shared" si="3"/>
        <v>1</v>
      </c>
      <c r="AB37" s="1561">
        <f t="shared" si="4"/>
        <v>1</v>
      </c>
      <c r="AC37" s="1561">
        <f t="shared" si="5"/>
        <v>1</v>
      </c>
    </row>
    <row r="38" spans="1:29" ht="20.25">
      <c r="A38" s="585"/>
      <c r="B38" s="586"/>
      <c r="C38" s="584"/>
      <c r="D38" s="573">
        <v>100</v>
      </c>
      <c r="E38" s="540"/>
      <c r="F38" s="538">
        <f>SUMIF(114:114,E39,115:115)-SUMIF(114:114,C39,115:115)+100</f>
        <v>100</v>
      </c>
      <c r="G38" s="540"/>
      <c r="H38" s="538">
        <f>SUMIF(114:114,G38,115:115)-SUMIF(114:114,C38,115:115)+100</f>
        <v>100</v>
      </c>
      <c r="I38" s="540"/>
      <c r="J38" s="538">
        <f>SUMIF(114:114,I38,115:115)-SUMIF(114:114,C38,115:115)+100</f>
        <v>100</v>
      </c>
      <c r="K38" s="579"/>
      <c r="L38" s="2126"/>
      <c r="M38" s="2116"/>
      <c r="N38" s="2116"/>
      <c r="O38" s="2125"/>
      <c r="P38" s="3406" t="s">
        <v>550</v>
      </c>
      <c r="Q38" s="1557">
        <f t="shared" si="8"/>
        <v>0</v>
      </c>
      <c r="R38" s="1558" t="s">
        <v>8</v>
      </c>
      <c r="S38" s="1559">
        <f t="shared" si="10"/>
        <v>100</v>
      </c>
      <c r="T38" s="1558" t="s">
        <v>8</v>
      </c>
      <c r="U38" s="1559">
        <f t="shared" si="11"/>
        <v>100</v>
      </c>
      <c r="V38" s="1558" t="s">
        <v>8</v>
      </c>
      <c r="W38" s="1559">
        <f t="shared" si="12"/>
        <v>100</v>
      </c>
      <c r="X38" s="1552"/>
      <c r="Y38" s="3407" t="s">
        <v>550</v>
      </c>
      <c r="Z38" s="1560">
        <f t="shared" si="13"/>
        <v>0</v>
      </c>
      <c r="AA38" s="1561">
        <f t="shared" si="3"/>
        <v>1</v>
      </c>
      <c r="AB38" s="1561">
        <f t="shared" si="4"/>
        <v>1</v>
      </c>
      <c r="AC38" s="1561">
        <f t="shared" si="5"/>
        <v>1</v>
      </c>
    </row>
    <row r="39" spans="1:29" s="1333" customFormat="1" ht="21" thickBot="1">
      <c r="A39" s="587"/>
      <c r="B39" s="588"/>
      <c r="C39" s="589"/>
      <c r="D39" s="738">
        <v>100</v>
      </c>
      <c r="E39" s="591"/>
      <c r="F39" s="544">
        <f>SUMIF(116:116,E39,117:117)-SUMIF(116:116,C39,117:117)+100</f>
        <v>100</v>
      </c>
      <c r="G39" s="591"/>
      <c r="H39" s="544">
        <f>SUMIF(116:116,G39,117:117)-SUMIF(116:116,C39,117:117)+100</f>
        <v>100</v>
      </c>
      <c r="I39" s="591"/>
      <c r="J39" s="544">
        <f>SUMIF(116:116,I39,117:117)-SUMIF(116:116,C39,117:117)+100</f>
        <v>100</v>
      </c>
      <c r="K39" s="579"/>
      <c r="L39" s="2124"/>
      <c r="M39" s="2116"/>
      <c r="N39" s="2116"/>
      <c r="O39" s="2127"/>
      <c r="P39" s="3407"/>
      <c r="Q39" s="1557">
        <f t="shared" si="8"/>
        <v>0</v>
      </c>
      <c r="R39" s="1562" t="s">
        <v>8</v>
      </c>
      <c r="S39" s="1563">
        <f t="shared" si="10"/>
        <v>100</v>
      </c>
      <c r="T39" s="1562" t="s">
        <v>8</v>
      </c>
      <c r="U39" s="1563">
        <f t="shared" si="11"/>
        <v>100</v>
      </c>
      <c r="V39" s="1562" t="s">
        <v>8</v>
      </c>
      <c r="W39" s="1563">
        <f t="shared" si="12"/>
        <v>100</v>
      </c>
      <c r="X39" s="1564"/>
      <c r="Y39" s="3407"/>
      <c r="Z39" s="1565">
        <f t="shared" si="13"/>
        <v>0</v>
      </c>
      <c r="AA39" s="1561">
        <f t="shared" si="3"/>
        <v>1</v>
      </c>
      <c r="AB39" s="1561">
        <f t="shared" si="4"/>
        <v>1</v>
      </c>
      <c r="AC39" s="1561">
        <f t="shared" si="5"/>
        <v>1</v>
      </c>
    </row>
    <row r="40" spans="1:29" ht="20.25">
      <c r="A40" s="2861" t="s">
        <v>2752</v>
      </c>
      <c r="B40" s="593" t="s">
        <v>552</v>
      </c>
      <c r="C40" s="594">
        <f>'数据-基础表'!A3</f>
        <v>37003</v>
      </c>
      <c r="D40" s="595">
        <v>100</v>
      </c>
      <c r="E40" s="594">
        <f>'土地案例（住宅）'!J5</f>
        <v>31371</v>
      </c>
      <c r="F40" s="595">
        <f>LOOKUP(E40,119:119,120:120)-LOOKUP(C40,119:119,120:120)+100</f>
        <v>100</v>
      </c>
      <c r="G40" s="594">
        <f>'土地案例（住宅）'!J7</f>
        <v>5064</v>
      </c>
      <c r="H40" s="595">
        <f>LOOKUP(G40,119:119,120:120)-LOOKUP(C40,119:119,120:120)+100</f>
        <v>100</v>
      </c>
      <c r="I40" s="596">
        <f>'土地案例（住宅）'!J8</f>
        <v>10436</v>
      </c>
      <c r="J40" s="595">
        <f>LOOKUP(I40,119:119,120:120)-LOOKUP(C40,119:119,120:120)+100</f>
        <v>100</v>
      </c>
      <c r="K40" s="579"/>
      <c r="L40" s="2126"/>
      <c r="M40" s="2116"/>
      <c r="N40" s="2116"/>
      <c r="O40" s="2125"/>
      <c r="P40" s="3407"/>
      <c r="Q40" s="1557" t="str">
        <f>B40</f>
        <v>宗地面积</v>
      </c>
      <c r="R40" s="1558" t="s">
        <v>8</v>
      </c>
      <c r="S40" s="1559">
        <f t="shared" si="10"/>
        <v>100</v>
      </c>
      <c r="T40" s="1558" t="s">
        <v>8</v>
      </c>
      <c r="U40" s="1559">
        <f t="shared" si="11"/>
        <v>100</v>
      </c>
      <c r="V40" s="1558" t="s">
        <v>8</v>
      </c>
      <c r="W40" s="1559">
        <f t="shared" si="12"/>
        <v>100</v>
      </c>
      <c r="X40" s="1552"/>
      <c r="Y40" s="3407"/>
      <c r="Z40" s="1560" t="str">
        <f t="shared" si="13"/>
        <v>宗地面积</v>
      </c>
      <c r="AA40" s="1561">
        <f t="shared" si="3"/>
        <v>1</v>
      </c>
      <c r="AB40" s="1561">
        <f t="shared" si="4"/>
        <v>1</v>
      </c>
      <c r="AC40" s="1561">
        <f t="shared" si="5"/>
        <v>1</v>
      </c>
    </row>
    <row r="41" spans="1:29" ht="20.25">
      <c r="A41" s="592"/>
      <c r="B41" s="525" t="s">
        <v>553</v>
      </c>
      <c r="C41" s="597" t="s">
        <v>3228</v>
      </c>
      <c r="D41" s="538">
        <v>100</v>
      </c>
      <c r="E41" s="597" t="s">
        <v>3228</v>
      </c>
      <c r="F41" s="538">
        <f>SUMIF(121:121,E41,122:122)-SUMIF(121:121,C41,122:122)+100</f>
        <v>100</v>
      </c>
      <c r="G41" s="597" t="s">
        <v>3228</v>
      </c>
      <c r="H41" s="538">
        <f>SUMIF(121:121,G41,122:122)-SUMIF(121:121,C41,122:122)+100</f>
        <v>100</v>
      </c>
      <c r="I41" s="597" t="s">
        <v>3228</v>
      </c>
      <c r="J41" s="538">
        <f>SUMIF(121:121,I41,122:122)-SUMIF(121:121,C41,122:122)+100</f>
        <v>100</v>
      </c>
      <c r="K41" s="582">
        <v>2</v>
      </c>
      <c r="L41" s="2126"/>
      <c r="M41" s="2116"/>
      <c r="N41" s="2116"/>
      <c r="O41" s="2125"/>
      <c r="P41" s="3407"/>
      <c r="Q41" s="1557" t="str">
        <f t="shared" ref="Q41:Q47" si="14">B41</f>
        <v>宗地形状</v>
      </c>
      <c r="R41" s="1558" t="s">
        <v>8</v>
      </c>
      <c r="S41" s="1559">
        <f t="shared" si="10"/>
        <v>100</v>
      </c>
      <c r="T41" s="1558" t="s">
        <v>8</v>
      </c>
      <c r="U41" s="1559">
        <f t="shared" si="11"/>
        <v>100</v>
      </c>
      <c r="V41" s="1558" t="s">
        <v>8</v>
      </c>
      <c r="W41" s="1559">
        <f t="shared" si="12"/>
        <v>100</v>
      </c>
      <c r="X41" s="1552"/>
      <c r="Y41" s="3407"/>
      <c r="Z41" s="1560" t="str">
        <f t="shared" si="13"/>
        <v>宗地形状</v>
      </c>
      <c r="AA41" s="1561">
        <f t="shared" si="3"/>
        <v>1</v>
      </c>
      <c r="AB41" s="1561">
        <f t="shared" si="4"/>
        <v>1</v>
      </c>
      <c r="AC41" s="1561">
        <f t="shared" si="5"/>
        <v>1</v>
      </c>
    </row>
    <row r="42" spans="1:29" ht="20.25">
      <c r="A42" s="592"/>
      <c r="B42" s="525" t="s">
        <v>554</v>
      </c>
      <c r="C42" s="597" t="s">
        <v>3231</v>
      </c>
      <c r="D42" s="538">
        <v>100</v>
      </c>
      <c r="E42" s="597" t="s">
        <v>3231</v>
      </c>
      <c r="F42" s="538">
        <f>SUMIF(123:123,E42,124:124)-SUMIF(123:123,C42,124:124)+100</f>
        <v>100</v>
      </c>
      <c r="G42" s="597" t="s">
        <v>3231</v>
      </c>
      <c r="H42" s="538">
        <f>SUMIF(123:123,G42,124:124)-SUMIF(123:123,C42,124:124)+100</f>
        <v>100</v>
      </c>
      <c r="I42" s="597" t="s">
        <v>3231</v>
      </c>
      <c r="J42" s="538">
        <f>SUMIF(123:123,I42,124:124)-SUMIF(123:123,C42,124:124)+100</f>
        <v>100</v>
      </c>
      <c r="K42" s="582">
        <v>2</v>
      </c>
      <c r="L42" s="2126"/>
      <c r="M42" s="2116"/>
      <c r="N42" s="2116"/>
      <c r="O42" s="2125"/>
      <c r="P42" s="3407"/>
      <c r="Q42" s="1557" t="str">
        <f t="shared" si="14"/>
        <v>临街宽度及深度</v>
      </c>
      <c r="R42" s="1558" t="s">
        <v>8</v>
      </c>
      <c r="S42" s="1559">
        <f t="shared" si="10"/>
        <v>100</v>
      </c>
      <c r="T42" s="1558" t="s">
        <v>8</v>
      </c>
      <c r="U42" s="1559">
        <f t="shared" si="11"/>
        <v>100</v>
      </c>
      <c r="V42" s="1558" t="s">
        <v>8</v>
      </c>
      <c r="W42" s="1559">
        <f t="shared" si="12"/>
        <v>100</v>
      </c>
      <c r="X42" s="1552"/>
      <c r="Y42" s="3407"/>
      <c r="Z42" s="1560" t="str">
        <f t="shared" si="13"/>
        <v>临街宽度及深度</v>
      </c>
      <c r="AA42" s="1561">
        <f t="shared" si="3"/>
        <v>1</v>
      </c>
      <c r="AB42" s="1561">
        <f t="shared" si="4"/>
        <v>1</v>
      </c>
      <c r="AC42" s="1561">
        <f t="shared" si="5"/>
        <v>1</v>
      </c>
    </row>
    <row r="43" spans="1:29" s="1214" customFormat="1" ht="20.25">
      <c r="A43" s="598"/>
      <c r="B43" s="1879" t="s">
        <v>2422</v>
      </c>
      <c r="C43" s="599" t="s">
        <v>3229</v>
      </c>
      <c r="D43" s="253">
        <v>100</v>
      </c>
      <c r="E43" s="599" t="s">
        <v>3229</v>
      </c>
      <c r="F43" s="538">
        <f>SUMIF(125:125,E43,126:126)-SUMIF(125:125,C43,126:126)+100</f>
        <v>100</v>
      </c>
      <c r="G43" s="599" t="s">
        <v>3229</v>
      </c>
      <c r="H43" s="538">
        <f>SUMIF(125:125,G43,126:126)-SUMIF(125:125,C43,126:126)+100</f>
        <v>100</v>
      </c>
      <c r="I43" s="599" t="s">
        <v>3229</v>
      </c>
      <c r="J43" s="538">
        <f>SUMIF(125:125,I43,126:126)-SUMIF(125:125,C43,126:126)+100</f>
        <v>100</v>
      </c>
      <c r="K43" s="582">
        <v>2</v>
      </c>
      <c r="L43" s="2119"/>
      <c r="M43" s="2116"/>
      <c r="N43" s="2116"/>
      <c r="O43" s="2121"/>
      <c r="P43" s="3407"/>
      <c r="Q43" s="1557" t="str">
        <f t="shared" si="14"/>
        <v>宗地开发程度</v>
      </c>
      <c r="R43" s="1553" t="s">
        <v>8</v>
      </c>
      <c r="S43" s="1554">
        <f t="shared" si="10"/>
        <v>100</v>
      </c>
      <c r="T43" s="1553" t="s">
        <v>8</v>
      </c>
      <c r="U43" s="1554">
        <f t="shared" si="11"/>
        <v>100</v>
      </c>
      <c r="V43" s="1553" t="s">
        <v>8</v>
      </c>
      <c r="W43" s="1554">
        <f t="shared" si="12"/>
        <v>100</v>
      </c>
      <c r="X43" s="1555"/>
      <c r="Y43" s="3407"/>
      <c r="Z43" s="1144" t="str">
        <f t="shared" si="13"/>
        <v>宗地开发程度</v>
      </c>
      <c r="AA43" s="1556">
        <f t="shared" si="3"/>
        <v>1</v>
      </c>
      <c r="AB43" s="1556">
        <f t="shared" si="4"/>
        <v>1</v>
      </c>
      <c r="AC43" s="1556">
        <f t="shared" si="5"/>
        <v>1</v>
      </c>
    </row>
    <row r="44" spans="1:29" ht="20.25">
      <c r="A44" s="592"/>
      <c r="B44" s="525" t="s">
        <v>555</v>
      </c>
      <c r="C44" s="597" t="s">
        <v>3230</v>
      </c>
      <c r="D44" s="538">
        <v>100</v>
      </c>
      <c r="E44" s="597" t="s">
        <v>3230</v>
      </c>
      <c r="F44" s="538">
        <f>SUMIF(127:127,E44,128:128)-SUMIF(127:127,C44,128:128)+100</f>
        <v>100</v>
      </c>
      <c r="G44" s="597" t="s">
        <v>3230</v>
      </c>
      <c r="H44" s="538">
        <f>SUMIF(127:127,G44,128:128)-SUMIF(127:127,C44,128:128)+100</f>
        <v>100</v>
      </c>
      <c r="I44" s="597" t="s">
        <v>3230</v>
      </c>
      <c r="J44" s="538">
        <f>SUMIF(127:127,I44,128:128)-SUMIF(127:127,C44,128:128)+100</f>
        <v>100</v>
      </c>
      <c r="K44" s="582">
        <v>2</v>
      </c>
      <c r="L44" s="2126"/>
      <c r="M44" s="2116"/>
      <c r="N44" s="2116"/>
      <c r="O44" s="2125"/>
      <c r="P44" s="3407" t="s">
        <v>550</v>
      </c>
      <c r="Q44" s="1557" t="str">
        <f t="shared" si="14"/>
        <v>工程地质条件</v>
      </c>
      <c r="R44" s="1558" t="s">
        <v>8</v>
      </c>
      <c r="S44" s="1559">
        <f t="shared" si="10"/>
        <v>100</v>
      </c>
      <c r="T44" s="1558" t="s">
        <v>8</v>
      </c>
      <c r="U44" s="1559">
        <f t="shared" si="11"/>
        <v>100</v>
      </c>
      <c r="V44" s="1558" t="s">
        <v>8</v>
      </c>
      <c r="W44" s="1559">
        <f t="shared" si="12"/>
        <v>100</v>
      </c>
      <c r="X44" s="1552"/>
      <c r="Y44" s="3407" t="s">
        <v>550</v>
      </c>
      <c r="Z44" s="1560" t="str">
        <f t="shared" si="13"/>
        <v>工程地质条件</v>
      </c>
      <c r="AA44" s="1561">
        <f t="shared" si="3"/>
        <v>1</v>
      </c>
      <c r="AB44" s="1561">
        <f t="shared" si="4"/>
        <v>1</v>
      </c>
      <c r="AC44" s="1561">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07"/>
      <c r="Q45" s="1557">
        <f t="shared" si="14"/>
        <v>0</v>
      </c>
      <c r="R45" s="1558" t="s">
        <v>8</v>
      </c>
      <c r="S45" s="1559">
        <f t="shared" si="10"/>
        <v>100</v>
      </c>
      <c r="T45" s="1558" t="s">
        <v>8</v>
      </c>
      <c r="U45" s="1559">
        <f t="shared" si="11"/>
        <v>100</v>
      </c>
      <c r="V45" s="1558" t="s">
        <v>8</v>
      </c>
      <c r="W45" s="1559">
        <f t="shared" si="12"/>
        <v>100</v>
      </c>
      <c r="X45" s="1552"/>
      <c r="Y45" s="3407"/>
      <c r="Z45" s="1560">
        <f t="shared" si="13"/>
        <v>0</v>
      </c>
      <c r="AA45" s="1561">
        <f t="shared" si="3"/>
        <v>1</v>
      </c>
      <c r="AB45" s="1561">
        <f t="shared" si="4"/>
        <v>1</v>
      </c>
      <c r="AC45" s="1561">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07"/>
      <c r="Q46" s="1557">
        <f t="shared" si="14"/>
        <v>0</v>
      </c>
      <c r="R46" s="1558" t="s">
        <v>8</v>
      </c>
      <c r="S46" s="1559">
        <f t="shared" si="10"/>
        <v>100</v>
      </c>
      <c r="T46" s="1558" t="s">
        <v>8</v>
      </c>
      <c r="U46" s="1559">
        <f t="shared" si="11"/>
        <v>100</v>
      </c>
      <c r="V46" s="1558" t="s">
        <v>8</v>
      </c>
      <c r="W46" s="1559">
        <f t="shared" si="12"/>
        <v>100</v>
      </c>
      <c r="X46" s="1552"/>
      <c r="Y46" s="3407"/>
      <c r="Z46" s="1560">
        <f t="shared" si="13"/>
        <v>0</v>
      </c>
      <c r="AA46" s="1561">
        <f t="shared" si="3"/>
        <v>1</v>
      </c>
      <c r="AB46" s="1561">
        <f t="shared" si="4"/>
        <v>1</v>
      </c>
      <c r="AC46" s="1561">
        <f t="shared" si="5"/>
        <v>1</v>
      </c>
    </row>
    <row r="47" spans="1:29" s="1333"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07"/>
      <c r="Q47" s="1557">
        <f t="shared" si="14"/>
        <v>0</v>
      </c>
      <c r="R47" s="1562" t="s">
        <v>8</v>
      </c>
      <c r="S47" s="1563">
        <f t="shared" si="10"/>
        <v>100</v>
      </c>
      <c r="T47" s="1562" t="s">
        <v>8</v>
      </c>
      <c r="U47" s="1563">
        <f t="shared" si="11"/>
        <v>100</v>
      </c>
      <c r="V47" s="1562" t="s">
        <v>8</v>
      </c>
      <c r="W47" s="1563">
        <f t="shared" si="12"/>
        <v>100</v>
      </c>
      <c r="X47" s="1564"/>
      <c r="Y47" s="3407"/>
      <c r="Z47" s="1565">
        <f t="shared" si="13"/>
        <v>0</v>
      </c>
      <c r="AA47" s="1561">
        <f t="shared" si="3"/>
        <v>1</v>
      </c>
      <c r="AB47" s="1561">
        <f t="shared" si="4"/>
        <v>1</v>
      </c>
      <c r="AC47" s="1561">
        <f t="shared" si="5"/>
        <v>1</v>
      </c>
    </row>
    <row r="48" spans="1:29" ht="20.25">
      <c r="A48" s="605" t="s">
        <v>556</v>
      </c>
      <c r="B48" s="606" t="s">
        <v>3029</v>
      </c>
      <c r="C48" s="607" t="s">
        <v>1</v>
      </c>
      <c r="D48" s="608"/>
      <c r="E48" s="609">
        <v>713</v>
      </c>
      <c r="F48" s="610"/>
      <c r="G48" s="611">
        <v>712</v>
      </c>
      <c r="H48" s="612"/>
      <c r="I48" s="609">
        <v>715</v>
      </c>
      <c r="J48" s="612"/>
      <c r="K48" s="1334"/>
      <c r="L48" s="2128"/>
      <c r="M48" s="2116"/>
      <c r="N48" s="2116"/>
      <c r="O48" s="2129"/>
      <c r="P48" s="3401" t="str">
        <f>A48</f>
        <v>成交单价</v>
      </c>
      <c r="Q48" s="3401"/>
      <c r="R48" s="3403">
        <f>E48</f>
        <v>713</v>
      </c>
      <c r="S48" s="3403"/>
      <c r="T48" s="3403">
        <f>G48</f>
        <v>712</v>
      </c>
      <c r="U48" s="3403"/>
      <c r="V48" s="3403">
        <f>I48</f>
        <v>715</v>
      </c>
      <c r="W48" s="3403"/>
      <c r="X48" s="1544"/>
      <c r="Y48" s="1566"/>
      <c r="Z48" s="1544"/>
      <c r="AA48" s="1544"/>
      <c r="AB48" s="1544"/>
      <c r="AC48" s="1544"/>
    </row>
    <row r="49" spans="1:29" ht="21" thickBot="1">
      <c r="A49" s="613" t="s">
        <v>2690</v>
      </c>
      <c r="B49" s="614"/>
      <c r="C49" s="615">
        <f>R50</f>
        <v>712</v>
      </c>
      <c r="D49" s="616"/>
      <c r="E49" s="615">
        <f>R49</f>
        <v>712</v>
      </c>
      <c r="F49" s="617"/>
      <c r="G49" s="618">
        <f>T49</f>
        <v>711</v>
      </c>
      <c r="H49" s="616"/>
      <c r="I49" s="615">
        <f>V49</f>
        <v>714</v>
      </c>
      <c r="J49" s="616"/>
      <c r="K49" s="1335"/>
      <c r="L49" s="2128"/>
      <c r="M49" s="2116"/>
      <c r="N49" s="2116"/>
      <c r="O49" s="2129"/>
      <c r="P49" s="3401" t="str">
        <f>A49</f>
        <v>比较价格（元/平方米）</v>
      </c>
      <c r="Q49" s="3401"/>
      <c r="R49" s="3402">
        <f>ROUND(PRODUCT(R48,AA9:AA47),0)</f>
        <v>712</v>
      </c>
      <c r="S49" s="3402"/>
      <c r="T49" s="3402">
        <f>ROUND(PRODUCT(T48,AB9:AB47),0)</f>
        <v>711</v>
      </c>
      <c r="U49" s="3402"/>
      <c r="V49" s="3402">
        <f>ROUND(PRODUCT(V48,AC9:AC47),0)</f>
        <v>714</v>
      </c>
      <c r="W49" s="3402"/>
      <c r="X49" s="1544"/>
      <c r="Y49" s="1544"/>
      <c r="Z49" s="1544"/>
      <c r="AA49" s="1544"/>
      <c r="AB49" s="1544"/>
      <c r="AC49" s="1544"/>
    </row>
    <row r="50" spans="1:29" ht="21" thickBot="1">
      <c r="A50" s="619" t="s">
        <v>2930</v>
      </c>
      <c r="B50" s="620"/>
      <c r="C50" s="621">
        <f>R50</f>
        <v>712</v>
      </c>
      <c r="D50" s="621"/>
      <c r="E50" s="621"/>
      <c r="F50" s="621"/>
      <c r="G50" s="621"/>
      <c r="H50" s="621"/>
      <c r="I50" s="621"/>
      <c r="J50" s="621"/>
      <c r="K50" s="1336"/>
      <c r="L50" s="2128"/>
      <c r="M50" s="2116"/>
      <c r="N50" s="2116"/>
      <c r="O50" s="2129"/>
      <c r="P50" s="3398" t="str">
        <f>A50</f>
        <v>估价对象XX用房的比较价格（楼面单价，元/平方米）</v>
      </c>
      <c r="Q50" s="3399"/>
      <c r="R50" s="3400">
        <f>ROUND(AVERAGE(R49:V49),0)</f>
        <v>712</v>
      </c>
      <c r="S50" s="3400"/>
      <c r="T50" s="3400"/>
      <c r="U50" s="3400"/>
      <c r="V50" s="3400"/>
      <c r="W50" s="340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1.4044943820223921E-3</v>
      </c>
      <c r="F53" s="625" t="str">
        <f>IF(OR(E53&gt;=0.3,E53&lt;=-0.3),"超过30%","")</f>
        <v/>
      </c>
      <c r="G53" s="624">
        <f>IF(G48&lt;G49,G49/G48-1,G48/G49-1)</f>
        <v>1.4064697609001975E-3</v>
      </c>
      <c r="H53" s="625" t="str">
        <f>IF(OR(G53&gt;=0.3,G53&lt;=-0.3),"超过30%","")</f>
        <v/>
      </c>
      <c r="I53" s="624">
        <f>IF(I48&lt;I49,I49/I48-1,I48/I49-1)</f>
        <v>1.4005602240896309E-3</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1.4064697609001975E-3</v>
      </c>
      <c r="F54" s="625" t="str">
        <f>IF(OR(E54&gt;=0.2,E54&lt;=-0.2),"超过20%","")</f>
        <v/>
      </c>
      <c r="G54" s="624">
        <f>IF(G49&lt;I49,I49/G49-1,G49/I49-1)</f>
        <v>4.2194092827003704E-3</v>
      </c>
      <c r="H54" s="625" t="str">
        <f>IF(OR(G54&gt;=0.2,G54&lt;=-0.2),"超过20%","")</f>
        <v/>
      </c>
      <c r="I54" s="624">
        <f>IF(I49&lt;E49,E49/I49-1,I49/E49-1)</f>
        <v>2.8089887640450062E-3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1.4044943820223921E-3</v>
      </c>
      <c r="F55" s="625" t="str">
        <f>IF(OR(E55&gt;=0.3,E55&lt;=-0.3),"超过30%","")</f>
        <v/>
      </c>
      <c r="G55" s="624">
        <f>IF(G48&lt;I48,I48/G48-1,G48/I48-1)</f>
        <v>4.2134831460673983E-3</v>
      </c>
      <c r="H55" s="625" t="str">
        <f>IF(OR(G55&gt;=0.3,G55&lt;=-0.3),"超过30%","")</f>
        <v/>
      </c>
      <c r="I55" s="624">
        <f>IF(I48&lt;E48,E48/I48-1,I48/E48-1)</f>
        <v>2.8050490883591017E-3</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505" t="s">
        <v>2279</v>
      </c>
      <c r="H57" s="3506"/>
      <c r="I57" s="1540" t="s">
        <v>1722</v>
      </c>
      <c r="J57" s="1540" t="str">
        <f>项目基本情况!F41</f>
        <v>云南省玉溪市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564</v>
      </c>
      <c r="B58" s="632">
        <f>C50</f>
        <v>712</v>
      </c>
      <c r="C58" s="633">
        <v>1</v>
      </c>
      <c r="D58" s="2212">
        <v>1</v>
      </c>
      <c r="E58" s="633">
        <f>'数据-汇总表'!E8+'数据-汇总表'!E9</f>
        <v>37003</v>
      </c>
      <c r="F58" s="634">
        <f t="shared" ref="F58:F67" si="15">ROUND(B58*E58/10000,0)</f>
        <v>2635</v>
      </c>
      <c r="G58" s="3507"/>
      <c r="H58" s="350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565</v>
      </c>
      <c r="B59" s="636">
        <f>ROUND($C$50*C59*D59,0)</f>
        <v>0</v>
      </c>
      <c r="C59" s="376">
        <f t="shared" ref="C59:C67" si="16">IF($C$57="北京市系数",I59,J59)</f>
        <v>0</v>
      </c>
      <c r="D59" s="2213">
        <v>0.25</v>
      </c>
      <c r="E59" s="637">
        <v>0</v>
      </c>
      <c r="F59" s="634">
        <f t="shared" si="15"/>
        <v>0</v>
      </c>
      <c r="G59" s="3509"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566</v>
      </c>
      <c r="B60" s="636">
        <f t="shared" ref="B60:B67" si="17">ROUND($C$50*C60*D60,0)</f>
        <v>0</v>
      </c>
      <c r="C60" s="376">
        <f t="shared" si="16"/>
        <v>0</v>
      </c>
      <c r="D60" s="2213">
        <v>0.25</v>
      </c>
      <c r="E60" s="637">
        <v>0</v>
      </c>
      <c r="F60" s="634">
        <f t="shared" si="15"/>
        <v>0</v>
      </c>
      <c r="G60" s="350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567</v>
      </c>
      <c r="B61" s="636">
        <f t="shared" si="17"/>
        <v>0</v>
      </c>
      <c r="C61" s="376">
        <f t="shared" si="16"/>
        <v>0</v>
      </c>
      <c r="D61" s="2213">
        <v>0.25</v>
      </c>
      <c r="E61" s="637">
        <v>0</v>
      </c>
      <c r="F61" s="634">
        <f t="shared" si="15"/>
        <v>0</v>
      </c>
      <c r="G61" s="350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568</v>
      </c>
      <c r="B62" s="636">
        <f t="shared" si="17"/>
        <v>0</v>
      </c>
      <c r="C62" s="376">
        <f t="shared" si="16"/>
        <v>0</v>
      </c>
      <c r="D62" s="2213">
        <v>0.25</v>
      </c>
      <c r="E62" s="637">
        <v>0</v>
      </c>
      <c r="F62" s="634">
        <f t="shared" si="15"/>
        <v>0</v>
      </c>
      <c r="G62" s="350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2326</v>
      </c>
      <c r="B63" s="636">
        <f t="shared" si="17"/>
        <v>0</v>
      </c>
      <c r="C63" s="376">
        <f t="shared" si="16"/>
        <v>0</v>
      </c>
      <c r="D63" s="2213">
        <v>0.25</v>
      </c>
      <c r="E63" s="639">
        <f>'数据-汇总表'!E11</f>
        <v>0</v>
      </c>
      <c r="F63" s="634">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570</v>
      </c>
      <c r="B65" s="636">
        <f t="shared" si="17"/>
        <v>0</v>
      </c>
      <c r="C65" s="376">
        <f t="shared" si="16"/>
        <v>0</v>
      </c>
      <c r="D65" s="2213">
        <v>0.25</v>
      </c>
      <c r="E65" s="639">
        <f>'数据-汇总表'!E13</f>
        <v>0</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571</v>
      </c>
      <c r="B66" s="636">
        <f t="shared" si="17"/>
        <v>0</v>
      </c>
      <c r="C66" s="376">
        <f t="shared" si="16"/>
        <v>0</v>
      </c>
      <c r="D66" s="2213">
        <v>0.25</v>
      </c>
      <c r="E66" s="639">
        <f>'数据-汇总表'!E14</f>
        <v>0</v>
      </c>
      <c r="F66" s="634">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572</v>
      </c>
      <c r="B67" s="636">
        <f t="shared" si="17"/>
        <v>0</v>
      </c>
      <c r="C67" s="376">
        <f t="shared" si="16"/>
        <v>0</v>
      </c>
      <c r="D67" s="2213">
        <v>0.25</v>
      </c>
      <c r="E67" s="639">
        <f>'数据-汇总表'!E15</f>
        <v>0</v>
      </c>
      <c r="F67" s="634">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573</v>
      </c>
      <c r="B68" s="641" t="s">
        <v>17</v>
      </c>
      <c r="C68" s="641" t="s">
        <v>18</v>
      </c>
      <c r="D68" s="641" t="s">
        <v>2292</v>
      </c>
      <c r="E68" s="641">
        <f>IF(B48="楼面地价",SUM(E58:E67),'数据-汇总表'!D3)</f>
        <v>37003</v>
      </c>
      <c r="F68" s="642">
        <f>IF(B48="楼面地价",SUM(F58:F67),ROUND(C50*E68/10000,0))</f>
        <v>2635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7" t="str">
        <f>"北京市平均增长率"&amp;TEXT(SUMIF(基准地价!N21:N25,A73,基准地价!P21:P25),"0.00%")</f>
        <v>北京市平均增长率2.26%</v>
      </c>
      <c r="C73" s="892">
        <v>100</v>
      </c>
      <c r="D73" s="3194">
        <f>C73-$C$74</f>
        <v>99.5</v>
      </c>
      <c r="E73" s="3194">
        <f t="shared" ref="E73:N73" si="20">D73-$C$74</f>
        <v>99</v>
      </c>
      <c r="F73" s="3194">
        <f t="shared" si="20"/>
        <v>98.5</v>
      </c>
      <c r="G73" s="3194">
        <f t="shared" si="20"/>
        <v>98</v>
      </c>
      <c r="H73" s="3194">
        <f t="shared" si="20"/>
        <v>97.5</v>
      </c>
      <c r="I73" s="3194">
        <f t="shared" si="20"/>
        <v>97</v>
      </c>
      <c r="J73" s="3194">
        <f t="shared" si="20"/>
        <v>96.5</v>
      </c>
      <c r="K73" s="3194">
        <f t="shared" si="20"/>
        <v>96</v>
      </c>
      <c r="L73" s="3194">
        <f t="shared" si="20"/>
        <v>95.5</v>
      </c>
      <c r="M73" s="3194">
        <f t="shared" si="20"/>
        <v>95</v>
      </c>
      <c r="N73" s="3194">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2644</v>
      </c>
      <c r="B74" s="2759"/>
      <c r="C74" s="274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28.5">
      <c r="A77" s="662" t="s">
        <v>577</v>
      </c>
      <c r="B77" s="663" t="s">
        <v>534</v>
      </c>
      <c r="C77" s="596" t="str">
        <f>项目基本情况!B13</f>
        <v>城镇住宅用地</v>
      </c>
      <c r="D77" s="596" t="str">
        <f>'土地案例（住宅）'!I13</f>
        <v>其他普通商品住房用地</v>
      </c>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v>100</v>
      </c>
      <c r="D78" s="669">
        <v>100</v>
      </c>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538</v>
      </c>
      <c r="C81" s="680" t="str">
        <f>C82&amp;"（含）"&amp;"-"&amp;D82</f>
        <v>1（含）-1.5</v>
      </c>
      <c r="D81" s="680" t="str">
        <f t="shared" ref="D81:L81" si="21">D82&amp;"（含）"&amp;"-"&amp;E82</f>
        <v>1.5（含）-5</v>
      </c>
      <c r="E81" s="680" t="str">
        <f t="shared" si="21"/>
        <v>5（含）-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1</v>
      </c>
      <c r="D82" s="539">
        <v>1.5</v>
      </c>
      <c r="E82" s="539">
        <v>5</v>
      </c>
      <c r="F82" s="539"/>
      <c r="G82" s="539"/>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90</v>
      </c>
      <c r="E83" s="677">
        <f t="shared" ref="E83:M83" si="22">IF($B$48="单位面积地价",D83+$K13,D83-$K13)</f>
        <v>80</v>
      </c>
      <c r="F83" s="677">
        <f t="shared" si="22"/>
        <v>70</v>
      </c>
      <c r="G83" s="677">
        <f t="shared" si="22"/>
        <v>60</v>
      </c>
      <c r="H83" s="677">
        <f t="shared" si="22"/>
        <v>50</v>
      </c>
      <c r="I83" s="677">
        <f t="shared" si="22"/>
        <v>40</v>
      </c>
      <c r="J83" s="677">
        <f t="shared" si="22"/>
        <v>30</v>
      </c>
      <c r="K83" s="677">
        <f t="shared" si="22"/>
        <v>20</v>
      </c>
      <c r="L83" s="677">
        <f t="shared" si="22"/>
        <v>10</v>
      </c>
      <c r="M83" s="677">
        <f t="shared" si="22"/>
        <v>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f>B15</f>
        <v>0</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0</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97</v>
      </c>
      <c r="E93" s="677">
        <f>D93-$K19</f>
        <v>94</v>
      </c>
      <c r="F93" s="677">
        <f>E93-$K19</f>
        <v>91</v>
      </c>
      <c r="G93" s="677">
        <f>F93-$K19</f>
        <v>88</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95</v>
      </c>
      <c r="E99" s="677">
        <f>D99-$K25</f>
        <v>90</v>
      </c>
      <c r="F99" s="677">
        <f>E99-$K25</f>
        <v>85</v>
      </c>
      <c r="G99" s="677">
        <f>F99-$K25</f>
        <v>80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2546</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2548</v>
      </c>
      <c r="C104" s="2561" t="s">
        <v>2549</v>
      </c>
      <c r="D104" s="2561" t="s">
        <v>2550</v>
      </c>
      <c r="E104" s="2561" t="s">
        <v>2551</v>
      </c>
      <c r="F104" s="2561" t="s">
        <v>2552</v>
      </c>
      <c r="G104" s="2561" t="s">
        <v>2553</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548</v>
      </c>
      <c r="C108" s="3185" t="s">
        <v>3025</v>
      </c>
      <c r="D108" s="3185" t="s">
        <v>3026</v>
      </c>
      <c r="E108" s="3185" t="s">
        <v>3027</v>
      </c>
      <c r="F108" s="3185" t="s">
        <v>3028</v>
      </c>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0</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0</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0</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c r="E119" s="728"/>
      <c r="F119" s="728"/>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c r="D120" s="724"/>
      <c r="E120" s="724"/>
      <c r="F120" s="724"/>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594</v>
      </c>
      <c r="C121" s="3186" t="s">
        <v>3019</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595</v>
      </c>
      <c r="C123" s="3185" t="s">
        <v>3232</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2423</v>
      </c>
      <c r="C125" s="1370" t="s">
        <v>3020</v>
      </c>
      <c r="D125" s="1370" t="s">
        <v>3021</v>
      </c>
      <c r="E125" s="1370" t="s">
        <v>3022</v>
      </c>
      <c r="F125" s="1370" t="s">
        <v>3023</v>
      </c>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596</v>
      </c>
      <c r="C127" s="3185" t="s">
        <v>3024</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0</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0</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0</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AB51"/>
  <sheetViews>
    <sheetView topLeftCell="S4" workbookViewId="0">
      <selection activeCell="V39" sqref="V39:W41"/>
    </sheetView>
  </sheetViews>
  <sheetFormatPr defaultColWidth="8.875" defaultRowHeight="12.75"/>
  <cols>
    <col min="1" max="1" width="29.875" style="3189" hidden="1" customWidth="1"/>
    <col min="2" max="2" width="7.125" style="3189" hidden="1" customWidth="1"/>
    <col min="3" max="3" width="9" style="3189" hidden="1" customWidth="1"/>
    <col min="4" max="4" width="7.125" style="3189" hidden="1" customWidth="1"/>
    <col min="5" max="5" width="5.125" style="3189" hidden="1" customWidth="1"/>
    <col min="6" max="6" width="29.875" style="3189" customWidth="1"/>
    <col min="7" max="7" width="9" style="3189" hidden="1" customWidth="1"/>
    <col min="8" max="8" width="15.625" style="3189" customWidth="1"/>
    <col min="9" max="9" width="20.375" style="3189" customWidth="1"/>
    <col min="10" max="11" width="15.875" style="3189" customWidth="1"/>
    <col min="12" max="12" width="22.625" style="3189" customWidth="1"/>
    <col min="13" max="13" width="9" style="3189" hidden="1" customWidth="1"/>
    <col min="14" max="14" width="14.125" style="3189" customWidth="1"/>
    <col min="15" max="15" width="11" style="3189" hidden="1" customWidth="1"/>
    <col min="16" max="16" width="14.625" style="3189" hidden="1" customWidth="1"/>
    <col min="17" max="17" width="12.875" style="3189" hidden="1" customWidth="1"/>
    <col min="18" max="18" width="20.375" style="3189" hidden="1" customWidth="1"/>
    <col min="19" max="19" width="9" style="3189" customWidth="1"/>
    <col min="20" max="20" width="10.125" style="3189" customWidth="1"/>
    <col min="21" max="21" width="21.375" style="3189" customWidth="1"/>
    <col min="22" max="22" width="37.375" style="3189" customWidth="1"/>
    <col min="23" max="23" width="12.125" style="3189" customWidth="1"/>
    <col min="24" max="24" width="18.125" style="3189" customWidth="1"/>
    <col min="25" max="25" width="16.375" style="3189" customWidth="1"/>
    <col min="26" max="26" width="7.125" style="3189" customWidth="1"/>
    <col min="27" max="28" width="9" style="3189" customWidth="1"/>
    <col min="29" max="16384" width="8.875" style="3189"/>
  </cols>
  <sheetData>
    <row r="1" spans="1:28" s="3190" customFormat="1" ht="23.1" customHeight="1">
      <c r="A1" s="3190" t="s">
        <v>3049</v>
      </c>
      <c r="B1" s="3190" t="s">
        <v>3050</v>
      </c>
      <c r="C1" s="3190" t="s">
        <v>3051</v>
      </c>
      <c r="D1" s="3190" t="s">
        <v>3052</v>
      </c>
      <c r="E1" s="3190" t="s">
        <v>3053</v>
      </c>
      <c r="F1" s="3190" t="s">
        <v>3054</v>
      </c>
      <c r="G1" s="3190" t="s">
        <v>3055</v>
      </c>
      <c r="H1" s="3190" t="s">
        <v>3056</v>
      </c>
      <c r="I1" s="3190" t="s">
        <v>3057</v>
      </c>
      <c r="J1" s="3190" t="s">
        <v>3058</v>
      </c>
      <c r="K1" s="3190" t="s">
        <v>3059</v>
      </c>
      <c r="L1" s="3190" t="s">
        <v>2030</v>
      </c>
      <c r="M1" s="3190" t="s">
        <v>3060</v>
      </c>
      <c r="N1" s="3190" t="s">
        <v>3061</v>
      </c>
      <c r="O1" s="3190" t="s">
        <v>3062</v>
      </c>
      <c r="P1" s="3190" t="s">
        <v>3063</v>
      </c>
      <c r="Q1" s="3190" t="s">
        <v>3064</v>
      </c>
      <c r="R1" s="3190" t="s">
        <v>3065</v>
      </c>
      <c r="S1" s="3190" t="s">
        <v>3066</v>
      </c>
      <c r="T1" s="3190" t="s">
        <v>3067</v>
      </c>
      <c r="U1" s="3190" t="s">
        <v>3068</v>
      </c>
      <c r="V1" s="3190" t="s">
        <v>3069</v>
      </c>
      <c r="W1" s="3190" t="s">
        <v>3070</v>
      </c>
      <c r="X1" s="3190" t="s">
        <v>3071</v>
      </c>
      <c r="Y1" s="3190" t="s">
        <v>3072</v>
      </c>
      <c r="Z1" s="3190" t="s">
        <v>3073</v>
      </c>
      <c r="AA1" s="3190" t="s">
        <v>3074</v>
      </c>
      <c r="AB1" s="3190" t="s">
        <v>3075</v>
      </c>
    </row>
    <row r="2" spans="1:28" s="3192" customFormat="1" ht="23.1" customHeight="1">
      <c r="A2" s="3192" t="s">
        <v>3076</v>
      </c>
      <c r="B2" s="3192" t="s">
        <v>3077</v>
      </c>
      <c r="C2" s="3192" t="s">
        <v>3078</v>
      </c>
      <c r="D2" s="3192" t="s">
        <v>3079</v>
      </c>
      <c r="E2" s="3192" t="s">
        <v>2815</v>
      </c>
      <c r="F2" s="3192" t="s">
        <v>3076</v>
      </c>
      <c r="G2" s="3192" t="s">
        <v>3080</v>
      </c>
      <c r="H2" s="3192" t="s">
        <v>3081</v>
      </c>
      <c r="I2" s="3192" t="s">
        <v>3082</v>
      </c>
      <c r="J2" s="3192">
        <v>41936</v>
      </c>
      <c r="K2" s="3192">
        <v>146776</v>
      </c>
      <c r="L2" s="3192" t="s">
        <v>3083</v>
      </c>
      <c r="M2" s="3192" t="s">
        <v>2815</v>
      </c>
      <c r="N2" s="3192" t="s">
        <v>3084</v>
      </c>
      <c r="O2" s="3192" t="s">
        <v>2815</v>
      </c>
      <c r="P2" s="3192" t="s">
        <v>2815</v>
      </c>
      <c r="Q2" s="3192" t="s">
        <v>2815</v>
      </c>
      <c r="R2" s="3192" t="s">
        <v>2815</v>
      </c>
      <c r="S2" s="3192" t="s">
        <v>3085</v>
      </c>
      <c r="T2" s="3192" t="s">
        <v>3086</v>
      </c>
      <c r="U2" s="3192" t="s">
        <v>3087</v>
      </c>
      <c r="V2" s="3192" t="s">
        <v>3088</v>
      </c>
      <c r="W2" s="3192">
        <v>19020</v>
      </c>
      <c r="X2" s="3192">
        <v>302.37</v>
      </c>
      <c r="Y2" s="3192">
        <v>1295.8399999999999</v>
      </c>
      <c r="Z2" s="3192">
        <v>16.690000000000001</v>
      </c>
      <c r="AA2" s="3192" t="s">
        <v>3089</v>
      </c>
      <c r="AB2" s="3192" t="s">
        <v>3090</v>
      </c>
    </row>
    <row r="3" spans="1:28" s="3192" customFormat="1" ht="23.1" customHeight="1">
      <c r="A3" s="3192" t="s">
        <v>3076</v>
      </c>
      <c r="B3" s="3192" t="s">
        <v>3077</v>
      </c>
      <c r="C3" s="3192" t="s">
        <v>3078</v>
      </c>
      <c r="D3" s="3192" t="s">
        <v>3079</v>
      </c>
      <c r="E3" s="3192" t="s">
        <v>2815</v>
      </c>
      <c r="F3" s="3220" t="s">
        <v>3293</v>
      </c>
      <c r="G3" s="3192" t="s">
        <v>3080</v>
      </c>
      <c r="H3" s="3192" t="s">
        <v>3091</v>
      </c>
      <c r="I3" s="3192" t="s">
        <v>3082</v>
      </c>
      <c r="J3" s="3192">
        <v>45776</v>
      </c>
      <c r="K3" s="3192">
        <v>160216</v>
      </c>
      <c r="L3" s="3192" t="s">
        <v>3083</v>
      </c>
      <c r="M3" s="3192" t="s">
        <v>2815</v>
      </c>
      <c r="N3" s="3192" t="s">
        <v>3084</v>
      </c>
      <c r="O3" s="3192" t="s">
        <v>2815</v>
      </c>
      <c r="P3" s="3192" t="s">
        <v>2815</v>
      </c>
      <c r="Q3" s="3192" t="s">
        <v>2815</v>
      </c>
      <c r="R3" s="3192" t="s">
        <v>2815</v>
      </c>
      <c r="S3" s="3192" t="s">
        <v>3085</v>
      </c>
      <c r="T3" s="3192" t="s">
        <v>3086</v>
      </c>
      <c r="U3" s="3192" t="s">
        <v>3087</v>
      </c>
      <c r="V3" s="3192" t="s">
        <v>3092</v>
      </c>
      <c r="W3" s="3192">
        <v>23020</v>
      </c>
      <c r="X3" s="3192">
        <v>335.26</v>
      </c>
      <c r="Y3" s="3192">
        <v>1436.8</v>
      </c>
      <c r="Z3" s="3192">
        <v>30.06</v>
      </c>
      <c r="AA3" s="3192" t="s">
        <v>3089</v>
      </c>
      <c r="AB3" s="3192" t="s">
        <v>3090</v>
      </c>
    </row>
    <row r="4" spans="1:28" s="3192" customFormat="1" ht="23.1" customHeight="1">
      <c r="A4" s="3192" t="s">
        <v>3093</v>
      </c>
      <c r="B4" s="3192" t="s">
        <v>3077</v>
      </c>
      <c r="C4" s="3192" t="s">
        <v>3078</v>
      </c>
      <c r="D4" s="3192" t="s">
        <v>3079</v>
      </c>
      <c r="E4" s="3192" t="s">
        <v>2815</v>
      </c>
      <c r="F4" s="3192" t="s">
        <v>3294</v>
      </c>
      <c r="G4" s="3192" t="s">
        <v>3080</v>
      </c>
      <c r="H4" s="3192" t="s">
        <v>3094</v>
      </c>
      <c r="I4" s="3192" t="s">
        <v>3082</v>
      </c>
      <c r="J4" s="3192">
        <v>18606</v>
      </c>
      <c r="K4" s="3192">
        <v>46515</v>
      </c>
      <c r="L4" s="3192" t="s">
        <v>3095</v>
      </c>
      <c r="M4" s="3192" t="s">
        <v>2815</v>
      </c>
      <c r="N4" s="3192" t="s">
        <v>3084</v>
      </c>
      <c r="O4" s="3192" t="s">
        <v>2815</v>
      </c>
      <c r="P4" s="3192" t="s">
        <v>2815</v>
      </c>
      <c r="Q4" s="3192" t="s">
        <v>2815</v>
      </c>
      <c r="R4" s="3192" t="s">
        <v>2815</v>
      </c>
      <c r="S4" s="3192" t="s">
        <v>3085</v>
      </c>
      <c r="T4" s="3192" t="s">
        <v>3086</v>
      </c>
      <c r="U4" s="3192" t="s">
        <v>3096</v>
      </c>
      <c r="V4" s="3192" t="s">
        <v>3097</v>
      </c>
      <c r="W4" s="3192">
        <v>12340</v>
      </c>
      <c r="X4" s="3192">
        <v>442.15</v>
      </c>
      <c r="Y4" s="3192">
        <v>2652.9</v>
      </c>
      <c r="Z4" s="3192">
        <v>85.29</v>
      </c>
      <c r="AA4" s="3192" t="s">
        <v>3089</v>
      </c>
      <c r="AB4" s="3192" t="s">
        <v>3090</v>
      </c>
    </row>
    <row r="5" spans="1:28" s="3193" customFormat="1" ht="23.1" customHeight="1">
      <c r="A5" s="3193" t="s">
        <v>3098</v>
      </c>
      <c r="B5" s="3193" t="s">
        <v>3077</v>
      </c>
      <c r="C5" s="3193" t="s">
        <v>3078</v>
      </c>
      <c r="D5" s="3193" t="s">
        <v>3079</v>
      </c>
      <c r="E5" s="3193" t="s">
        <v>2815</v>
      </c>
      <c r="F5" s="3209" t="s">
        <v>3288</v>
      </c>
      <c r="G5" s="3193" t="s">
        <v>3080</v>
      </c>
      <c r="H5" s="3193" t="s">
        <v>3099</v>
      </c>
      <c r="I5" s="3193" t="s">
        <v>3082</v>
      </c>
      <c r="J5" s="3193">
        <v>31371</v>
      </c>
      <c r="K5" s="3193">
        <v>47056.5</v>
      </c>
      <c r="L5" s="3193" t="s">
        <v>3100</v>
      </c>
      <c r="M5" s="3193" t="s">
        <v>2815</v>
      </c>
      <c r="N5" s="3193" t="s">
        <v>3101</v>
      </c>
      <c r="O5" s="3193" t="s">
        <v>2815</v>
      </c>
      <c r="P5" s="3193" t="s">
        <v>2815</v>
      </c>
      <c r="Q5" s="3193" t="s">
        <v>2815</v>
      </c>
      <c r="R5" s="3193" t="s">
        <v>2815</v>
      </c>
      <c r="S5" s="3193" t="s">
        <v>3102</v>
      </c>
      <c r="T5" s="3193" t="s">
        <v>3103</v>
      </c>
      <c r="U5" s="3193" t="s">
        <v>3104</v>
      </c>
      <c r="V5" s="3193" t="s">
        <v>3105</v>
      </c>
      <c r="W5" s="3193">
        <v>3357</v>
      </c>
      <c r="X5" s="3193">
        <v>71.34</v>
      </c>
      <c r="Y5" s="3193">
        <v>713.39</v>
      </c>
      <c r="Z5" s="3193">
        <v>0.03</v>
      </c>
      <c r="AA5" s="3193" t="s">
        <v>3089</v>
      </c>
      <c r="AB5" s="3193" t="s">
        <v>3090</v>
      </c>
    </row>
    <row r="6" spans="1:28" s="3190" customFormat="1" ht="23.1" customHeight="1">
      <c r="A6" s="3190" t="s">
        <v>3098</v>
      </c>
      <c r="B6" s="3190" t="s">
        <v>3077</v>
      </c>
      <c r="C6" s="3190" t="s">
        <v>3078</v>
      </c>
      <c r="D6" s="3190" t="s">
        <v>3079</v>
      </c>
      <c r="E6" s="3190" t="s">
        <v>2815</v>
      </c>
      <c r="F6" s="3190" t="s">
        <v>3098</v>
      </c>
      <c r="G6" s="3190" t="s">
        <v>3080</v>
      </c>
      <c r="H6" s="3190" t="s">
        <v>3106</v>
      </c>
      <c r="I6" s="3190" t="s">
        <v>3082</v>
      </c>
      <c r="J6" s="3190">
        <v>779</v>
      </c>
      <c r="K6" s="3190">
        <v>1285.3499999999999</v>
      </c>
      <c r="L6" s="3190" t="s">
        <v>3107</v>
      </c>
      <c r="M6" s="3190" t="s">
        <v>2815</v>
      </c>
      <c r="N6" s="3190" t="s">
        <v>3108</v>
      </c>
      <c r="O6" s="3190" t="s">
        <v>2815</v>
      </c>
      <c r="P6" s="3190" t="s">
        <v>2815</v>
      </c>
      <c r="Q6" s="3190" t="s">
        <v>2815</v>
      </c>
      <c r="R6" s="3190" t="s">
        <v>2815</v>
      </c>
      <c r="S6" s="3190" t="s">
        <v>3102</v>
      </c>
      <c r="T6" s="3190" t="s">
        <v>3103</v>
      </c>
      <c r="U6" s="3190" t="s">
        <v>3104</v>
      </c>
      <c r="V6" s="3190" t="s">
        <v>3105</v>
      </c>
      <c r="W6" s="3190">
        <v>84</v>
      </c>
      <c r="X6" s="3190">
        <v>71.89</v>
      </c>
      <c r="Y6" s="3190">
        <v>653.51</v>
      </c>
      <c r="Z6" s="3190">
        <v>0</v>
      </c>
      <c r="AA6" s="3190" t="s">
        <v>3089</v>
      </c>
      <c r="AB6" s="3190" t="s">
        <v>3090</v>
      </c>
    </row>
    <row r="7" spans="1:28" s="3193" customFormat="1" ht="23.1" customHeight="1">
      <c r="A7" s="3193" t="s">
        <v>3098</v>
      </c>
      <c r="B7" s="3193" t="s">
        <v>3077</v>
      </c>
      <c r="C7" s="3193" t="s">
        <v>3078</v>
      </c>
      <c r="D7" s="3193" t="s">
        <v>3079</v>
      </c>
      <c r="E7" s="3193" t="s">
        <v>2815</v>
      </c>
      <c r="F7" s="3193" t="s">
        <v>3098</v>
      </c>
      <c r="G7" s="3193" t="s">
        <v>3080</v>
      </c>
      <c r="H7" s="3193" t="s">
        <v>3109</v>
      </c>
      <c r="I7" s="3193" t="s">
        <v>3082</v>
      </c>
      <c r="J7" s="3193">
        <v>5064</v>
      </c>
      <c r="K7" s="3193">
        <v>7596</v>
      </c>
      <c r="L7" s="3193" t="s">
        <v>3100</v>
      </c>
      <c r="M7" s="3193" t="s">
        <v>2815</v>
      </c>
      <c r="N7" s="3193" t="s">
        <v>3110</v>
      </c>
      <c r="O7" s="3193" t="s">
        <v>2815</v>
      </c>
      <c r="P7" s="3193" t="s">
        <v>2815</v>
      </c>
      <c r="Q7" s="3193" t="s">
        <v>2815</v>
      </c>
      <c r="R7" s="3193" t="s">
        <v>2815</v>
      </c>
      <c r="S7" s="3193" t="s">
        <v>3102</v>
      </c>
      <c r="T7" s="3193" t="s">
        <v>3103</v>
      </c>
      <c r="U7" s="3193" t="s">
        <v>3104</v>
      </c>
      <c r="V7" s="3193" t="s">
        <v>3105</v>
      </c>
      <c r="W7" s="3193">
        <v>541</v>
      </c>
      <c r="X7" s="3193">
        <v>71.22</v>
      </c>
      <c r="Y7" s="3193">
        <v>712.22</v>
      </c>
      <c r="Z7" s="3193">
        <v>0</v>
      </c>
      <c r="AA7" s="3193" t="s">
        <v>3089</v>
      </c>
      <c r="AB7" s="3193" t="s">
        <v>3090</v>
      </c>
    </row>
    <row r="8" spans="1:28" s="3193" customFormat="1" ht="23.1" customHeight="1">
      <c r="A8" s="3193" t="s">
        <v>3098</v>
      </c>
      <c r="B8" s="3193" t="s">
        <v>3077</v>
      </c>
      <c r="C8" s="3193" t="s">
        <v>3078</v>
      </c>
      <c r="D8" s="3193" t="s">
        <v>3079</v>
      </c>
      <c r="E8" s="3193" t="s">
        <v>2815</v>
      </c>
      <c r="F8" s="3193" t="s">
        <v>3098</v>
      </c>
      <c r="G8" s="3193" t="s">
        <v>3080</v>
      </c>
      <c r="H8" s="3193" t="s">
        <v>3111</v>
      </c>
      <c r="I8" s="3193" t="s">
        <v>3082</v>
      </c>
      <c r="J8" s="3193">
        <v>10436</v>
      </c>
      <c r="K8" s="3193">
        <v>15654</v>
      </c>
      <c r="L8" s="3193" t="s">
        <v>3100</v>
      </c>
      <c r="M8" s="3193" t="s">
        <v>2815</v>
      </c>
      <c r="N8" s="3193" t="s">
        <v>3110</v>
      </c>
      <c r="O8" s="3193" t="s">
        <v>2815</v>
      </c>
      <c r="P8" s="3193" t="s">
        <v>2815</v>
      </c>
      <c r="Q8" s="3193" t="s">
        <v>2815</v>
      </c>
      <c r="R8" s="3193" t="s">
        <v>2815</v>
      </c>
      <c r="S8" s="3193" t="s">
        <v>3102</v>
      </c>
      <c r="T8" s="3193" t="s">
        <v>3103</v>
      </c>
      <c r="U8" s="3193" t="s">
        <v>3104</v>
      </c>
      <c r="V8" s="3193" t="s">
        <v>3105</v>
      </c>
      <c r="W8" s="3193">
        <v>1120</v>
      </c>
      <c r="X8" s="3193">
        <v>71.55</v>
      </c>
      <c r="Y8" s="3193">
        <v>715.47</v>
      </c>
      <c r="Z8" s="3193">
        <v>0</v>
      </c>
      <c r="AA8" s="3193" t="s">
        <v>3089</v>
      </c>
      <c r="AB8" s="3193" t="s">
        <v>3090</v>
      </c>
    </row>
    <row r="9" spans="1:28" s="3190" customFormat="1" ht="23.1" customHeight="1">
      <c r="A9" s="3190" t="s">
        <v>3098</v>
      </c>
      <c r="B9" s="3190" t="s">
        <v>3077</v>
      </c>
      <c r="C9" s="3190" t="s">
        <v>3078</v>
      </c>
      <c r="D9" s="3190" t="s">
        <v>3079</v>
      </c>
      <c r="E9" s="3190" t="s">
        <v>2815</v>
      </c>
      <c r="F9" s="3190" t="s">
        <v>3098</v>
      </c>
      <c r="G9" s="3190" t="s">
        <v>3080</v>
      </c>
      <c r="H9" s="3190" t="s">
        <v>3112</v>
      </c>
      <c r="I9" s="3190" t="s">
        <v>3082</v>
      </c>
      <c r="J9" s="3190">
        <v>33352</v>
      </c>
      <c r="K9" s="3190">
        <v>50028</v>
      </c>
      <c r="L9" s="3190" t="s">
        <v>3100</v>
      </c>
      <c r="M9" s="3190" t="s">
        <v>2815</v>
      </c>
      <c r="N9" s="3190" t="s">
        <v>3101</v>
      </c>
      <c r="O9" s="3190" t="s">
        <v>2815</v>
      </c>
      <c r="P9" s="3190" t="s">
        <v>2815</v>
      </c>
      <c r="Q9" s="3190" t="s">
        <v>2815</v>
      </c>
      <c r="R9" s="3190" t="s">
        <v>2815</v>
      </c>
      <c r="S9" s="3190" t="s">
        <v>3102</v>
      </c>
      <c r="T9" s="3190" t="s">
        <v>3103</v>
      </c>
      <c r="U9" s="3190" t="s">
        <v>3104</v>
      </c>
      <c r="V9" s="3190" t="s">
        <v>3105</v>
      </c>
      <c r="W9" s="3190">
        <v>3569</v>
      </c>
      <c r="X9" s="3190">
        <v>71.34</v>
      </c>
      <c r="Y9" s="3190">
        <v>713.39</v>
      </c>
      <c r="Z9" s="3190">
        <v>0.03</v>
      </c>
      <c r="AA9" s="3190" t="s">
        <v>3089</v>
      </c>
      <c r="AB9" s="3190" t="s">
        <v>3090</v>
      </c>
    </row>
    <row r="10" spans="1:28" s="3192" customFormat="1" ht="23.1" customHeight="1">
      <c r="A10" s="3192" t="s">
        <v>3098</v>
      </c>
      <c r="B10" s="3192" t="s">
        <v>3077</v>
      </c>
      <c r="C10" s="3192" t="s">
        <v>3078</v>
      </c>
      <c r="D10" s="3192" t="s">
        <v>3079</v>
      </c>
      <c r="E10" s="3192" t="s">
        <v>2815</v>
      </c>
      <c r="F10" s="3192" t="s">
        <v>3098</v>
      </c>
      <c r="G10" s="3192" t="s">
        <v>3080</v>
      </c>
      <c r="H10" s="3192" t="s">
        <v>3113</v>
      </c>
      <c r="I10" s="3192" t="s">
        <v>3082</v>
      </c>
      <c r="J10" s="3192">
        <v>8586</v>
      </c>
      <c r="K10" s="3192">
        <v>25758</v>
      </c>
      <c r="L10" s="3192" t="s">
        <v>3114</v>
      </c>
      <c r="M10" s="3192" t="s">
        <v>2815</v>
      </c>
      <c r="N10" s="3192" t="s">
        <v>3110</v>
      </c>
      <c r="O10" s="3192" t="s">
        <v>2815</v>
      </c>
      <c r="P10" s="3192" t="s">
        <v>2815</v>
      </c>
      <c r="Q10" s="3192" t="s">
        <v>2815</v>
      </c>
      <c r="R10" s="3192" t="s">
        <v>2815</v>
      </c>
      <c r="S10" s="3192" t="s">
        <v>3102</v>
      </c>
      <c r="T10" s="3192" t="s">
        <v>3115</v>
      </c>
      <c r="U10" s="3192" t="s">
        <v>3116</v>
      </c>
      <c r="V10" s="3192" t="s">
        <v>3117</v>
      </c>
      <c r="W10" s="3192">
        <v>1503</v>
      </c>
      <c r="X10" s="3192">
        <v>116.7</v>
      </c>
      <c r="Y10" s="3192">
        <v>583.5</v>
      </c>
      <c r="Z10" s="3192">
        <v>0.2</v>
      </c>
      <c r="AA10" s="3192" t="s">
        <v>3089</v>
      </c>
      <c r="AB10" s="3192" t="s">
        <v>3090</v>
      </c>
    </row>
    <row r="11" spans="1:28" s="3192" customFormat="1" ht="23.1" customHeight="1">
      <c r="A11" s="3192" t="s">
        <v>3098</v>
      </c>
      <c r="B11" s="3192" t="s">
        <v>3077</v>
      </c>
      <c r="C11" s="3192" t="s">
        <v>3078</v>
      </c>
      <c r="D11" s="3192" t="s">
        <v>3079</v>
      </c>
      <c r="E11" s="3192" t="s">
        <v>2815</v>
      </c>
      <c r="F11" s="3192" t="s">
        <v>3098</v>
      </c>
      <c r="G11" s="3192" t="s">
        <v>3080</v>
      </c>
      <c r="H11" s="3192" t="s">
        <v>3118</v>
      </c>
      <c r="I11" s="3192" t="s">
        <v>3082</v>
      </c>
      <c r="J11" s="3192">
        <v>5784</v>
      </c>
      <c r="K11" s="3192">
        <v>20244</v>
      </c>
      <c r="L11" s="3192" t="s">
        <v>3083</v>
      </c>
      <c r="M11" s="3192" t="s">
        <v>2815</v>
      </c>
      <c r="N11" s="3192" t="s">
        <v>3110</v>
      </c>
      <c r="O11" s="3192" t="s">
        <v>2815</v>
      </c>
      <c r="P11" s="3192" t="s">
        <v>2815</v>
      </c>
      <c r="Q11" s="3192" t="s">
        <v>2815</v>
      </c>
      <c r="R11" s="3192" t="s">
        <v>2815</v>
      </c>
      <c r="S11" s="3192" t="s">
        <v>3102</v>
      </c>
      <c r="T11" s="3192" t="s">
        <v>3115</v>
      </c>
      <c r="U11" s="3192" t="s">
        <v>3116</v>
      </c>
      <c r="V11" s="3192" t="s">
        <v>3117</v>
      </c>
      <c r="W11" s="3192">
        <v>1154</v>
      </c>
      <c r="X11" s="3192">
        <v>133.01</v>
      </c>
      <c r="Y11" s="3192">
        <v>570.04</v>
      </c>
      <c r="Z11" s="3192">
        <v>0.35</v>
      </c>
      <c r="AA11" s="3192" t="s">
        <v>3089</v>
      </c>
      <c r="AB11" s="3192" t="s">
        <v>3090</v>
      </c>
    </row>
    <row r="12" spans="1:28" s="3192" customFormat="1" ht="23.1" customHeight="1">
      <c r="A12" s="3192" t="s">
        <v>3098</v>
      </c>
      <c r="B12" s="3192" t="s">
        <v>3077</v>
      </c>
      <c r="C12" s="3192" t="s">
        <v>3078</v>
      </c>
      <c r="D12" s="3192" t="s">
        <v>3079</v>
      </c>
      <c r="E12" s="3192" t="s">
        <v>2815</v>
      </c>
      <c r="F12" s="3192" t="s">
        <v>3098</v>
      </c>
      <c r="G12" s="3192" t="s">
        <v>3080</v>
      </c>
      <c r="H12" s="3192" t="s">
        <v>3119</v>
      </c>
      <c r="I12" s="3192" t="s">
        <v>3082</v>
      </c>
      <c r="J12" s="3192">
        <v>10407</v>
      </c>
      <c r="K12" s="3192">
        <v>31221</v>
      </c>
      <c r="L12" s="3192" t="s">
        <v>3114</v>
      </c>
      <c r="M12" s="3192" t="s">
        <v>2815</v>
      </c>
      <c r="N12" s="3192" t="s">
        <v>3110</v>
      </c>
      <c r="O12" s="3192" t="s">
        <v>2815</v>
      </c>
      <c r="P12" s="3192" t="s">
        <v>2815</v>
      </c>
      <c r="Q12" s="3192" t="s">
        <v>2815</v>
      </c>
      <c r="R12" s="3192" t="s">
        <v>2815</v>
      </c>
      <c r="S12" s="3192" t="s">
        <v>3102</v>
      </c>
      <c r="T12" s="3192" t="s">
        <v>3115</v>
      </c>
      <c r="U12" s="3192" t="s">
        <v>3116</v>
      </c>
      <c r="V12" s="3192" t="s">
        <v>3117</v>
      </c>
      <c r="W12" s="3192">
        <v>1804</v>
      </c>
      <c r="X12" s="3192">
        <v>115.56</v>
      </c>
      <c r="Y12" s="3192">
        <v>577.82000000000005</v>
      </c>
      <c r="Z12" s="3192">
        <v>0.22</v>
      </c>
      <c r="AA12" s="3192" t="s">
        <v>3089</v>
      </c>
      <c r="AB12" s="3192" t="s">
        <v>3090</v>
      </c>
    </row>
    <row r="13" spans="1:28" s="3196" customFormat="1" ht="23.1" customHeight="1">
      <c r="A13" s="3196" t="s">
        <v>3120</v>
      </c>
      <c r="B13" s="3196" t="s">
        <v>3077</v>
      </c>
      <c r="C13" s="3196" t="s">
        <v>3078</v>
      </c>
      <c r="D13" s="3196" t="s">
        <v>3079</v>
      </c>
      <c r="E13" s="3196" t="s">
        <v>2815</v>
      </c>
      <c r="F13" s="3196" t="s">
        <v>3120</v>
      </c>
      <c r="G13" s="3196" t="s">
        <v>3080</v>
      </c>
      <c r="H13" s="3196" t="s">
        <v>3121</v>
      </c>
      <c r="I13" s="3196" t="s">
        <v>3082</v>
      </c>
      <c r="J13" s="3196">
        <v>52681</v>
      </c>
      <c r="K13" s="3196">
        <v>53207.81</v>
      </c>
      <c r="L13" s="3196" t="s">
        <v>3122</v>
      </c>
      <c r="M13" s="3196" t="s">
        <v>2815</v>
      </c>
      <c r="N13" s="3196" t="s">
        <v>3123</v>
      </c>
      <c r="O13" s="3196" t="s">
        <v>2815</v>
      </c>
      <c r="P13" s="3196" t="s">
        <v>2815</v>
      </c>
      <c r="Q13" s="3196" t="s">
        <v>2815</v>
      </c>
      <c r="R13" s="3196" t="s">
        <v>2815</v>
      </c>
      <c r="S13" s="3196" t="s">
        <v>3102</v>
      </c>
      <c r="T13" s="3196" t="s">
        <v>3124</v>
      </c>
      <c r="U13" s="3196" t="s">
        <v>3125</v>
      </c>
      <c r="V13" s="3196" t="s">
        <v>3126</v>
      </c>
      <c r="W13" s="3196">
        <v>2350</v>
      </c>
      <c r="X13" s="3196">
        <v>29.74</v>
      </c>
      <c r="Y13" s="3196">
        <v>441.66</v>
      </c>
      <c r="Z13" s="3196">
        <v>0</v>
      </c>
      <c r="AA13" s="3196" t="s">
        <v>3089</v>
      </c>
      <c r="AB13" s="3196" t="s">
        <v>3090</v>
      </c>
    </row>
    <row r="14" spans="1:28" s="3196" customFormat="1" ht="23.1" customHeight="1">
      <c r="A14" s="3196" t="s">
        <v>3120</v>
      </c>
      <c r="B14" s="3196" t="s">
        <v>3077</v>
      </c>
      <c r="C14" s="3196" t="s">
        <v>3078</v>
      </c>
      <c r="D14" s="3196" t="s">
        <v>3079</v>
      </c>
      <c r="E14" s="3196" t="s">
        <v>2815</v>
      </c>
      <c r="F14" s="3196" t="s">
        <v>3120</v>
      </c>
      <c r="G14" s="3196" t="s">
        <v>3080</v>
      </c>
      <c r="H14" s="3196" t="s">
        <v>3127</v>
      </c>
      <c r="I14" s="3196" t="s">
        <v>3082</v>
      </c>
      <c r="J14" s="3196">
        <v>32958</v>
      </c>
      <c r="K14" s="3196">
        <v>33287.58</v>
      </c>
      <c r="L14" s="3196" t="s">
        <v>3122</v>
      </c>
      <c r="M14" s="3196" t="s">
        <v>2815</v>
      </c>
      <c r="N14" s="3196" t="s">
        <v>3084</v>
      </c>
      <c r="O14" s="3196" t="s">
        <v>2815</v>
      </c>
      <c r="P14" s="3196" t="s">
        <v>2815</v>
      </c>
      <c r="Q14" s="3196" t="s">
        <v>2815</v>
      </c>
      <c r="R14" s="3196" t="s">
        <v>2815</v>
      </c>
      <c r="S14" s="3196" t="s">
        <v>3102</v>
      </c>
      <c r="T14" s="3196" t="s">
        <v>3124</v>
      </c>
      <c r="U14" s="3196" t="s">
        <v>3125</v>
      </c>
      <c r="V14" s="3196" t="s">
        <v>3126</v>
      </c>
      <c r="W14" s="3196">
        <v>1500</v>
      </c>
      <c r="X14" s="3196">
        <v>30.34</v>
      </c>
      <c r="Y14" s="3196">
        <v>450.62</v>
      </c>
      <c r="Z14" s="3196">
        <v>0</v>
      </c>
      <c r="AA14" s="3196" t="s">
        <v>3089</v>
      </c>
      <c r="AB14" s="3196" t="s">
        <v>3090</v>
      </c>
    </row>
    <row r="15" spans="1:28" s="3196" customFormat="1" ht="23.1" customHeight="1">
      <c r="A15" s="3196" t="s">
        <v>3120</v>
      </c>
      <c r="B15" s="3196" t="s">
        <v>3077</v>
      </c>
      <c r="C15" s="3196" t="s">
        <v>3078</v>
      </c>
      <c r="D15" s="3196" t="s">
        <v>3079</v>
      </c>
      <c r="E15" s="3196" t="s">
        <v>2815</v>
      </c>
      <c r="F15" s="3196" t="s">
        <v>3120</v>
      </c>
      <c r="G15" s="3196" t="s">
        <v>3080</v>
      </c>
      <c r="H15" s="3196" t="s">
        <v>3128</v>
      </c>
      <c r="I15" s="3196" t="s">
        <v>3082</v>
      </c>
      <c r="J15" s="3196">
        <v>39012</v>
      </c>
      <c r="K15" s="3196">
        <v>39402.120000000003</v>
      </c>
      <c r="L15" s="3196" t="s">
        <v>3122</v>
      </c>
      <c r="M15" s="3196" t="s">
        <v>2815</v>
      </c>
      <c r="N15" s="3196" t="s">
        <v>3084</v>
      </c>
      <c r="O15" s="3196" t="s">
        <v>2815</v>
      </c>
      <c r="P15" s="3196" t="s">
        <v>2815</v>
      </c>
      <c r="Q15" s="3196" t="s">
        <v>2815</v>
      </c>
      <c r="R15" s="3196" t="s">
        <v>2815</v>
      </c>
      <c r="S15" s="3196" t="s">
        <v>3102</v>
      </c>
      <c r="T15" s="3196" t="s">
        <v>3124</v>
      </c>
      <c r="U15" s="3196" t="s">
        <v>3125</v>
      </c>
      <c r="V15" s="3196" t="s">
        <v>3126</v>
      </c>
      <c r="W15" s="3196">
        <v>1800</v>
      </c>
      <c r="X15" s="3196">
        <v>30.76</v>
      </c>
      <c r="Y15" s="3196">
        <v>456.82</v>
      </c>
      <c r="Z15" s="3196">
        <v>0</v>
      </c>
      <c r="AA15" s="3196" t="s">
        <v>3089</v>
      </c>
      <c r="AB15" s="3196" t="s">
        <v>3090</v>
      </c>
    </row>
    <row r="16" spans="1:28" s="3192" customFormat="1" ht="23.1" customHeight="1">
      <c r="A16" s="3192" t="s">
        <v>3129</v>
      </c>
      <c r="B16" s="3192" t="s">
        <v>3077</v>
      </c>
      <c r="C16" s="3192" t="s">
        <v>3078</v>
      </c>
      <c r="D16" s="3192" t="s">
        <v>3079</v>
      </c>
      <c r="E16" s="3192" t="s">
        <v>2815</v>
      </c>
      <c r="F16" s="3220" t="s">
        <v>3295</v>
      </c>
      <c r="G16" s="3192" t="s">
        <v>3080</v>
      </c>
      <c r="H16" s="3192" t="s">
        <v>3130</v>
      </c>
      <c r="I16" s="3192" t="s">
        <v>3082</v>
      </c>
      <c r="J16" s="3192">
        <v>25772</v>
      </c>
      <c r="K16" s="3192">
        <v>64430</v>
      </c>
      <c r="L16" s="3192" t="s">
        <v>3131</v>
      </c>
      <c r="M16" s="3192" t="s">
        <v>2815</v>
      </c>
      <c r="N16" s="3192" t="s">
        <v>3132</v>
      </c>
      <c r="O16" s="3192" t="s">
        <v>2815</v>
      </c>
      <c r="P16" s="3192" t="s">
        <v>2815</v>
      </c>
      <c r="Q16" s="3192" t="s">
        <v>2815</v>
      </c>
      <c r="R16" s="3192" t="s">
        <v>2815</v>
      </c>
      <c r="S16" s="3192" t="s">
        <v>3102</v>
      </c>
      <c r="T16" s="3192" t="s">
        <v>3133</v>
      </c>
      <c r="U16" s="3192" t="s">
        <v>3134</v>
      </c>
      <c r="V16" s="3192" t="s">
        <v>3135</v>
      </c>
      <c r="W16" s="3192">
        <v>10080</v>
      </c>
      <c r="X16" s="3192">
        <v>260.75</v>
      </c>
      <c r="Y16" s="3192">
        <v>1564.49</v>
      </c>
      <c r="Z16" s="3192">
        <v>65.25</v>
      </c>
      <c r="AA16" s="3192" t="s">
        <v>3089</v>
      </c>
      <c r="AB16" s="3192" t="s">
        <v>3090</v>
      </c>
    </row>
    <row r="17" spans="1:28" s="3191" customFormat="1" ht="23.1" customHeight="1">
      <c r="A17" s="3191" t="s">
        <v>3120</v>
      </c>
      <c r="B17" s="3191" t="s">
        <v>3077</v>
      </c>
      <c r="C17" s="3191" t="s">
        <v>3078</v>
      </c>
      <c r="D17" s="3191" t="s">
        <v>3079</v>
      </c>
      <c r="E17" s="3191" t="s">
        <v>2815</v>
      </c>
      <c r="F17" s="3191" t="s">
        <v>3120</v>
      </c>
      <c r="G17" s="3191" t="s">
        <v>3080</v>
      </c>
      <c r="H17" s="3191" t="s">
        <v>3136</v>
      </c>
      <c r="I17" s="3191" t="s">
        <v>3082</v>
      </c>
      <c r="J17" s="3191">
        <v>37003</v>
      </c>
      <c r="K17" s="3191">
        <v>37373.03</v>
      </c>
      <c r="L17" s="3191" t="s">
        <v>3122</v>
      </c>
      <c r="M17" s="3191" t="s">
        <v>2815</v>
      </c>
      <c r="N17" s="3191" t="s">
        <v>3084</v>
      </c>
      <c r="O17" s="3191" t="s">
        <v>2815</v>
      </c>
      <c r="P17" s="3191" t="s">
        <v>2815</v>
      </c>
      <c r="Q17" s="3191" t="s">
        <v>2815</v>
      </c>
      <c r="R17" s="3191" t="s">
        <v>2815</v>
      </c>
      <c r="S17" s="3191" t="s">
        <v>3102</v>
      </c>
      <c r="T17" s="3191" t="s">
        <v>3137</v>
      </c>
      <c r="U17" s="3191" t="s">
        <v>3138</v>
      </c>
      <c r="V17" s="3191" t="s">
        <v>3046</v>
      </c>
      <c r="W17" s="3191">
        <v>1630</v>
      </c>
      <c r="X17" s="3191">
        <v>29.37</v>
      </c>
      <c r="Y17" s="3191">
        <v>436.13</v>
      </c>
      <c r="Z17" s="3191">
        <v>0</v>
      </c>
      <c r="AA17" s="3191" t="s">
        <v>3089</v>
      </c>
      <c r="AB17" s="3191" t="s">
        <v>3090</v>
      </c>
    </row>
    <row r="18" spans="1:28" s="3191" customFormat="1" ht="23.1" customHeight="1">
      <c r="A18" s="3191" t="s">
        <v>3120</v>
      </c>
      <c r="B18" s="3191" t="s">
        <v>3077</v>
      </c>
      <c r="C18" s="3191" t="s">
        <v>3078</v>
      </c>
      <c r="D18" s="3191" t="s">
        <v>3079</v>
      </c>
      <c r="E18" s="3191" t="s">
        <v>2815</v>
      </c>
      <c r="F18" s="3191" t="s">
        <v>3120</v>
      </c>
      <c r="G18" s="3191" t="s">
        <v>3080</v>
      </c>
      <c r="H18" s="3191" t="s">
        <v>3139</v>
      </c>
      <c r="I18" s="3191" t="s">
        <v>3082</v>
      </c>
      <c r="J18" s="3191">
        <v>45684</v>
      </c>
      <c r="K18" s="3191">
        <v>46140.84</v>
      </c>
      <c r="L18" s="3191" t="s">
        <v>3122</v>
      </c>
      <c r="M18" s="3191" t="s">
        <v>2815</v>
      </c>
      <c r="N18" s="3191" t="s">
        <v>3084</v>
      </c>
      <c r="O18" s="3191" t="s">
        <v>2815</v>
      </c>
      <c r="P18" s="3191" t="s">
        <v>2815</v>
      </c>
      <c r="Q18" s="3191" t="s">
        <v>2815</v>
      </c>
      <c r="R18" s="3191" t="s">
        <v>2815</v>
      </c>
      <c r="S18" s="3191" t="s">
        <v>3102</v>
      </c>
      <c r="T18" s="3191" t="s">
        <v>3137</v>
      </c>
      <c r="U18" s="3191" t="s">
        <v>3138</v>
      </c>
      <c r="V18" s="3191" t="s">
        <v>3046</v>
      </c>
      <c r="W18" s="3191">
        <v>2020</v>
      </c>
      <c r="X18" s="3191">
        <v>29.48</v>
      </c>
      <c r="Y18" s="3191">
        <v>437.79</v>
      </c>
      <c r="Z18" s="3191">
        <v>0</v>
      </c>
      <c r="AA18" s="3191" t="s">
        <v>3089</v>
      </c>
      <c r="AB18" s="3191" t="s">
        <v>3090</v>
      </c>
    </row>
    <row r="19" spans="1:28" s="3190" customFormat="1" ht="23.1" customHeight="1">
      <c r="A19" s="3190" t="s">
        <v>3140</v>
      </c>
      <c r="B19" s="3190" t="s">
        <v>3077</v>
      </c>
      <c r="C19" s="3190" t="s">
        <v>3078</v>
      </c>
      <c r="D19" s="3190" t="s">
        <v>3079</v>
      </c>
      <c r="E19" s="3190" t="s">
        <v>2815</v>
      </c>
      <c r="F19" s="3210" t="s">
        <v>3296</v>
      </c>
      <c r="G19" s="3190" t="s">
        <v>3080</v>
      </c>
      <c r="H19" s="3190" t="s">
        <v>3141</v>
      </c>
      <c r="I19" s="3190" t="s">
        <v>3082</v>
      </c>
      <c r="J19" s="3190">
        <v>3530</v>
      </c>
      <c r="K19" s="3190">
        <v>17650</v>
      </c>
      <c r="L19" s="3190" t="s">
        <v>3142</v>
      </c>
      <c r="M19" s="3190" t="s">
        <v>2815</v>
      </c>
      <c r="N19" s="3190" t="s">
        <v>3143</v>
      </c>
      <c r="O19" s="3190" t="s">
        <v>2815</v>
      </c>
      <c r="P19" s="3190" t="s">
        <v>2815</v>
      </c>
      <c r="Q19" s="3190" t="s">
        <v>2815</v>
      </c>
      <c r="R19" s="3190" t="s">
        <v>2815</v>
      </c>
      <c r="S19" s="3190" t="s">
        <v>3144</v>
      </c>
      <c r="T19" s="3190" t="s">
        <v>3145</v>
      </c>
      <c r="U19" s="3190" t="s">
        <v>3146</v>
      </c>
      <c r="V19" s="3190" t="s">
        <v>3147</v>
      </c>
      <c r="W19" s="3190">
        <v>600</v>
      </c>
      <c r="X19" s="3190">
        <v>113.31</v>
      </c>
      <c r="Y19" s="3190">
        <v>339.93</v>
      </c>
      <c r="Z19" s="3190">
        <v>0</v>
      </c>
      <c r="AA19" s="3190" t="s">
        <v>3089</v>
      </c>
      <c r="AB19" s="3190" t="s">
        <v>3090</v>
      </c>
    </row>
    <row r="20" spans="1:28" s="3190" customFormat="1" ht="23.1" customHeight="1">
      <c r="A20" s="3190" t="s">
        <v>3148</v>
      </c>
      <c r="B20" s="3190" t="s">
        <v>3077</v>
      </c>
      <c r="C20" s="3190" t="s">
        <v>3078</v>
      </c>
      <c r="D20" s="3190" t="s">
        <v>3079</v>
      </c>
      <c r="E20" s="3190" t="s">
        <v>2815</v>
      </c>
      <c r="F20" s="3210" t="s">
        <v>3289</v>
      </c>
      <c r="G20" s="3190" t="s">
        <v>3149</v>
      </c>
      <c r="H20" s="3190" t="s">
        <v>3150</v>
      </c>
      <c r="I20" s="3190" t="s">
        <v>3082</v>
      </c>
      <c r="J20" s="3190">
        <v>40978</v>
      </c>
      <c r="K20" s="3190">
        <v>60647.44</v>
      </c>
      <c r="L20" s="3190" t="s">
        <v>3151</v>
      </c>
      <c r="M20" s="3190" t="s">
        <v>2815</v>
      </c>
      <c r="N20" s="3190" t="s">
        <v>3152</v>
      </c>
      <c r="O20" s="3190" t="s">
        <v>2815</v>
      </c>
      <c r="P20" s="3190" t="s">
        <v>2815</v>
      </c>
      <c r="Q20" s="3190" t="s">
        <v>2815</v>
      </c>
      <c r="R20" s="3190" t="s">
        <v>2815</v>
      </c>
      <c r="S20" s="3190" t="s">
        <v>3144</v>
      </c>
      <c r="T20" s="3190" t="s">
        <v>3153</v>
      </c>
      <c r="U20" s="3190" t="s">
        <v>3154</v>
      </c>
      <c r="V20" s="3190" t="s">
        <v>3155</v>
      </c>
      <c r="W20" s="3190">
        <v>1100</v>
      </c>
      <c r="X20" s="3190">
        <v>17.899999999999999</v>
      </c>
      <c r="Y20" s="3190">
        <v>181.37</v>
      </c>
      <c r="Z20" s="3190" t="s">
        <v>2815</v>
      </c>
      <c r="AA20" s="3190" t="s">
        <v>3089</v>
      </c>
      <c r="AB20" s="3190" t="s">
        <v>3090</v>
      </c>
    </row>
    <row r="21" spans="1:28" s="3190" customFormat="1" ht="23.1" customHeight="1">
      <c r="A21" s="3190" t="s">
        <v>3148</v>
      </c>
      <c r="B21" s="3190" t="s">
        <v>3077</v>
      </c>
      <c r="C21" s="3190" t="s">
        <v>3078</v>
      </c>
      <c r="D21" s="3190" t="s">
        <v>3079</v>
      </c>
      <c r="E21" s="3190" t="s">
        <v>2815</v>
      </c>
      <c r="F21" s="3190" t="s">
        <v>3148</v>
      </c>
      <c r="G21" s="3190" t="s">
        <v>3149</v>
      </c>
      <c r="H21" s="3190" t="s">
        <v>3156</v>
      </c>
      <c r="I21" s="3190" t="s">
        <v>3082</v>
      </c>
      <c r="J21" s="3190">
        <v>46444</v>
      </c>
      <c r="K21" s="3190">
        <v>51552.84</v>
      </c>
      <c r="L21" s="3190" t="s">
        <v>3157</v>
      </c>
      <c r="M21" s="3190" t="s">
        <v>2815</v>
      </c>
      <c r="N21" s="3190" t="s">
        <v>3158</v>
      </c>
      <c r="O21" s="3190" t="s">
        <v>2815</v>
      </c>
      <c r="P21" s="3190" t="s">
        <v>2815</v>
      </c>
      <c r="Q21" s="3190" t="s">
        <v>2815</v>
      </c>
      <c r="R21" s="3190" t="s">
        <v>2815</v>
      </c>
      <c r="S21" s="3190" t="s">
        <v>3144</v>
      </c>
      <c r="T21" s="3190" t="s">
        <v>3153</v>
      </c>
      <c r="U21" s="3190" t="s">
        <v>3154</v>
      </c>
      <c r="V21" s="3190" t="s">
        <v>3155</v>
      </c>
      <c r="W21" s="3190">
        <v>1230</v>
      </c>
      <c r="X21" s="3190">
        <v>17.66</v>
      </c>
      <c r="Y21" s="3190">
        <v>238.59</v>
      </c>
      <c r="Z21" s="3190" t="s">
        <v>2815</v>
      </c>
      <c r="AA21" s="3190" t="s">
        <v>3089</v>
      </c>
      <c r="AB21" s="3190" t="s">
        <v>3090</v>
      </c>
    </row>
    <row r="22" spans="1:28" s="3190" customFormat="1" ht="23.1" customHeight="1">
      <c r="A22" s="3190" t="s">
        <v>3148</v>
      </c>
      <c r="B22" s="3190" t="s">
        <v>3077</v>
      </c>
      <c r="C22" s="3190" t="s">
        <v>3078</v>
      </c>
      <c r="D22" s="3190" t="s">
        <v>3079</v>
      </c>
      <c r="E22" s="3190" t="s">
        <v>2815</v>
      </c>
      <c r="F22" s="3190" t="s">
        <v>3148</v>
      </c>
      <c r="G22" s="3190" t="s">
        <v>3149</v>
      </c>
      <c r="H22" s="3190" t="s">
        <v>3159</v>
      </c>
      <c r="I22" s="3190" t="s">
        <v>3082</v>
      </c>
      <c r="J22" s="3190">
        <v>51239</v>
      </c>
      <c r="K22" s="3190">
        <v>76346.11</v>
      </c>
      <c r="L22" s="3190" t="s">
        <v>3160</v>
      </c>
      <c r="M22" s="3190" t="s">
        <v>2815</v>
      </c>
      <c r="N22" s="3190" t="s">
        <v>3152</v>
      </c>
      <c r="O22" s="3190" t="s">
        <v>2815</v>
      </c>
      <c r="P22" s="3190" t="s">
        <v>2815</v>
      </c>
      <c r="Q22" s="3190" t="s">
        <v>2815</v>
      </c>
      <c r="R22" s="3190" t="s">
        <v>2815</v>
      </c>
      <c r="S22" s="3190" t="s">
        <v>3144</v>
      </c>
      <c r="T22" s="3190" t="s">
        <v>3153</v>
      </c>
      <c r="U22" s="3190" t="s">
        <v>3154</v>
      </c>
      <c r="V22" s="3190" t="s">
        <v>3155</v>
      </c>
      <c r="W22" s="3190">
        <v>1420</v>
      </c>
      <c r="X22" s="3190">
        <v>18.48</v>
      </c>
      <c r="Y22" s="3190">
        <v>186</v>
      </c>
      <c r="Z22" s="3190" t="s">
        <v>2815</v>
      </c>
      <c r="AA22" s="3190" t="s">
        <v>3089</v>
      </c>
      <c r="AB22" s="3190" t="s">
        <v>3090</v>
      </c>
    </row>
    <row r="23" spans="1:28" s="3190" customFormat="1" ht="23.1" customHeight="1">
      <c r="A23" s="3190" t="s">
        <v>3148</v>
      </c>
      <c r="B23" s="3190" t="s">
        <v>3077</v>
      </c>
      <c r="C23" s="3190" t="s">
        <v>3078</v>
      </c>
      <c r="D23" s="3190" t="s">
        <v>3079</v>
      </c>
      <c r="E23" s="3190" t="s">
        <v>2815</v>
      </c>
      <c r="F23" s="3190" t="s">
        <v>3148</v>
      </c>
      <c r="G23" s="3190" t="s">
        <v>3149</v>
      </c>
      <c r="H23" s="3190" t="s">
        <v>3161</v>
      </c>
      <c r="I23" s="3190" t="s">
        <v>3082</v>
      </c>
      <c r="J23" s="3190">
        <v>45195</v>
      </c>
      <c r="K23" s="3190">
        <v>50166.45</v>
      </c>
      <c r="L23" s="3190" t="s">
        <v>3157</v>
      </c>
      <c r="M23" s="3190" t="s">
        <v>2815</v>
      </c>
      <c r="N23" s="3190" t="s">
        <v>3158</v>
      </c>
      <c r="O23" s="3190" t="s">
        <v>2815</v>
      </c>
      <c r="P23" s="3190" t="s">
        <v>2815</v>
      </c>
      <c r="Q23" s="3190" t="s">
        <v>2815</v>
      </c>
      <c r="R23" s="3190" t="s">
        <v>2815</v>
      </c>
      <c r="S23" s="3190" t="s">
        <v>3144</v>
      </c>
      <c r="T23" s="3190" t="s">
        <v>3153</v>
      </c>
      <c r="U23" s="3190" t="s">
        <v>3154</v>
      </c>
      <c r="V23" s="3190" t="s">
        <v>3155</v>
      </c>
      <c r="W23" s="3190">
        <v>1180</v>
      </c>
      <c r="X23" s="3190">
        <v>17.41</v>
      </c>
      <c r="Y23" s="3190">
        <v>235.21</v>
      </c>
      <c r="Z23" s="3190" t="s">
        <v>2815</v>
      </c>
      <c r="AA23" s="3190" t="s">
        <v>3089</v>
      </c>
      <c r="AB23" s="3190" t="s">
        <v>3090</v>
      </c>
    </row>
    <row r="24" spans="1:28" s="3190" customFormat="1" ht="23.1" customHeight="1">
      <c r="A24" s="3190" t="s">
        <v>3148</v>
      </c>
      <c r="B24" s="3190" t="s">
        <v>3077</v>
      </c>
      <c r="C24" s="3190" t="s">
        <v>3078</v>
      </c>
      <c r="D24" s="3190" t="s">
        <v>3079</v>
      </c>
      <c r="E24" s="3190" t="s">
        <v>2815</v>
      </c>
      <c r="F24" s="3190" t="s">
        <v>3148</v>
      </c>
      <c r="G24" s="3190" t="s">
        <v>3149</v>
      </c>
      <c r="H24" s="3190" t="s">
        <v>3162</v>
      </c>
      <c r="I24" s="3190" t="s">
        <v>3082</v>
      </c>
      <c r="J24" s="3190">
        <v>50592</v>
      </c>
      <c r="K24" s="3190">
        <v>75382.080000000002</v>
      </c>
      <c r="L24" s="3190" t="s">
        <v>3160</v>
      </c>
      <c r="M24" s="3190" t="s">
        <v>2815</v>
      </c>
      <c r="N24" s="3190" t="s">
        <v>3152</v>
      </c>
      <c r="O24" s="3190" t="s">
        <v>2815</v>
      </c>
      <c r="P24" s="3190" t="s">
        <v>2815</v>
      </c>
      <c r="Q24" s="3190" t="s">
        <v>2815</v>
      </c>
      <c r="R24" s="3190" t="s">
        <v>2815</v>
      </c>
      <c r="S24" s="3190" t="s">
        <v>3144</v>
      </c>
      <c r="T24" s="3190" t="s">
        <v>3153</v>
      </c>
      <c r="U24" s="3190" t="s">
        <v>3154</v>
      </c>
      <c r="V24" s="3190" t="s">
        <v>3155</v>
      </c>
      <c r="W24" s="3190">
        <v>1410</v>
      </c>
      <c r="X24" s="3190">
        <v>18.579999999999998</v>
      </c>
      <c r="Y24" s="3190">
        <v>187.05</v>
      </c>
      <c r="Z24" s="3190" t="s">
        <v>2815</v>
      </c>
      <c r="AA24" s="3190" t="s">
        <v>3089</v>
      </c>
      <c r="AB24" s="3190" t="s">
        <v>3090</v>
      </c>
    </row>
    <row r="25" spans="1:28" s="3190" customFormat="1" ht="23.1" customHeight="1">
      <c r="A25" s="3190" t="s">
        <v>3163</v>
      </c>
      <c r="B25" s="3190" t="s">
        <v>3077</v>
      </c>
      <c r="C25" s="3190" t="s">
        <v>3078</v>
      </c>
      <c r="D25" s="3190" t="s">
        <v>3079</v>
      </c>
      <c r="E25" s="3190" t="s">
        <v>2815</v>
      </c>
      <c r="F25" s="3210" t="s">
        <v>3290</v>
      </c>
      <c r="G25" s="3190" t="s">
        <v>3149</v>
      </c>
      <c r="H25" s="3190" t="s">
        <v>3164</v>
      </c>
      <c r="I25" s="3190" t="s">
        <v>3082</v>
      </c>
      <c r="J25" s="3190">
        <v>4364</v>
      </c>
      <c r="K25" s="3190">
        <v>4364</v>
      </c>
      <c r="L25" s="3190" t="s">
        <v>3165</v>
      </c>
      <c r="M25" s="3190" t="s">
        <v>2815</v>
      </c>
      <c r="N25" s="3190" t="s">
        <v>3132</v>
      </c>
      <c r="O25" s="3190" t="s">
        <v>2815</v>
      </c>
      <c r="P25" s="3190" t="s">
        <v>2815</v>
      </c>
      <c r="Q25" s="3190" t="s">
        <v>2815</v>
      </c>
      <c r="R25" s="3190" t="s">
        <v>2815</v>
      </c>
      <c r="S25" s="3190" t="s">
        <v>3144</v>
      </c>
      <c r="T25" s="3190" t="s">
        <v>3166</v>
      </c>
      <c r="U25" s="3190" t="s">
        <v>3167</v>
      </c>
      <c r="V25" s="3190" t="s">
        <v>3168</v>
      </c>
      <c r="W25" s="3190">
        <v>99</v>
      </c>
      <c r="X25" s="3190">
        <v>15.12</v>
      </c>
      <c r="Y25" s="3190">
        <v>226.86</v>
      </c>
      <c r="Z25" s="3190" t="s">
        <v>2815</v>
      </c>
      <c r="AA25" s="3190" t="s">
        <v>3089</v>
      </c>
      <c r="AB25" s="3190" t="s">
        <v>3090</v>
      </c>
    </row>
    <row r="26" spans="1:28" s="3190" customFormat="1" ht="23.1" customHeight="1">
      <c r="A26" s="3190" t="s">
        <v>3169</v>
      </c>
      <c r="B26" s="3190" t="s">
        <v>3077</v>
      </c>
      <c r="C26" s="3190" t="s">
        <v>3078</v>
      </c>
      <c r="D26" s="3190" t="s">
        <v>3079</v>
      </c>
      <c r="E26" s="3190" t="s">
        <v>2815</v>
      </c>
      <c r="F26" s="3210" t="s">
        <v>3291</v>
      </c>
      <c r="G26" s="3190" t="s">
        <v>3149</v>
      </c>
      <c r="H26" s="3190" t="s">
        <v>3170</v>
      </c>
      <c r="I26" s="3190" t="s">
        <v>3082</v>
      </c>
      <c r="J26" s="3190">
        <v>11024</v>
      </c>
      <c r="K26" s="3190">
        <v>11024</v>
      </c>
      <c r="L26" s="3190" t="s">
        <v>3165</v>
      </c>
      <c r="M26" s="3190" t="s">
        <v>2815</v>
      </c>
      <c r="N26" s="3190" t="s">
        <v>3132</v>
      </c>
      <c r="O26" s="3190" t="s">
        <v>2815</v>
      </c>
      <c r="P26" s="3190" t="s">
        <v>2815</v>
      </c>
      <c r="Q26" s="3190" t="s">
        <v>2815</v>
      </c>
      <c r="R26" s="3190" t="s">
        <v>2815</v>
      </c>
      <c r="S26" s="3190" t="s">
        <v>3144</v>
      </c>
      <c r="T26" s="3190" t="s">
        <v>3166</v>
      </c>
      <c r="U26" s="3190" t="s">
        <v>3167</v>
      </c>
      <c r="V26" s="3190" t="s">
        <v>3168</v>
      </c>
      <c r="W26" s="3190">
        <v>251</v>
      </c>
      <c r="X26" s="3190">
        <v>15.18</v>
      </c>
      <c r="Y26" s="3190">
        <v>227.68</v>
      </c>
      <c r="Z26" s="3190" t="s">
        <v>2815</v>
      </c>
      <c r="AA26" s="3190" t="s">
        <v>3089</v>
      </c>
      <c r="AB26" s="3190" t="s">
        <v>3090</v>
      </c>
    </row>
    <row r="27" spans="1:28" s="3190" customFormat="1" ht="23.1" customHeight="1">
      <c r="A27" s="3190" t="s">
        <v>3148</v>
      </c>
      <c r="B27" s="3190" t="s">
        <v>3077</v>
      </c>
      <c r="C27" s="3190" t="s">
        <v>3078</v>
      </c>
      <c r="D27" s="3190" t="s">
        <v>3079</v>
      </c>
      <c r="E27" s="3190" t="s">
        <v>2815</v>
      </c>
      <c r="F27" s="3190" t="s">
        <v>3148</v>
      </c>
      <c r="G27" s="3190" t="s">
        <v>3149</v>
      </c>
      <c r="H27" s="3190" t="s">
        <v>3171</v>
      </c>
      <c r="I27" s="3190" t="s">
        <v>3082</v>
      </c>
      <c r="J27" s="3190">
        <v>33635</v>
      </c>
      <c r="K27" s="3190">
        <v>37334.85</v>
      </c>
      <c r="L27" s="3190" t="s">
        <v>3172</v>
      </c>
      <c r="M27" s="3190" t="s">
        <v>2815</v>
      </c>
      <c r="N27" s="3190" t="s">
        <v>3084</v>
      </c>
      <c r="O27" s="3190" t="s">
        <v>2815</v>
      </c>
      <c r="P27" s="3190" t="s">
        <v>2815</v>
      </c>
      <c r="Q27" s="3190" t="s">
        <v>2815</v>
      </c>
      <c r="R27" s="3190" t="s">
        <v>2815</v>
      </c>
      <c r="S27" s="3190" t="s">
        <v>3144</v>
      </c>
      <c r="T27" s="3190" t="s">
        <v>3173</v>
      </c>
      <c r="U27" s="3190" t="s">
        <v>3174</v>
      </c>
      <c r="V27" s="3190" t="s">
        <v>3155</v>
      </c>
      <c r="W27" s="3190">
        <v>802</v>
      </c>
      <c r="X27" s="3190">
        <v>15.9</v>
      </c>
      <c r="Y27" s="3190">
        <v>214.81</v>
      </c>
      <c r="Z27" s="3190" t="s">
        <v>2815</v>
      </c>
      <c r="AA27" s="3190" t="s">
        <v>3089</v>
      </c>
      <c r="AB27" s="3190" t="s">
        <v>3090</v>
      </c>
    </row>
    <row r="28" spans="1:28" s="3190" customFormat="1" ht="23.1" customHeight="1">
      <c r="A28" s="3190" t="s">
        <v>3148</v>
      </c>
      <c r="B28" s="3190" t="s">
        <v>3077</v>
      </c>
      <c r="C28" s="3190" t="s">
        <v>3078</v>
      </c>
      <c r="D28" s="3190" t="s">
        <v>3079</v>
      </c>
      <c r="E28" s="3190" t="s">
        <v>2815</v>
      </c>
      <c r="F28" s="3190" t="s">
        <v>3148</v>
      </c>
      <c r="G28" s="3190" t="s">
        <v>3149</v>
      </c>
      <c r="H28" s="3190" t="s">
        <v>3175</v>
      </c>
      <c r="I28" s="3190" t="s">
        <v>3082</v>
      </c>
      <c r="J28" s="3190">
        <v>58881</v>
      </c>
      <c r="K28" s="3190">
        <v>64769.1</v>
      </c>
      <c r="L28" s="3190" t="s">
        <v>3176</v>
      </c>
      <c r="M28" s="3190" t="s">
        <v>2815</v>
      </c>
      <c r="N28" s="3190" t="s">
        <v>3084</v>
      </c>
      <c r="O28" s="3190" t="s">
        <v>2815</v>
      </c>
      <c r="P28" s="3190" t="s">
        <v>2815</v>
      </c>
      <c r="Q28" s="3190" t="s">
        <v>2815</v>
      </c>
      <c r="R28" s="3190" t="s">
        <v>2815</v>
      </c>
      <c r="S28" s="3190" t="s">
        <v>3144</v>
      </c>
      <c r="T28" s="3190" t="s">
        <v>3173</v>
      </c>
      <c r="U28" s="3190" t="s">
        <v>3174</v>
      </c>
      <c r="V28" s="3190" t="s">
        <v>3155</v>
      </c>
      <c r="W28" s="3190">
        <v>1403</v>
      </c>
      <c r="X28" s="3190">
        <v>15.89</v>
      </c>
      <c r="Y28" s="3190">
        <v>216.62</v>
      </c>
      <c r="Z28" s="3190" t="s">
        <v>2815</v>
      </c>
      <c r="AA28" s="3190" t="s">
        <v>3089</v>
      </c>
      <c r="AB28" s="3190" t="s">
        <v>3090</v>
      </c>
    </row>
    <row r="29" spans="1:28" s="3190" customFormat="1" ht="23.1" customHeight="1">
      <c r="A29" s="3190" t="s">
        <v>3148</v>
      </c>
      <c r="B29" s="3190" t="s">
        <v>3077</v>
      </c>
      <c r="C29" s="3190" t="s">
        <v>3078</v>
      </c>
      <c r="D29" s="3190" t="s">
        <v>3079</v>
      </c>
      <c r="E29" s="3190" t="s">
        <v>2815</v>
      </c>
      <c r="F29" s="3190" t="s">
        <v>3148</v>
      </c>
      <c r="G29" s="3190" t="s">
        <v>3149</v>
      </c>
      <c r="H29" s="3190" t="s">
        <v>3177</v>
      </c>
      <c r="I29" s="3190" t="s">
        <v>3082</v>
      </c>
      <c r="J29" s="3190">
        <v>63162</v>
      </c>
      <c r="K29" s="3190">
        <v>70741.440000000002</v>
      </c>
      <c r="L29" s="3190" t="s">
        <v>3178</v>
      </c>
      <c r="M29" s="3190" t="s">
        <v>2815</v>
      </c>
      <c r="N29" s="3190" t="s">
        <v>3084</v>
      </c>
      <c r="O29" s="3190" t="s">
        <v>2815</v>
      </c>
      <c r="P29" s="3190" t="s">
        <v>2815</v>
      </c>
      <c r="Q29" s="3190" t="s">
        <v>2815</v>
      </c>
      <c r="R29" s="3190" t="s">
        <v>2815</v>
      </c>
      <c r="S29" s="3190" t="s">
        <v>3144</v>
      </c>
      <c r="T29" s="3190" t="s">
        <v>3173</v>
      </c>
      <c r="U29" s="3190" t="s">
        <v>3174</v>
      </c>
      <c r="V29" s="3190" t="s">
        <v>3155</v>
      </c>
      <c r="W29" s="3190">
        <v>1496</v>
      </c>
      <c r="X29" s="3190">
        <v>15.79</v>
      </c>
      <c r="Y29" s="3190">
        <v>211.46</v>
      </c>
      <c r="Z29" s="3190" t="s">
        <v>2815</v>
      </c>
      <c r="AA29" s="3190" t="s">
        <v>3089</v>
      </c>
      <c r="AB29" s="3190" t="s">
        <v>3090</v>
      </c>
    </row>
    <row r="30" spans="1:28" s="3190" customFormat="1" ht="23.1" customHeight="1">
      <c r="A30" s="3190" t="s">
        <v>3148</v>
      </c>
      <c r="B30" s="3190" t="s">
        <v>3077</v>
      </c>
      <c r="C30" s="3190" t="s">
        <v>3078</v>
      </c>
      <c r="D30" s="3190" t="s">
        <v>3079</v>
      </c>
      <c r="E30" s="3190" t="s">
        <v>2815</v>
      </c>
      <c r="F30" s="3190" t="s">
        <v>3148</v>
      </c>
      <c r="G30" s="3190" t="s">
        <v>3149</v>
      </c>
      <c r="H30" s="3190" t="s">
        <v>3179</v>
      </c>
      <c r="I30" s="3190" t="s">
        <v>3082</v>
      </c>
      <c r="J30" s="3190">
        <v>30164</v>
      </c>
      <c r="K30" s="3190">
        <v>33783.68</v>
      </c>
      <c r="L30" s="3190" t="s">
        <v>3178</v>
      </c>
      <c r="M30" s="3190" t="s">
        <v>2815</v>
      </c>
      <c r="N30" s="3190" t="s">
        <v>3084</v>
      </c>
      <c r="O30" s="3190" t="s">
        <v>2815</v>
      </c>
      <c r="P30" s="3190" t="s">
        <v>2815</v>
      </c>
      <c r="Q30" s="3190" t="s">
        <v>2815</v>
      </c>
      <c r="R30" s="3190" t="s">
        <v>2815</v>
      </c>
      <c r="S30" s="3190" t="s">
        <v>3144</v>
      </c>
      <c r="T30" s="3190" t="s">
        <v>3173</v>
      </c>
      <c r="U30" s="3190" t="s">
        <v>3174</v>
      </c>
      <c r="V30" s="3190" t="s">
        <v>3155</v>
      </c>
      <c r="W30" s="3190">
        <v>743</v>
      </c>
      <c r="X30" s="3190">
        <v>16.420000000000002</v>
      </c>
      <c r="Y30" s="3190">
        <v>219.93</v>
      </c>
      <c r="Z30" s="3190" t="s">
        <v>2815</v>
      </c>
      <c r="AA30" s="3190" t="s">
        <v>3089</v>
      </c>
      <c r="AB30" s="3190" t="s">
        <v>3090</v>
      </c>
    </row>
    <row r="31" spans="1:28" s="3190" customFormat="1" ht="23.1" customHeight="1">
      <c r="A31" s="3190" t="s">
        <v>3148</v>
      </c>
      <c r="B31" s="3190" t="s">
        <v>3077</v>
      </c>
      <c r="C31" s="3190" t="s">
        <v>3078</v>
      </c>
      <c r="D31" s="3190" t="s">
        <v>3079</v>
      </c>
      <c r="E31" s="3190" t="s">
        <v>2815</v>
      </c>
      <c r="F31" s="3190" t="s">
        <v>3148</v>
      </c>
      <c r="G31" s="3190" t="s">
        <v>3149</v>
      </c>
      <c r="H31" s="3190" t="s">
        <v>3180</v>
      </c>
      <c r="I31" s="3190" t="s">
        <v>3082</v>
      </c>
      <c r="J31" s="3190">
        <v>35623</v>
      </c>
      <c r="K31" s="3190">
        <v>53078.27</v>
      </c>
      <c r="L31" s="3190" t="s">
        <v>3181</v>
      </c>
      <c r="M31" s="3190" t="s">
        <v>2815</v>
      </c>
      <c r="N31" s="3190" t="s">
        <v>3182</v>
      </c>
      <c r="O31" s="3190" t="s">
        <v>2815</v>
      </c>
      <c r="P31" s="3190" t="s">
        <v>2815</v>
      </c>
      <c r="Q31" s="3190" t="s">
        <v>2815</v>
      </c>
      <c r="R31" s="3190" t="s">
        <v>2815</v>
      </c>
      <c r="S31" s="3190" t="s">
        <v>3144</v>
      </c>
      <c r="T31" s="3190" t="s">
        <v>3173</v>
      </c>
      <c r="U31" s="3190" t="s">
        <v>3174</v>
      </c>
      <c r="V31" s="3190" t="s">
        <v>3155</v>
      </c>
      <c r="W31" s="3190">
        <v>855</v>
      </c>
      <c r="X31" s="3190">
        <v>16</v>
      </c>
      <c r="Y31" s="3190">
        <v>161.08000000000001</v>
      </c>
      <c r="Z31" s="3190" t="s">
        <v>2815</v>
      </c>
      <c r="AA31" s="3190" t="s">
        <v>3089</v>
      </c>
      <c r="AB31" s="3190" t="s">
        <v>3090</v>
      </c>
    </row>
    <row r="32" spans="1:28" s="3190" customFormat="1" ht="23.1" customHeight="1">
      <c r="A32" s="3190" t="s">
        <v>3148</v>
      </c>
      <c r="B32" s="3190" t="s">
        <v>3077</v>
      </c>
      <c r="C32" s="3190" t="s">
        <v>3078</v>
      </c>
      <c r="D32" s="3190" t="s">
        <v>3079</v>
      </c>
      <c r="E32" s="3190" t="s">
        <v>2815</v>
      </c>
      <c r="F32" s="3190" t="s">
        <v>3148</v>
      </c>
      <c r="G32" s="3190" t="s">
        <v>3149</v>
      </c>
      <c r="H32" s="3190" t="s">
        <v>3183</v>
      </c>
      <c r="I32" s="3190" t="s">
        <v>3082</v>
      </c>
      <c r="J32" s="3190">
        <v>53165</v>
      </c>
      <c r="K32" s="3190">
        <v>59013.15</v>
      </c>
      <c r="L32" s="3190" t="s">
        <v>3172</v>
      </c>
      <c r="M32" s="3190" t="s">
        <v>2815</v>
      </c>
      <c r="N32" s="3190" t="s">
        <v>3084</v>
      </c>
      <c r="O32" s="3190" t="s">
        <v>2815</v>
      </c>
      <c r="P32" s="3190" t="s">
        <v>2815</v>
      </c>
      <c r="Q32" s="3190" t="s">
        <v>2815</v>
      </c>
      <c r="R32" s="3190" t="s">
        <v>2815</v>
      </c>
      <c r="S32" s="3190" t="s">
        <v>3144</v>
      </c>
      <c r="T32" s="3190" t="s">
        <v>3173</v>
      </c>
      <c r="U32" s="3190" t="s">
        <v>3174</v>
      </c>
      <c r="V32" s="3190" t="s">
        <v>3155</v>
      </c>
      <c r="W32" s="3190">
        <v>1332</v>
      </c>
      <c r="X32" s="3190">
        <v>16.7</v>
      </c>
      <c r="Y32" s="3190">
        <v>225.71</v>
      </c>
      <c r="Z32" s="3190" t="s">
        <v>2815</v>
      </c>
      <c r="AA32" s="3190" t="s">
        <v>3089</v>
      </c>
      <c r="AB32" s="3190" t="s">
        <v>3090</v>
      </c>
    </row>
    <row r="33" spans="1:28" s="3190" customFormat="1" ht="23.1" customHeight="1">
      <c r="A33" s="3190" t="s">
        <v>3148</v>
      </c>
      <c r="B33" s="3190" t="s">
        <v>3077</v>
      </c>
      <c r="C33" s="3190" t="s">
        <v>3078</v>
      </c>
      <c r="D33" s="3190" t="s">
        <v>3079</v>
      </c>
      <c r="E33" s="3190" t="s">
        <v>2815</v>
      </c>
      <c r="F33" s="3190" t="s">
        <v>3148</v>
      </c>
      <c r="G33" s="3190" t="s">
        <v>3149</v>
      </c>
      <c r="H33" s="3190" t="s">
        <v>3184</v>
      </c>
      <c r="I33" s="3190" t="s">
        <v>3082</v>
      </c>
      <c r="J33" s="3190">
        <v>37430</v>
      </c>
      <c r="K33" s="3190">
        <v>55396.4</v>
      </c>
      <c r="L33" s="3190" t="s">
        <v>3185</v>
      </c>
      <c r="M33" s="3190" t="s">
        <v>2815</v>
      </c>
      <c r="N33" s="3190" t="s">
        <v>3186</v>
      </c>
      <c r="O33" s="3190" t="s">
        <v>2815</v>
      </c>
      <c r="P33" s="3190" t="s">
        <v>2815</v>
      </c>
      <c r="Q33" s="3190" t="s">
        <v>2815</v>
      </c>
      <c r="R33" s="3190" t="s">
        <v>2815</v>
      </c>
      <c r="S33" s="3190" t="s">
        <v>3144</v>
      </c>
      <c r="T33" s="3190" t="s">
        <v>3173</v>
      </c>
      <c r="U33" s="3190" t="s">
        <v>3174</v>
      </c>
      <c r="V33" s="3190" t="s">
        <v>3155</v>
      </c>
      <c r="W33" s="3190">
        <v>902</v>
      </c>
      <c r="X33" s="3190">
        <v>16.07</v>
      </c>
      <c r="Y33" s="3190">
        <v>162.83000000000001</v>
      </c>
      <c r="Z33" s="3190" t="s">
        <v>2815</v>
      </c>
      <c r="AA33" s="3190" t="s">
        <v>3089</v>
      </c>
      <c r="AB33" s="3190" t="s">
        <v>3090</v>
      </c>
    </row>
    <row r="34" spans="1:28" s="3190" customFormat="1" ht="23.1" customHeight="1">
      <c r="A34" s="3190" t="s">
        <v>3148</v>
      </c>
      <c r="B34" s="3190" t="s">
        <v>3077</v>
      </c>
      <c r="C34" s="3190" t="s">
        <v>3078</v>
      </c>
      <c r="D34" s="3190" t="s">
        <v>3079</v>
      </c>
      <c r="E34" s="3190" t="s">
        <v>2815</v>
      </c>
      <c r="F34" s="3190" t="s">
        <v>3148</v>
      </c>
      <c r="G34" s="3190" t="s">
        <v>3149</v>
      </c>
      <c r="H34" s="3190" t="s">
        <v>3187</v>
      </c>
      <c r="I34" s="3190" t="s">
        <v>3082</v>
      </c>
      <c r="J34" s="3190">
        <v>63755</v>
      </c>
      <c r="K34" s="3190">
        <v>80968.850000000006</v>
      </c>
      <c r="L34" s="3190" t="s">
        <v>3188</v>
      </c>
      <c r="M34" s="3190" t="s">
        <v>2815</v>
      </c>
      <c r="N34" s="3190" t="s">
        <v>3189</v>
      </c>
      <c r="O34" s="3190" t="s">
        <v>2815</v>
      </c>
      <c r="P34" s="3190" t="s">
        <v>2815</v>
      </c>
      <c r="Q34" s="3190" t="s">
        <v>2815</v>
      </c>
      <c r="R34" s="3190" t="s">
        <v>2815</v>
      </c>
      <c r="S34" s="3190" t="s">
        <v>3144</v>
      </c>
      <c r="T34" s="3190" t="s">
        <v>3190</v>
      </c>
      <c r="U34" s="3190" t="s">
        <v>3191</v>
      </c>
      <c r="V34" s="3190" t="s">
        <v>3192</v>
      </c>
      <c r="W34" s="3190">
        <v>1435</v>
      </c>
      <c r="X34" s="3190">
        <v>15.01</v>
      </c>
      <c r="Y34" s="3190">
        <v>177.22</v>
      </c>
      <c r="Z34" s="3190" t="s">
        <v>2815</v>
      </c>
      <c r="AA34" s="3190" t="s">
        <v>3089</v>
      </c>
      <c r="AB34" s="3190" t="s">
        <v>3090</v>
      </c>
    </row>
    <row r="35" spans="1:28" s="3190" customFormat="1" ht="23.1" customHeight="1">
      <c r="A35" s="3190" t="s">
        <v>3148</v>
      </c>
      <c r="B35" s="3190" t="s">
        <v>3077</v>
      </c>
      <c r="C35" s="3190" t="s">
        <v>3078</v>
      </c>
      <c r="D35" s="3190" t="s">
        <v>3079</v>
      </c>
      <c r="E35" s="3190" t="s">
        <v>2815</v>
      </c>
      <c r="F35" s="3190" t="s">
        <v>3148</v>
      </c>
      <c r="G35" s="3190" t="s">
        <v>3149</v>
      </c>
      <c r="H35" s="3190" t="s">
        <v>3193</v>
      </c>
      <c r="I35" s="3190" t="s">
        <v>3082</v>
      </c>
      <c r="J35" s="3190">
        <v>62774</v>
      </c>
      <c r="K35" s="3190">
        <v>126803.48</v>
      </c>
      <c r="L35" s="3190" t="s">
        <v>3194</v>
      </c>
      <c r="M35" s="3190" t="s">
        <v>2815</v>
      </c>
      <c r="N35" s="3190" t="s">
        <v>3189</v>
      </c>
      <c r="O35" s="3190" t="s">
        <v>2815</v>
      </c>
      <c r="P35" s="3190" t="s">
        <v>2815</v>
      </c>
      <c r="Q35" s="3190" t="s">
        <v>2815</v>
      </c>
      <c r="R35" s="3190" t="s">
        <v>2815</v>
      </c>
      <c r="S35" s="3190" t="s">
        <v>3144</v>
      </c>
      <c r="T35" s="3190" t="s">
        <v>3190</v>
      </c>
      <c r="U35" s="3190" t="s">
        <v>3191</v>
      </c>
      <c r="V35" s="3190" t="s">
        <v>3192</v>
      </c>
      <c r="W35" s="3190">
        <v>1410</v>
      </c>
      <c r="X35" s="3190">
        <v>14.97</v>
      </c>
      <c r="Y35" s="3190">
        <v>111.2</v>
      </c>
      <c r="Z35" s="3190" t="s">
        <v>2815</v>
      </c>
      <c r="AA35" s="3190" t="s">
        <v>3089</v>
      </c>
      <c r="AB35" s="3190" t="s">
        <v>3090</v>
      </c>
    </row>
    <row r="36" spans="1:28" s="3190" customFormat="1" ht="23.1" customHeight="1">
      <c r="A36" s="3190" t="s">
        <v>3148</v>
      </c>
      <c r="B36" s="3190" t="s">
        <v>3077</v>
      </c>
      <c r="C36" s="3190" t="s">
        <v>3078</v>
      </c>
      <c r="D36" s="3190" t="s">
        <v>3079</v>
      </c>
      <c r="E36" s="3190" t="s">
        <v>2815</v>
      </c>
      <c r="F36" s="3190" t="s">
        <v>3148</v>
      </c>
      <c r="G36" s="3190" t="s">
        <v>3149</v>
      </c>
      <c r="H36" s="3190" t="s">
        <v>3195</v>
      </c>
      <c r="I36" s="3190" t="s">
        <v>3082</v>
      </c>
      <c r="J36" s="3190">
        <v>61423</v>
      </c>
      <c r="K36" s="3190">
        <v>132059.45000000001</v>
      </c>
      <c r="L36" s="3190" t="s">
        <v>3196</v>
      </c>
      <c r="M36" s="3190" t="s">
        <v>2815</v>
      </c>
      <c r="N36" s="3190" t="s">
        <v>3197</v>
      </c>
      <c r="O36" s="3190" t="s">
        <v>2815</v>
      </c>
      <c r="P36" s="3190" t="s">
        <v>2815</v>
      </c>
      <c r="Q36" s="3190" t="s">
        <v>2815</v>
      </c>
      <c r="R36" s="3190" t="s">
        <v>2815</v>
      </c>
      <c r="S36" s="3190" t="s">
        <v>3144</v>
      </c>
      <c r="T36" s="3190" t="s">
        <v>3190</v>
      </c>
      <c r="U36" s="3190" t="s">
        <v>3191</v>
      </c>
      <c r="V36" s="3190" t="s">
        <v>3192</v>
      </c>
      <c r="W36" s="3190">
        <v>1390</v>
      </c>
      <c r="X36" s="3190">
        <v>15.09</v>
      </c>
      <c r="Y36" s="3190">
        <v>105.26</v>
      </c>
      <c r="Z36" s="3190" t="s">
        <v>2815</v>
      </c>
      <c r="AA36" s="3190" t="s">
        <v>3089</v>
      </c>
      <c r="AB36" s="3190" t="s">
        <v>3090</v>
      </c>
    </row>
    <row r="37" spans="1:28" s="3190" customFormat="1" ht="23.1" customHeight="1">
      <c r="A37" s="3190" t="s">
        <v>3148</v>
      </c>
      <c r="B37" s="3190" t="s">
        <v>3077</v>
      </c>
      <c r="C37" s="3190" t="s">
        <v>3078</v>
      </c>
      <c r="D37" s="3190" t="s">
        <v>3079</v>
      </c>
      <c r="E37" s="3190" t="s">
        <v>2815</v>
      </c>
      <c r="F37" s="3190" t="s">
        <v>3148</v>
      </c>
      <c r="G37" s="3190" t="s">
        <v>3149</v>
      </c>
      <c r="H37" s="3190" t="s">
        <v>3198</v>
      </c>
      <c r="I37" s="3190" t="s">
        <v>3082</v>
      </c>
      <c r="J37" s="3190">
        <v>1856</v>
      </c>
      <c r="K37" s="3190">
        <v>3006.72</v>
      </c>
      <c r="L37" s="3190" t="s">
        <v>3199</v>
      </c>
      <c r="M37" s="3190" t="s">
        <v>2815</v>
      </c>
      <c r="N37" s="3190" t="s">
        <v>3200</v>
      </c>
      <c r="O37" s="3190" t="s">
        <v>2815</v>
      </c>
      <c r="P37" s="3190" t="s">
        <v>2815</v>
      </c>
      <c r="Q37" s="3190" t="s">
        <v>2815</v>
      </c>
      <c r="R37" s="3190" t="s">
        <v>2815</v>
      </c>
      <c r="S37" s="3190" t="s">
        <v>3144</v>
      </c>
      <c r="T37" s="3190" t="s">
        <v>3190</v>
      </c>
      <c r="U37" s="3190" t="s">
        <v>3191</v>
      </c>
      <c r="V37" s="3190" t="s">
        <v>3192</v>
      </c>
      <c r="W37" s="3190">
        <v>45</v>
      </c>
      <c r="X37" s="3190">
        <v>16.16</v>
      </c>
      <c r="Y37" s="3190">
        <v>149.65</v>
      </c>
      <c r="Z37" s="3190" t="s">
        <v>2815</v>
      </c>
      <c r="AA37" s="3190" t="s">
        <v>3089</v>
      </c>
      <c r="AB37" s="3190" t="s">
        <v>3090</v>
      </c>
    </row>
    <row r="38" spans="1:28" s="3190" customFormat="1" ht="23.1" customHeight="1">
      <c r="A38" s="3190" t="s">
        <v>3148</v>
      </c>
      <c r="B38" s="3190" t="s">
        <v>3077</v>
      </c>
      <c r="C38" s="3190" t="s">
        <v>3078</v>
      </c>
      <c r="D38" s="3190" t="s">
        <v>3079</v>
      </c>
      <c r="E38" s="3190" t="s">
        <v>2815</v>
      </c>
      <c r="F38" s="3190" t="s">
        <v>3148</v>
      </c>
      <c r="G38" s="3190" t="s">
        <v>3149</v>
      </c>
      <c r="H38" s="3190" t="s">
        <v>3201</v>
      </c>
      <c r="I38" s="3190" t="s">
        <v>3082</v>
      </c>
      <c r="J38" s="3190">
        <v>15213</v>
      </c>
      <c r="K38" s="3190">
        <v>18255.599999999999</v>
      </c>
      <c r="L38" s="3190" t="s">
        <v>3202</v>
      </c>
      <c r="M38" s="3190" t="s">
        <v>2815</v>
      </c>
      <c r="N38" s="3190" t="s">
        <v>3203</v>
      </c>
      <c r="O38" s="3190" t="s">
        <v>2815</v>
      </c>
      <c r="P38" s="3190" t="s">
        <v>2815</v>
      </c>
      <c r="Q38" s="3190" t="s">
        <v>2815</v>
      </c>
      <c r="R38" s="3190" t="s">
        <v>2815</v>
      </c>
      <c r="S38" s="3190" t="s">
        <v>3144</v>
      </c>
      <c r="T38" s="3190" t="s">
        <v>3190</v>
      </c>
      <c r="U38" s="3190" t="s">
        <v>3191</v>
      </c>
      <c r="V38" s="3190" t="s">
        <v>3192</v>
      </c>
      <c r="W38" s="3190">
        <v>350</v>
      </c>
      <c r="X38" s="3190">
        <v>15.34</v>
      </c>
      <c r="Y38" s="3190">
        <v>191.71</v>
      </c>
      <c r="Z38" s="3190" t="s">
        <v>2815</v>
      </c>
      <c r="AA38" s="3190" t="s">
        <v>3089</v>
      </c>
      <c r="AB38" s="3190" t="s">
        <v>3090</v>
      </c>
    </row>
    <row r="39" spans="1:28" s="3190" customFormat="1" ht="23.1" customHeight="1">
      <c r="A39" s="3190" t="s">
        <v>3204</v>
      </c>
      <c r="B39" s="3190" t="s">
        <v>3077</v>
      </c>
      <c r="C39" s="3190" t="s">
        <v>3078</v>
      </c>
      <c r="D39" s="3190" t="s">
        <v>3079</v>
      </c>
      <c r="E39" s="3190" t="s">
        <v>2815</v>
      </c>
      <c r="F39" s="3210" t="s">
        <v>3292</v>
      </c>
      <c r="G39" s="3190" t="s">
        <v>3149</v>
      </c>
      <c r="H39" s="3190" t="s">
        <v>3205</v>
      </c>
      <c r="I39" s="3190" t="s">
        <v>3082</v>
      </c>
      <c r="J39" s="3190">
        <v>67429</v>
      </c>
      <c r="K39" s="3190">
        <v>77543.350000000006</v>
      </c>
      <c r="L39" s="3190" t="s">
        <v>3206</v>
      </c>
      <c r="M39" s="3190" t="s">
        <v>2815</v>
      </c>
      <c r="N39" s="3190" t="s">
        <v>3207</v>
      </c>
      <c r="O39" s="3190" t="s">
        <v>2815</v>
      </c>
      <c r="P39" s="3190" t="s">
        <v>2815</v>
      </c>
      <c r="Q39" s="3190" t="s">
        <v>2815</v>
      </c>
      <c r="R39" s="3190" t="s">
        <v>2815</v>
      </c>
      <c r="S39" s="3190" t="s">
        <v>3144</v>
      </c>
      <c r="T39" s="3190" t="s">
        <v>3208</v>
      </c>
      <c r="U39" s="3190" t="s">
        <v>3209</v>
      </c>
      <c r="V39" s="3190" t="s">
        <v>3210</v>
      </c>
      <c r="W39" s="3190">
        <v>1005</v>
      </c>
      <c r="X39" s="3190">
        <v>9.94</v>
      </c>
      <c r="Y39" s="3190">
        <v>129.59</v>
      </c>
      <c r="Z39" s="3190" t="s">
        <v>2815</v>
      </c>
      <c r="AA39" s="3190" t="s">
        <v>3089</v>
      </c>
      <c r="AB39" s="3190" t="s">
        <v>3090</v>
      </c>
    </row>
    <row r="40" spans="1:28" s="3190" customFormat="1" ht="23.1" customHeight="1">
      <c r="A40" s="3190" t="s">
        <v>3204</v>
      </c>
      <c r="B40" s="3190" t="s">
        <v>3077</v>
      </c>
      <c r="C40" s="3190" t="s">
        <v>3078</v>
      </c>
      <c r="D40" s="3190" t="s">
        <v>3079</v>
      </c>
      <c r="E40" s="3190" t="s">
        <v>2815</v>
      </c>
      <c r="F40" s="3190" t="s">
        <v>3204</v>
      </c>
      <c r="G40" s="3190" t="s">
        <v>3149</v>
      </c>
      <c r="H40" s="3190" t="s">
        <v>3211</v>
      </c>
      <c r="I40" s="3190" t="s">
        <v>3082</v>
      </c>
      <c r="J40" s="3190">
        <v>39917</v>
      </c>
      <c r="K40" s="3190">
        <v>45904.55</v>
      </c>
      <c r="L40" s="3190" t="s">
        <v>3206</v>
      </c>
      <c r="M40" s="3190" t="s">
        <v>2815</v>
      </c>
      <c r="N40" s="3190" t="s">
        <v>3207</v>
      </c>
      <c r="O40" s="3190" t="s">
        <v>2815</v>
      </c>
      <c r="P40" s="3190" t="s">
        <v>2815</v>
      </c>
      <c r="Q40" s="3190" t="s">
        <v>2815</v>
      </c>
      <c r="R40" s="3190" t="s">
        <v>2815</v>
      </c>
      <c r="S40" s="3190" t="s">
        <v>3144</v>
      </c>
      <c r="T40" s="3190" t="s">
        <v>3208</v>
      </c>
      <c r="U40" s="3190" t="s">
        <v>3209</v>
      </c>
      <c r="V40" s="3190" t="s">
        <v>3210</v>
      </c>
      <c r="W40" s="3190">
        <v>595</v>
      </c>
      <c r="X40" s="3190">
        <v>9.94</v>
      </c>
      <c r="Y40" s="3190">
        <v>129.62</v>
      </c>
      <c r="Z40" s="3190" t="s">
        <v>2815</v>
      </c>
      <c r="AA40" s="3190" t="s">
        <v>3089</v>
      </c>
      <c r="AB40" s="3190" t="s">
        <v>3090</v>
      </c>
    </row>
    <row r="41" spans="1:28" s="3190" customFormat="1" ht="23.1" customHeight="1">
      <c r="A41" s="3190" t="s">
        <v>3204</v>
      </c>
      <c r="B41" s="3190" t="s">
        <v>3077</v>
      </c>
      <c r="C41" s="3190" t="s">
        <v>3078</v>
      </c>
      <c r="D41" s="3190" t="s">
        <v>3079</v>
      </c>
      <c r="E41" s="3190" t="s">
        <v>2815</v>
      </c>
      <c r="F41" s="3190" t="s">
        <v>3204</v>
      </c>
      <c r="G41" s="3190" t="s">
        <v>3149</v>
      </c>
      <c r="H41" s="3190" t="s">
        <v>3212</v>
      </c>
      <c r="I41" s="3190" t="s">
        <v>3082</v>
      </c>
      <c r="J41" s="3190">
        <v>64192</v>
      </c>
      <c r="K41" s="3190">
        <v>160480</v>
      </c>
      <c r="L41" s="3190" t="s">
        <v>3213</v>
      </c>
      <c r="M41" s="3190" t="s">
        <v>2815</v>
      </c>
      <c r="N41" s="3190" t="s">
        <v>3214</v>
      </c>
      <c r="O41" s="3190" t="s">
        <v>2815</v>
      </c>
      <c r="P41" s="3190" t="s">
        <v>2815</v>
      </c>
      <c r="Q41" s="3190" t="s">
        <v>2815</v>
      </c>
      <c r="R41" s="3190" t="s">
        <v>2815</v>
      </c>
      <c r="S41" s="3190" t="s">
        <v>3144</v>
      </c>
      <c r="T41" s="3190" t="s">
        <v>3208</v>
      </c>
      <c r="U41" s="3190" t="s">
        <v>3209</v>
      </c>
      <c r="V41" s="3190" t="s">
        <v>3210</v>
      </c>
      <c r="W41" s="3190">
        <v>990</v>
      </c>
      <c r="X41" s="3190">
        <v>10.28</v>
      </c>
      <c r="Y41" s="3190">
        <v>61.68</v>
      </c>
      <c r="Z41" s="3190" t="s">
        <v>2815</v>
      </c>
      <c r="AA41" s="3190" t="s">
        <v>3089</v>
      </c>
      <c r="AB41" s="3190" t="s">
        <v>3090</v>
      </c>
    </row>
    <row r="42" spans="1:28" s="3190" customFormat="1" ht="23.1" customHeight="1">
      <c r="A42" s="3190" t="s">
        <v>3204</v>
      </c>
      <c r="B42" s="3190" t="s">
        <v>3077</v>
      </c>
      <c r="C42" s="3190" t="s">
        <v>3078</v>
      </c>
      <c r="D42" s="3190" t="s">
        <v>3079</v>
      </c>
      <c r="E42" s="3190" t="s">
        <v>2815</v>
      </c>
      <c r="F42" s="3190" t="s">
        <v>3204</v>
      </c>
      <c r="G42" s="3190" t="s">
        <v>3149</v>
      </c>
      <c r="H42" s="3190" t="s">
        <v>3215</v>
      </c>
      <c r="I42" s="3190" t="s">
        <v>3082</v>
      </c>
      <c r="J42" s="3190">
        <v>25166</v>
      </c>
      <c r="K42" s="3190">
        <v>28940.9</v>
      </c>
      <c r="L42" s="3190" t="s">
        <v>3206</v>
      </c>
      <c r="M42" s="3190" t="s">
        <v>2815</v>
      </c>
      <c r="N42" s="3190" t="s">
        <v>3207</v>
      </c>
      <c r="O42" s="3190" t="s">
        <v>2815</v>
      </c>
      <c r="P42" s="3190" t="s">
        <v>2815</v>
      </c>
      <c r="Q42" s="3190" t="s">
        <v>2815</v>
      </c>
      <c r="R42" s="3190" t="s">
        <v>2815</v>
      </c>
      <c r="S42" s="3190" t="s">
        <v>3144</v>
      </c>
      <c r="T42" s="3190" t="s">
        <v>3208</v>
      </c>
      <c r="U42" s="3190" t="s">
        <v>3209</v>
      </c>
      <c r="V42" s="3190" t="s">
        <v>3210</v>
      </c>
      <c r="W42" s="3190">
        <v>375</v>
      </c>
      <c r="X42" s="3190">
        <v>9.93</v>
      </c>
      <c r="Y42" s="3190">
        <v>129.56</v>
      </c>
      <c r="Z42" s="3190" t="s">
        <v>2815</v>
      </c>
      <c r="AA42" s="3190" t="s">
        <v>3089</v>
      </c>
      <c r="AB42" s="3190" t="s">
        <v>3090</v>
      </c>
    </row>
    <row r="43" spans="1:28" s="3190" customFormat="1" ht="23.1" customHeight="1">
      <c r="A43" s="3190" t="s">
        <v>3204</v>
      </c>
      <c r="B43" s="3190" t="s">
        <v>3077</v>
      </c>
      <c r="C43" s="3190" t="s">
        <v>3078</v>
      </c>
      <c r="D43" s="3190" t="s">
        <v>3079</v>
      </c>
      <c r="E43" s="3190" t="s">
        <v>2815</v>
      </c>
      <c r="F43" s="3190" t="s">
        <v>3204</v>
      </c>
      <c r="G43" s="3190" t="s">
        <v>3149</v>
      </c>
      <c r="H43" s="3190" t="s">
        <v>3216</v>
      </c>
      <c r="I43" s="3190" t="s">
        <v>3082</v>
      </c>
      <c r="J43" s="3190">
        <v>57831</v>
      </c>
      <c r="K43" s="3190">
        <v>66505.649999999994</v>
      </c>
      <c r="L43" s="3190" t="s">
        <v>3206</v>
      </c>
      <c r="M43" s="3190" t="s">
        <v>2815</v>
      </c>
      <c r="N43" s="3190" t="s">
        <v>3207</v>
      </c>
      <c r="O43" s="3190" t="s">
        <v>2815</v>
      </c>
      <c r="P43" s="3190" t="s">
        <v>2815</v>
      </c>
      <c r="Q43" s="3190" t="s">
        <v>2815</v>
      </c>
      <c r="R43" s="3190" t="s">
        <v>2815</v>
      </c>
      <c r="S43" s="3190" t="s">
        <v>3144</v>
      </c>
      <c r="T43" s="3190" t="s">
        <v>3208</v>
      </c>
      <c r="U43" s="3190" t="s">
        <v>3209</v>
      </c>
      <c r="V43" s="3190" t="s">
        <v>3210</v>
      </c>
      <c r="W43" s="3190">
        <v>865</v>
      </c>
      <c r="X43" s="3190">
        <v>9.9700000000000006</v>
      </c>
      <c r="Y43" s="3190">
        <v>130.06</v>
      </c>
      <c r="Z43" s="3190" t="s">
        <v>2815</v>
      </c>
      <c r="AA43" s="3190" t="s">
        <v>3089</v>
      </c>
      <c r="AB43" s="3190" t="s">
        <v>3090</v>
      </c>
    </row>
    <row r="44" spans="1:28" s="3190" customFormat="1" ht="23.1" customHeight="1">
      <c r="A44" s="3190" t="s">
        <v>3204</v>
      </c>
      <c r="B44" s="3190" t="s">
        <v>3077</v>
      </c>
      <c r="C44" s="3190" t="s">
        <v>3078</v>
      </c>
      <c r="D44" s="3190" t="s">
        <v>3079</v>
      </c>
      <c r="E44" s="3190" t="s">
        <v>2815</v>
      </c>
      <c r="F44" s="3190" t="s">
        <v>3204</v>
      </c>
      <c r="G44" s="3190" t="s">
        <v>3149</v>
      </c>
      <c r="H44" s="3190" t="s">
        <v>3217</v>
      </c>
      <c r="I44" s="3190" t="s">
        <v>3082</v>
      </c>
      <c r="J44" s="3190">
        <v>66907</v>
      </c>
      <c r="K44" s="3190">
        <v>76943.05</v>
      </c>
      <c r="L44" s="3190" t="s">
        <v>3206</v>
      </c>
      <c r="M44" s="3190" t="s">
        <v>2815</v>
      </c>
      <c r="N44" s="3190" t="s">
        <v>3207</v>
      </c>
      <c r="O44" s="3190" t="s">
        <v>2815</v>
      </c>
      <c r="P44" s="3190" t="s">
        <v>2815</v>
      </c>
      <c r="Q44" s="3190" t="s">
        <v>2815</v>
      </c>
      <c r="R44" s="3190" t="s">
        <v>2815</v>
      </c>
      <c r="S44" s="3190" t="s">
        <v>3144</v>
      </c>
      <c r="T44" s="3190" t="s">
        <v>3208</v>
      </c>
      <c r="U44" s="3190" t="s">
        <v>3209</v>
      </c>
      <c r="V44" s="3190" t="s">
        <v>3210</v>
      </c>
      <c r="W44" s="3190">
        <v>998</v>
      </c>
      <c r="X44" s="3190">
        <v>9.94</v>
      </c>
      <c r="Y44" s="3190">
        <v>129.71</v>
      </c>
      <c r="Z44" s="3190" t="s">
        <v>2815</v>
      </c>
      <c r="AA44" s="3190" t="s">
        <v>3089</v>
      </c>
      <c r="AB44" s="3190" t="s">
        <v>3090</v>
      </c>
    </row>
    <row r="45" spans="1:28" s="3190" customFormat="1" ht="23.1" customHeight="1">
      <c r="A45" s="3190" t="s">
        <v>3204</v>
      </c>
      <c r="B45" s="3190" t="s">
        <v>3077</v>
      </c>
      <c r="C45" s="3190" t="s">
        <v>3078</v>
      </c>
      <c r="D45" s="3190" t="s">
        <v>3079</v>
      </c>
      <c r="E45" s="3190" t="s">
        <v>2815</v>
      </c>
      <c r="F45" s="3190" t="s">
        <v>3204</v>
      </c>
      <c r="G45" s="3190" t="s">
        <v>3149</v>
      </c>
      <c r="H45" s="3190" t="s">
        <v>3218</v>
      </c>
      <c r="I45" s="3190" t="s">
        <v>3082</v>
      </c>
      <c r="J45" s="3190">
        <v>68044</v>
      </c>
      <c r="K45" s="3190">
        <v>78250.600000000006</v>
      </c>
      <c r="L45" s="3190" t="s">
        <v>3206</v>
      </c>
      <c r="M45" s="3190" t="s">
        <v>2815</v>
      </c>
      <c r="N45" s="3190" t="s">
        <v>3207</v>
      </c>
      <c r="O45" s="3190" t="s">
        <v>2815</v>
      </c>
      <c r="P45" s="3190" t="s">
        <v>2815</v>
      </c>
      <c r="Q45" s="3190" t="s">
        <v>2815</v>
      </c>
      <c r="R45" s="3190" t="s">
        <v>2815</v>
      </c>
      <c r="S45" s="3190" t="s">
        <v>3144</v>
      </c>
      <c r="T45" s="3190" t="s">
        <v>3208</v>
      </c>
      <c r="U45" s="3190" t="s">
        <v>3209</v>
      </c>
      <c r="V45" s="3190" t="s">
        <v>3210</v>
      </c>
      <c r="W45" s="3190">
        <v>1015</v>
      </c>
      <c r="X45" s="3190">
        <v>9.94</v>
      </c>
      <c r="Y45" s="3190">
        <v>129.71</v>
      </c>
      <c r="Z45" s="3190" t="s">
        <v>2815</v>
      </c>
      <c r="AA45" s="3190" t="s">
        <v>3089</v>
      </c>
      <c r="AB45" s="3190" t="s">
        <v>3090</v>
      </c>
    </row>
    <row r="46" spans="1:28" s="3190" customFormat="1" ht="23.1" customHeight="1">
      <c r="A46" s="3190" t="s">
        <v>3204</v>
      </c>
      <c r="B46" s="3190" t="s">
        <v>3077</v>
      </c>
      <c r="C46" s="3190" t="s">
        <v>3078</v>
      </c>
      <c r="D46" s="3190" t="s">
        <v>3079</v>
      </c>
      <c r="E46" s="3190" t="s">
        <v>2815</v>
      </c>
      <c r="F46" s="3190" t="s">
        <v>3204</v>
      </c>
      <c r="G46" s="3190" t="s">
        <v>3149</v>
      </c>
      <c r="H46" s="3190" t="s">
        <v>3219</v>
      </c>
      <c r="I46" s="3190" t="s">
        <v>3082</v>
      </c>
      <c r="J46" s="3190">
        <v>54738</v>
      </c>
      <c r="K46" s="3190">
        <v>62948.7</v>
      </c>
      <c r="L46" s="3190" t="s">
        <v>3206</v>
      </c>
      <c r="M46" s="3190" t="s">
        <v>2815</v>
      </c>
      <c r="N46" s="3190" t="s">
        <v>3207</v>
      </c>
      <c r="O46" s="3190" t="s">
        <v>2815</v>
      </c>
      <c r="P46" s="3190" t="s">
        <v>2815</v>
      </c>
      <c r="Q46" s="3190" t="s">
        <v>2815</v>
      </c>
      <c r="R46" s="3190" t="s">
        <v>2815</v>
      </c>
      <c r="S46" s="3190" t="s">
        <v>3144</v>
      </c>
      <c r="T46" s="3190" t="s">
        <v>3208</v>
      </c>
      <c r="U46" s="3190" t="s">
        <v>3209</v>
      </c>
      <c r="V46" s="3190" t="s">
        <v>3210</v>
      </c>
      <c r="W46" s="3190">
        <v>815</v>
      </c>
      <c r="X46" s="3190">
        <v>9.93</v>
      </c>
      <c r="Y46" s="3190">
        <v>129.46</v>
      </c>
      <c r="Z46" s="3190" t="s">
        <v>2815</v>
      </c>
      <c r="AA46" s="3190" t="s">
        <v>3089</v>
      </c>
      <c r="AB46" s="3190" t="s">
        <v>3090</v>
      </c>
    </row>
    <row r="47" spans="1:28" s="3190" customFormat="1" ht="23.1" customHeight="1">
      <c r="A47" s="3190" t="s">
        <v>3204</v>
      </c>
      <c r="B47" s="3190" t="s">
        <v>3077</v>
      </c>
      <c r="C47" s="3190" t="s">
        <v>3078</v>
      </c>
      <c r="D47" s="3190" t="s">
        <v>3079</v>
      </c>
      <c r="E47" s="3190" t="s">
        <v>2815</v>
      </c>
      <c r="F47" s="3190" t="s">
        <v>3204</v>
      </c>
      <c r="G47" s="3190" t="s">
        <v>3149</v>
      </c>
      <c r="H47" s="3190" t="s">
        <v>3220</v>
      </c>
      <c r="I47" s="3190" t="s">
        <v>3082</v>
      </c>
      <c r="J47" s="3190">
        <v>62850</v>
      </c>
      <c r="K47" s="3190">
        <v>72277.5</v>
      </c>
      <c r="L47" s="3190" t="s">
        <v>3206</v>
      </c>
      <c r="M47" s="3190" t="s">
        <v>2815</v>
      </c>
      <c r="N47" s="3190" t="s">
        <v>3207</v>
      </c>
      <c r="O47" s="3190" t="s">
        <v>2815</v>
      </c>
      <c r="P47" s="3190" t="s">
        <v>2815</v>
      </c>
      <c r="Q47" s="3190" t="s">
        <v>2815</v>
      </c>
      <c r="R47" s="3190" t="s">
        <v>2815</v>
      </c>
      <c r="S47" s="3190" t="s">
        <v>3144</v>
      </c>
      <c r="T47" s="3190" t="s">
        <v>3208</v>
      </c>
      <c r="U47" s="3190" t="s">
        <v>3209</v>
      </c>
      <c r="V47" s="3190" t="s">
        <v>3210</v>
      </c>
      <c r="W47" s="3190">
        <v>935</v>
      </c>
      <c r="X47" s="3190">
        <v>9.92</v>
      </c>
      <c r="Y47" s="3190">
        <v>129.36000000000001</v>
      </c>
      <c r="Z47" s="3190" t="s">
        <v>2815</v>
      </c>
      <c r="AA47" s="3190" t="s">
        <v>3089</v>
      </c>
      <c r="AB47" s="3190" t="s">
        <v>3090</v>
      </c>
    </row>
    <row r="48" spans="1:28" s="3190" customFormat="1" ht="23.1" customHeight="1">
      <c r="A48" s="3190" t="s">
        <v>3204</v>
      </c>
      <c r="B48" s="3190" t="s">
        <v>3077</v>
      </c>
      <c r="C48" s="3190" t="s">
        <v>3078</v>
      </c>
      <c r="D48" s="3190" t="s">
        <v>3079</v>
      </c>
      <c r="E48" s="3190" t="s">
        <v>2815</v>
      </c>
      <c r="F48" s="3190" t="s">
        <v>3204</v>
      </c>
      <c r="G48" s="3190" t="s">
        <v>3149</v>
      </c>
      <c r="H48" s="3190" t="s">
        <v>3221</v>
      </c>
      <c r="I48" s="3190" t="s">
        <v>3082</v>
      </c>
      <c r="J48" s="3190">
        <v>58143</v>
      </c>
      <c r="K48" s="3190">
        <v>66864.45</v>
      </c>
      <c r="L48" s="3190" t="s">
        <v>3206</v>
      </c>
      <c r="M48" s="3190" t="s">
        <v>2815</v>
      </c>
      <c r="N48" s="3190" t="s">
        <v>3207</v>
      </c>
      <c r="O48" s="3190" t="s">
        <v>2815</v>
      </c>
      <c r="P48" s="3190" t="s">
        <v>2815</v>
      </c>
      <c r="Q48" s="3190" t="s">
        <v>2815</v>
      </c>
      <c r="R48" s="3190" t="s">
        <v>2815</v>
      </c>
      <c r="S48" s="3190" t="s">
        <v>3144</v>
      </c>
      <c r="T48" s="3190" t="s">
        <v>3208</v>
      </c>
      <c r="U48" s="3190" t="s">
        <v>3209</v>
      </c>
      <c r="V48" s="3190" t="s">
        <v>3210</v>
      </c>
      <c r="W48" s="3190">
        <v>865</v>
      </c>
      <c r="X48" s="3190">
        <v>9.92</v>
      </c>
      <c r="Y48" s="3190">
        <v>129.37</v>
      </c>
      <c r="Z48" s="3190" t="s">
        <v>2815</v>
      </c>
      <c r="AA48" s="3190" t="s">
        <v>3089</v>
      </c>
      <c r="AB48" s="3190" t="s">
        <v>3090</v>
      </c>
    </row>
    <row r="49" spans="1:28" s="3190" customFormat="1" ht="23.1" customHeight="1">
      <c r="A49" s="3190" t="s">
        <v>3204</v>
      </c>
      <c r="B49" s="3190" t="s">
        <v>3077</v>
      </c>
      <c r="C49" s="3190" t="s">
        <v>3078</v>
      </c>
      <c r="D49" s="3190" t="s">
        <v>3079</v>
      </c>
      <c r="E49" s="3190" t="s">
        <v>2815</v>
      </c>
      <c r="F49" s="3190" t="s">
        <v>3204</v>
      </c>
      <c r="G49" s="3190" t="s">
        <v>3149</v>
      </c>
      <c r="H49" s="3190" t="s">
        <v>3222</v>
      </c>
      <c r="I49" s="3190" t="s">
        <v>3082</v>
      </c>
      <c r="J49" s="3190">
        <v>62183</v>
      </c>
      <c r="K49" s="3190">
        <v>71510.45</v>
      </c>
      <c r="L49" s="3190" t="s">
        <v>3206</v>
      </c>
      <c r="M49" s="3190" t="s">
        <v>2815</v>
      </c>
      <c r="N49" s="3190" t="s">
        <v>3207</v>
      </c>
      <c r="O49" s="3190" t="s">
        <v>2815</v>
      </c>
      <c r="P49" s="3190" t="s">
        <v>2815</v>
      </c>
      <c r="Q49" s="3190" t="s">
        <v>2815</v>
      </c>
      <c r="R49" s="3190" t="s">
        <v>2815</v>
      </c>
      <c r="S49" s="3190" t="s">
        <v>3144</v>
      </c>
      <c r="T49" s="3190" t="s">
        <v>3208</v>
      </c>
      <c r="U49" s="3190" t="s">
        <v>3209</v>
      </c>
      <c r="V49" s="3190" t="s">
        <v>3210</v>
      </c>
      <c r="W49" s="3190">
        <v>928</v>
      </c>
      <c r="X49" s="3190">
        <v>9.9499999999999993</v>
      </c>
      <c r="Y49" s="3190">
        <v>129.77000000000001</v>
      </c>
      <c r="Z49" s="3190" t="s">
        <v>2815</v>
      </c>
      <c r="AA49" s="3190" t="s">
        <v>3089</v>
      </c>
      <c r="AB49" s="3190" t="s">
        <v>3090</v>
      </c>
    </row>
    <row r="50" spans="1:28" s="3190" customFormat="1" ht="23.1" customHeight="1">
      <c r="A50" s="3190" t="s">
        <v>3204</v>
      </c>
      <c r="B50" s="3190" t="s">
        <v>3077</v>
      </c>
      <c r="C50" s="3190" t="s">
        <v>3078</v>
      </c>
      <c r="D50" s="3190" t="s">
        <v>3079</v>
      </c>
      <c r="E50" s="3190" t="s">
        <v>2815</v>
      </c>
      <c r="F50" s="3190" t="s">
        <v>3204</v>
      </c>
      <c r="G50" s="3190" t="s">
        <v>3149</v>
      </c>
      <c r="H50" s="3190" t="s">
        <v>3223</v>
      </c>
      <c r="I50" s="3190" t="s">
        <v>3082</v>
      </c>
      <c r="J50" s="3190">
        <v>44587</v>
      </c>
      <c r="K50" s="3190">
        <v>111467.5</v>
      </c>
      <c r="L50" s="3190" t="s">
        <v>3213</v>
      </c>
      <c r="M50" s="3190" t="s">
        <v>2815</v>
      </c>
      <c r="N50" s="3190" t="s">
        <v>3214</v>
      </c>
      <c r="O50" s="3190" t="s">
        <v>2815</v>
      </c>
      <c r="P50" s="3190" t="s">
        <v>2815</v>
      </c>
      <c r="Q50" s="3190" t="s">
        <v>2815</v>
      </c>
      <c r="R50" s="3190" t="s">
        <v>2815</v>
      </c>
      <c r="S50" s="3190" t="s">
        <v>3144</v>
      </c>
      <c r="T50" s="3190" t="s">
        <v>3208</v>
      </c>
      <c r="U50" s="3190" t="s">
        <v>3209</v>
      </c>
      <c r="V50" s="3190" t="s">
        <v>3210</v>
      </c>
      <c r="W50" s="3190">
        <v>688</v>
      </c>
      <c r="X50" s="3190">
        <v>10.29</v>
      </c>
      <c r="Y50" s="3190">
        <v>61.71</v>
      </c>
      <c r="Z50" s="3190" t="s">
        <v>2815</v>
      </c>
      <c r="AA50" s="3190" t="s">
        <v>3089</v>
      </c>
      <c r="AB50" s="3190" t="s">
        <v>3090</v>
      </c>
    </row>
    <row r="51" spans="1:28" s="3190" customFormat="1" ht="23.1" customHeight="1">
      <c r="A51" s="3190" t="s">
        <v>3204</v>
      </c>
      <c r="B51" s="3190" t="s">
        <v>3077</v>
      </c>
      <c r="C51" s="3190" t="s">
        <v>3078</v>
      </c>
      <c r="D51" s="3190" t="s">
        <v>3079</v>
      </c>
      <c r="E51" s="3190" t="s">
        <v>2815</v>
      </c>
      <c r="F51" s="3190" t="s">
        <v>3204</v>
      </c>
      <c r="G51" s="3190" t="s">
        <v>3149</v>
      </c>
      <c r="H51" s="3190" t="s">
        <v>3224</v>
      </c>
      <c r="I51" s="3190" t="s">
        <v>3082</v>
      </c>
      <c r="J51" s="3190">
        <v>69920</v>
      </c>
      <c r="K51" s="3190">
        <v>80408</v>
      </c>
      <c r="L51" s="3190" t="s">
        <v>3206</v>
      </c>
      <c r="M51" s="3190" t="s">
        <v>2815</v>
      </c>
      <c r="N51" s="3190" t="s">
        <v>3207</v>
      </c>
      <c r="O51" s="3190" t="s">
        <v>2815</v>
      </c>
      <c r="P51" s="3190" t="s">
        <v>2815</v>
      </c>
      <c r="Q51" s="3190" t="s">
        <v>2815</v>
      </c>
      <c r="R51" s="3190" t="s">
        <v>2815</v>
      </c>
      <c r="S51" s="3190" t="s">
        <v>3144</v>
      </c>
      <c r="T51" s="3190" t="s">
        <v>3208</v>
      </c>
      <c r="U51" s="3190" t="s">
        <v>3209</v>
      </c>
      <c r="V51" s="3190" t="s">
        <v>3210</v>
      </c>
      <c r="W51" s="3190">
        <v>1045</v>
      </c>
      <c r="X51" s="3190">
        <v>9.9600000000000009</v>
      </c>
      <c r="Y51" s="3190">
        <v>129.96</v>
      </c>
      <c r="Z51" s="3190" t="s">
        <v>2815</v>
      </c>
      <c r="AA51" s="3190" t="s">
        <v>3089</v>
      </c>
      <c r="AB51" s="3190" t="s">
        <v>3090</v>
      </c>
    </row>
  </sheetData>
  <phoneticPr fontId="228"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zoomScale="70" zoomScaleNormal="70" workbookViewId="0">
      <selection activeCell="V103" sqref="V103"/>
    </sheetView>
  </sheetViews>
  <sheetFormatPr defaultRowHeight="13.5"/>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G25" sqref="G25"/>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0">
        <f>MATCH(B1,'数据-取费表'!A6:A16,0)+5</f>
        <v>7</v>
      </c>
    </row>
    <row r="2" spans="1:31" s="2025" customFormat="1" ht="18" customHeight="1">
      <c r="A2" s="2085" t="s">
        <v>467</v>
      </c>
      <c r="B2" s="2089">
        <f ca="1">C36</f>
        <v>9720</v>
      </c>
      <c r="C2" s="2088"/>
      <c r="D2" s="2088"/>
      <c r="E2" s="2088"/>
      <c r="F2" s="2088"/>
      <c r="G2" s="2088"/>
      <c r="H2" s="2088"/>
      <c r="I2" s="2088"/>
      <c r="J2" s="2088"/>
      <c r="K2" s="2088"/>
    </row>
    <row r="3" spans="1:31" s="2025" customFormat="1" ht="18" customHeight="1">
      <c r="A3" s="2090" t="s">
        <v>1684</v>
      </c>
      <c r="B3" s="2091">
        <f ca="1">ROUND(B2*10000/IF(B1="",'数据-汇总表'!E3,INDIRECT("'数据-取费表'!K"&amp;$K$1)),0)</f>
        <v>2627</v>
      </c>
      <c r="C3" s="2088"/>
      <c r="D3" s="2088"/>
      <c r="E3" s="2088"/>
      <c r="F3" s="2088"/>
      <c r="G3" s="2088"/>
      <c r="H3" s="2088"/>
      <c r="I3" s="2088"/>
      <c r="J3" s="2088"/>
      <c r="K3" s="2088"/>
    </row>
    <row r="4" spans="1:31" s="2025" customFormat="1" ht="18" customHeight="1">
      <c r="A4" s="424" t="s">
        <v>468</v>
      </c>
      <c r="B4" s="425">
        <f ca="1">ROUND(B2*10000/IF(B1="",'数据-汇总表'!D3,INDIRECT("'数据-取费表'!R"&amp;$K$1)),0)</f>
        <v>2627</v>
      </c>
      <c r="C4" s="426"/>
      <c r="D4" s="420"/>
      <c r="E4" s="420"/>
      <c r="F4" s="420"/>
      <c r="G4" s="420"/>
      <c r="H4" s="420"/>
      <c r="I4" s="420"/>
      <c r="J4" s="420"/>
      <c r="K4" s="420"/>
    </row>
    <row r="5" spans="1:31" s="2025" customFormat="1" ht="18" customHeight="1" thickBot="1">
      <c r="A5" s="427"/>
      <c r="B5" s="428">
        <f ca="1">ROUND(B2/(IF(B1="",'数据-汇总表'!D3,INDIRECT("'数据-取费表'!R"&amp;$K$1))/666.67),0)</f>
        <v>175</v>
      </c>
      <c r="C5" s="429" t="s">
        <v>469</v>
      </c>
      <c r="D5" s="420"/>
      <c r="E5" s="420"/>
      <c r="F5" s="420"/>
      <c r="G5" s="420"/>
      <c r="H5" s="420"/>
      <c r="I5" s="420"/>
      <c r="J5" s="420"/>
      <c r="K5" s="420"/>
    </row>
    <row r="6" spans="1:31" s="2095" customFormat="1" ht="16.5" customHeight="1">
      <c r="A6" s="2782" t="s">
        <v>1842</v>
      </c>
      <c r="B6" s="2783"/>
      <c r="C6" s="2784">
        <f>SUM(C10:K10)</f>
        <v>50035</v>
      </c>
      <c r="D6" s="2783"/>
      <c r="E6" s="2783"/>
      <c r="F6" s="2783"/>
      <c r="G6" s="2783"/>
      <c r="H6" s="2783"/>
      <c r="I6" s="2783"/>
      <c r="J6" s="2783"/>
      <c r="K6" s="2785"/>
    </row>
    <row r="7" spans="1:31" s="2097" customFormat="1" ht="15">
      <c r="A7" s="2786" t="s">
        <v>470</v>
      </c>
      <c r="B7" s="2787"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 (2)'!B3</f>
        <v>13522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37003</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 (2)'!B2</f>
        <v>50035</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15726</v>
      </c>
      <c r="D13" s="2798"/>
      <c r="E13" s="2799"/>
      <c r="F13" s="2800"/>
      <c r="G13" s="2766"/>
      <c r="H13" s="2767"/>
      <c r="I13" s="2767"/>
      <c r="J13" s="2767"/>
      <c r="K13" s="2768"/>
    </row>
    <row r="14" spans="1:31" s="2100" customFormat="1" ht="13.5" customHeight="1">
      <c r="A14" s="2796" t="s">
        <v>1849</v>
      </c>
      <c r="B14" s="2797" t="s">
        <v>480</v>
      </c>
      <c r="C14" s="53">
        <f ca="1">ROUND(C13*F14,0)</f>
        <v>786</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1573</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740</v>
      </c>
      <c r="D16" s="2798">
        <f ca="1">IF(B1="",'数据-汇总表'!E3,INDIRECT("'数据-取费表'!K"&amp;$K$1)+INDIRECT("'数据-取费表'!S"&amp;$K$1))</f>
        <v>37003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2595</v>
      </c>
      <c r="D17" s="473"/>
      <c r="E17" s="2802"/>
      <c r="F17" s="2803">
        <f>'数据-取费表'!B36</f>
        <v>0.16500000000000001</v>
      </c>
      <c r="G17" s="259" t="s">
        <v>486</v>
      </c>
      <c r="H17" s="2769"/>
      <c r="I17" s="2769"/>
      <c r="J17" s="2769"/>
      <c r="K17" s="277"/>
    </row>
    <row r="18" spans="1:14" s="2100" customFormat="1" ht="13.5" customHeight="1">
      <c r="A18" s="2804" t="s">
        <v>1853</v>
      </c>
      <c r="B18" s="2805" t="s">
        <v>487</v>
      </c>
      <c r="C18" s="2806">
        <f ca="1">SUM(C13:C17)</f>
        <v>21420</v>
      </c>
      <c r="D18" s="2807"/>
      <c r="E18" s="466"/>
      <c r="F18" s="466"/>
      <c r="G18" s="2770" t="s">
        <v>2428</v>
      </c>
      <c r="H18" s="2771"/>
      <c r="I18" s="2771"/>
      <c r="J18" s="2771"/>
      <c r="K18" s="2772"/>
    </row>
    <row r="19" spans="1:14" s="2100" customFormat="1" ht="13.5" customHeight="1">
      <c r="A19" s="2804" t="s">
        <v>1854</v>
      </c>
      <c r="B19" s="2805" t="s">
        <v>488</v>
      </c>
      <c r="C19" s="2762">
        <f ca="1">ROUND(D19*E19/10000,0)</f>
        <v>555</v>
      </c>
      <c r="D19" s="2808">
        <f ca="1">D16</f>
        <v>37003</v>
      </c>
      <c r="E19" s="2762">
        <f>'数据-取费表'!B32</f>
        <v>150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444</v>
      </c>
      <c r="D20" s="2808"/>
      <c r="E20" s="2762"/>
      <c r="F20" s="2809"/>
      <c r="G20" s="3039"/>
      <c r="H20" s="2764"/>
      <c r="I20" s="2765" t="s">
        <v>2648</v>
      </c>
      <c r="J20" s="2771"/>
      <c r="K20" s="2772"/>
    </row>
    <row r="21" spans="1:14" s="2100" customFormat="1" ht="13.5" customHeight="1">
      <c r="A21" s="2796" t="s">
        <v>1856</v>
      </c>
      <c r="B21" s="2797" t="s">
        <v>491</v>
      </c>
      <c r="C21" s="53">
        <f ca="1">ROUND(D21*E21/10000,0)</f>
        <v>444</v>
      </c>
      <c r="D21" s="2798">
        <f ca="1">IF(B1="",'数据-汇总表'!E5,IF(INDIRECT("'数据-取费表'!c"&amp;$K$1)="住宅",INDIRECT("'数据-取费表'!k"&amp;$K$1),0))</f>
        <v>37003</v>
      </c>
      <c r="E21" s="53">
        <f>'数据-取费表'!B27</f>
        <v>120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160</v>
      </c>
      <c r="F22" s="2801"/>
      <c r="G22" s="26"/>
      <c r="H22" s="51"/>
      <c r="I22" s="51"/>
      <c r="J22" s="51"/>
      <c r="K22" s="2773"/>
    </row>
    <row r="23" spans="1:14" s="2100" customFormat="1" ht="13.5" customHeight="1">
      <c r="A23" s="2804" t="s">
        <v>1858</v>
      </c>
      <c r="B23" s="2986" t="s">
        <v>2831</v>
      </c>
      <c r="C23" s="2806">
        <f ca="1">ROUND((C18+C19+C20)*F23,0)</f>
        <v>448</v>
      </c>
      <c r="D23" s="466"/>
      <c r="E23" s="466"/>
      <c r="F23" s="2810">
        <f>'数据-取费表'!B37</f>
        <v>0.02</v>
      </c>
      <c r="G23" s="2766" t="s">
        <v>2429</v>
      </c>
      <c r="H23" s="2767"/>
      <c r="I23" s="2767"/>
      <c r="J23" s="2767"/>
      <c r="K23" s="2768"/>
      <c r="L23" s="2102"/>
      <c r="M23" s="2102"/>
      <c r="N23" s="2102"/>
    </row>
    <row r="24" spans="1:14" s="2100" customFormat="1" ht="13.5" customHeight="1">
      <c r="A24" s="2804" t="s">
        <v>1859</v>
      </c>
      <c r="B24" s="2986" t="s">
        <v>2834</v>
      </c>
      <c r="C24" s="2806">
        <f>ROUND(C6*F24,0)</f>
        <v>1501</v>
      </c>
      <c r="D24" s="473"/>
      <c r="E24" s="471"/>
      <c r="F24" s="2810">
        <f>'数据-取费表'!B38</f>
        <v>0.03</v>
      </c>
      <c r="G24" s="2775" t="s">
        <v>499</v>
      </c>
      <c r="H24" s="2769"/>
      <c r="I24" s="2769"/>
      <c r="J24" s="2769"/>
      <c r="K24" s="277"/>
      <c r="L24" s="2102"/>
      <c r="M24" s="2102"/>
      <c r="N24" s="2102"/>
    </row>
    <row r="25" spans="1:14" s="2103" customFormat="1" ht="13.5" customHeight="1">
      <c r="A25" s="2804" t="s">
        <v>1860</v>
      </c>
      <c r="B25" s="2986" t="s">
        <v>2832</v>
      </c>
      <c r="C25" s="465">
        <f>ROUND(F25/(1+'数据-取费表'!C42),4)</f>
        <v>2.9000000000000001E-2</v>
      </c>
      <c r="D25" s="460" t="s">
        <v>2826</v>
      </c>
      <c r="E25" s="467"/>
      <c r="F25" s="2810">
        <f>'数据-取费表'!B48+'数据-取费表'!B49</f>
        <v>3.0499999999999999E-2</v>
      </c>
      <c r="G25" s="2774" t="s">
        <v>2287</v>
      </c>
      <c r="H25" s="2767"/>
      <c r="I25" s="2767"/>
      <c r="J25" s="2767"/>
      <c r="K25" s="2768"/>
    </row>
    <row r="26" spans="1:14" s="2102" customFormat="1" ht="13.5" customHeight="1">
      <c r="A26" s="2804" t="s">
        <v>1861</v>
      </c>
      <c r="B26" s="2987" t="s">
        <v>2833</v>
      </c>
      <c r="C26" s="2811">
        <f ca="1">C28</f>
        <v>1455</v>
      </c>
      <c r="D26" s="465">
        <f ca="1">C27</f>
        <v>0.12659999999999999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0.12659999999999999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2835</v>
      </c>
      <c r="C28" s="2814">
        <f ca="1">ROUND(IF('数据-取费表'!B22&lt;=1,(C18+C19+C20+C23+C24)*F26*'数据-取费表'!B24/2,(C18+C19+C20+C23+C24)*(POWER((1+F26),'数据-取费表'!B24/2)-1)),0)</f>
        <v>1455</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ROUND(C6*F29/(1+'数据-取费表'!C42),0)</f>
        <v>2669</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28492</v>
      </c>
      <c r="D30" s="475">
        <f ca="1">C32</f>
        <v>0.15559999999999999</v>
      </c>
      <c r="E30" s="467" t="s">
        <v>495</v>
      </c>
      <c r="F30" s="469"/>
      <c r="G30" s="2774" t="s">
        <v>2967</v>
      </c>
      <c r="H30" s="2767"/>
      <c r="I30" s="2767"/>
      <c r="J30" s="2767"/>
      <c r="K30" s="2768"/>
    </row>
    <row r="31" spans="1:14" s="2104" customFormat="1" ht="13.5" customHeight="1">
      <c r="A31" s="801" t="s">
        <v>1856</v>
      </c>
      <c r="B31" s="2812"/>
      <c r="C31" s="448">
        <f ca="1">C18+C19+C20+C23+C24+C26+C29</f>
        <v>28492</v>
      </c>
      <c r="D31" s="470"/>
      <c r="E31" s="471"/>
      <c r="F31" s="472"/>
      <c r="G31" s="259"/>
      <c r="H31" s="2769"/>
      <c r="I31" s="2769"/>
      <c r="J31" s="2769"/>
      <c r="K31" s="277"/>
    </row>
    <row r="32" spans="1:14" s="2104" customFormat="1" ht="13.5" customHeight="1">
      <c r="A32" s="801" t="s">
        <v>1857</v>
      </c>
      <c r="B32" s="2812"/>
      <c r="C32" s="53">
        <f ca="1">ROUND(C25+D26,4)</f>
        <v>0.15559999999999999</v>
      </c>
      <c r="D32" s="470"/>
      <c r="E32" s="471"/>
      <c r="F32" s="472"/>
      <c r="G32" s="259"/>
      <c r="H32" s="2769"/>
      <c r="I32" s="2769"/>
      <c r="J32" s="2769"/>
      <c r="K32" s="277"/>
    </row>
    <row r="33" spans="1:11" s="2106" customFormat="1" ht="13.5" customHeight="1">
      <c r="A33" s="2985" t="s">
        <v>2830</v>
      </c>
      <c r="B33" s="2983" t="s">
        <v>2828</v>
      </c>
      <c r="C33" s="476">
        <f ca="1">C35</f>
        <v>7310</v>
      </c>
      <c r="D33" s="465">
        <f ca="1">C34</f>
        <v>0.30869999999999997</v>
      </c>
      <c r="E33" s="467" t="s">
        <v>495</v>
      </c>
      <c r="F33" s="477">
        <f ca="1">IF(B1="",'数据-取费表'!Q16,INDIRECT("'数据-取费表'!q"&amp;$K$1))</f>
        <v>0.3</v>
      </c>
      <c r="G33" s="2770"/>
      <c r="H33" s="2771"/>
      <c r="I33" s="2771"/>
      <c r="J33" s="2771"/>
      <c r="K33" s="2772"/>
    </row>
    <row r="34" spans="1:11" s="2107" customFormat="1" ht="13.5" customHeight="1">
      <c r="A34" s="373" t="s">
        <v>1856</v>
      </c>
      <c r="B34" s="2817" t="s">
        <v>501</v>
      </c>
      <c r="C34" s="470">
        <f ca="1">ROUND((1+C25)*F33,4)</f>
        <v>0.30869999999999997</v>
      </c>
      <c r="D34" s="470"/>
      <c r="E34" s="471"/>
      <c r="F34" s="478"/>
      <c r="G34" s="259" t="s">
        <v>2288</v>
      </c>
      <c r="H34" s="2769"/>
      <c r="I34" s="2769"/>
      <c r="J34" s="2769"/>
      <c r="K34" s="277"/>
    </row>
    <row r="35" spans="1:11" s="2107" customFormat="1" ht="13.5" customHeight="1" thickBot="1">
      <c r="A35" s="1620" t="s">
        <v>1857</v>
      </c>
      <c r="B35" s="2984" t="s">
        <v>2836</v>
      </c>
      <c r="C35" s="1612">
        <f ca="1">ROUND((C18+C19+C20+C23+C24)*F33,0)</f>
        <v>7310</v>
      </c>
      <c r="D35" s="1613"/>
      <c r="E35" s="2818"/>
      <c r="F35" s="1614"/>
      <c r="G35" s="2776"/>
      <c r="H35" s="2777"/>
      <c r="I35" s="2777"/>
      <c r="J35" s="2777"/>
      <c r="K35" s="2778"/>
    </row>
    <row r="36" spans="1:11" s="2069" customFormat="1" ht="13.5" customHeight="1" thickBot="1">
      <c r="A36" s="282" t="s">
        <v>1844</v>
      </c>
      <c r="B36" s="2780"/>
      <c r="C36" s="2819">
        <f ca="1">ROUND((C6-C30-C33)/(1+D30+D33),0)</f>
        <v>9720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4" zoomScale="80" zoomScaleNormal="80" zoomScalePageLayoutView="80" workbookViewId="0">
      <selection activeCell="J57" sqref="J57"/>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2999</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38997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10539</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3" t="s">
        <v>522</v>
      </c>
      <c r="D4" s="3414"/>
      <c r="E4" s="3415" t="s">
        <v>523</v>
      </c>
      <c r="F4" s="3416"/>
      <c r="G4" s="3413" t="s">
        <v>524</v>
      </c>
      <c r="H4" s="3414"/>
      <c r="I4" s="3413" t="s">
        <v>525</v>
      </c>
      <c r="J4" s="3414"/>
      <c r="K4" s="851" t="s">
        <v>526</v>
      </c>
      <c r="L4" s="2117"/>
      <c r="M4" s="2118"/>
      <c r="N4" s="2118"/>
      <c r="O4" s="2118"/>
      <c r="P4" s="3417" t="s">
        <v>527</v>
      </c>
      <c r="Q4" s="3418"/>
      <c r="R4" s="3423" t="s">
        <v>523</v>
      </c>
      <c r="S4" s="3424"/>
      <c r="T4" s="3423" t="s">
        <v>524</v>
      </c>
      <c r="U4" s="3424"/>
      <c r="V4" s="3403" t="s">
        <v>525</v>
      </c>
      <c r="W4" s="3403"/>
      <c r="X4" s="1552"/>
      <c r="Y4" s="3423" t="s">
        <v>527</v>
      </c>
      <c r="Z4" s="3424"/>
      <c r="AA4" s="3410" t="s">
        <v>523</v>
      </c>
      <c r="AB4" s="3410" t="s">
        <v>524</v>
      </c>
      <c r="AC4" s="3410" t="s">
        <v>525</v>
      </c>
    </row>
    <row r="5" spans="1:29" ht="15">
      <c r="A5" s="513"/>
      <c r="B5" s="514"/>
      <c r="C5" s="3431" t="s">
        <v>2924</v>
      </c>
      <c r="D5" s="3432"/>
      <c r="E5" s="3512" t="s">
        <v>3287</v>
      </c>
      <c r="F5" s="3430"/>
      <c r="G5" s="3513" t="s">
        <v>3286</v>
      </c>
      <c r="H5" s="3432"/>
      <c r="I5" s="3513" t="s">
        <v>3286</v>
      </c>
      <c r="J5" s="3432"/>
      <c r="K5" s="852"/>
      <c r="L5" s="2117"/>
      <c r="M5" s="2118"/>
      <c r="N5" s="2118"/>
      <c r="O5" s="2118"/>
      <c r="P5" s="3419"/>
      <c r="Q5" s="3420"/>
      <c r="R5" s="3425"/>
      <c r="S5" s="3426"/>
      <c r="T5" s="3425"/>
      <c r="U5" s="3426"/>
      <c r="V5" s="3403"/>
      <c r="W5" s="3403"/>
      <c r="X5" s="1552"/>
      <c r="Y5" s="3425"/>
      <c r="Z5" s="3426"/>
      <c r="AA5" s="3411"/>
      <c r="AB5" s="3411"/>
      <c r="AC5" s="3411"/>
    </row>
    <row r="6" spans="1:29" ht="15.75" thickBot="1">
      <c r="A6" s="515"/>
      <c r="B6" s="516"/>
      <c r="C6" s="3433" t="s">
        <v>2928</v>
      </c>
      <c r="D6" s="3434"/>
      <c r="E6" s="3436" t="s">
        <v>2928</v>
      </c>
      <c r="F6" s="3437"/>
      <c r="G6" s="3433" t="s">
        <v>2928</v>
      </c>
      <c r="H6" s="3434"/>
      <c r="I6" s="3433" t="s">
        <v>2928</v>
      </c>
      <c r="J6" s="3434"/>
      <c r="K6" s="852" t="s">
        <v>528</v>
      </c>
      <c r="L6" s="2117"/>
      <c r="M6" s="2118"/>
      <c r="N6" s="2118"/>
      <c r="O6" s="2118"/>
      <c r="P6" s="3421"/>
      <c r="Q6" s="3422"/>
      <c r="R6" s="3425"/>
      <c r="S6" s="3426"/>
      <c r="T6" s="3427"/>
      <c r="U6" s="3428"/>
      <c r="V6" s="3403"/>
      <c r="W6" s="3403"/>
      <c r="X6" s="1552"/>
      <c r="Y6" s="3427"/>
      <c r="Z6" s="3428"/>
      <c r="AA6" s="3412"/>
      <c r="AB6" s="3412"/>
      <c r="AC6" s="3412"/>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21">
        <f>G7</f>
        <v>43571</v>
      </c>
      <c r="J7" s="518">
        <f>SUMIF(58:58,YEAR(I7)&amp;"-"&amp;MONTH(I7),59:59)</f>
        <v>100</v>
      </c>
      <c r="K7" s="853"/>
      <c r="L7" s="2119"/>
      <c r="M7" s="2120"/>
      <c r="N7" s="2120"/>
      <c r="O7" s="2120"/>
      <c r="P7" s="3408" t="s">
        <v>530</v>
      </c>
      <c r="Q7" s="3435"/>
      <c r="R7" s="1553" t="s">
        <v>13</v>
      </c>
      <c r="S7" s="1554">
        <f t="shared" ref="S7:S15" si="0">F7</f>
        <v>100</v>
      </c>
      <c r="T7" s="1553" t="s">
        <v>13</v>
      </c>
      <c r="U7" s="1554">
        <f t="shared" ref="U7:U15" si="1">H7</f>
        <v>100</v>
      </c>
      <c r="V7" s="1553" t="s">
        <v>13</v>
      </c>
      <c r="W7" s="1554">
        <f t="shared" ref="W7:W15" si="2">J7</f>
        <v>100</v>
      </c>
      <c r="X7" s="1555"/>
      <c r="Y7" s="3408" t="s">
        <v>530</v>
      </c>
      <c r="Z7" s="3409"/>
      <c r="AA7" s="1556">
        <f>D7/F7</f>
        <v>1</v>
      </c>
      <c r="AB7" s="1556">
        <f>D7/H7</f>
        <v>1</v>
      </c>
      <c r="AC7" s="1556">
        <f>D7/J7</f>
        <v>1</v>
      </c>
    </row>
    <row r="8" spans="1:29" s="1214" customFormat="1" ht="15.75" thickBot="1">
      <c r="A8" s="2867"/>
      <c r="B8" s="2874" t="s">
        <v>531</v>
      </c>
      <c r="C8" s="523" t="s">
        <v>576</v>
      </c>
      <c r="D8" s="518">
        <v>100</v>
      </c>
      <c r="E8" s="854" t="s">
        <v>3002</v>
      </c>
      <c r="F8" s="520">
        <f>SUMIF(61:61,E8,62:62)-SUMIF(61:61,C8,62:62)+100</f>
        <v>100</v>
      </c>
      <c r="G8" s="854" t="s">
        <v>3002</v>
      </c>
      <c r="H8" s="518">
        <f>SUMIF(61:61,G8,62:62)-SUMIF(61:61,C8,62:62)+100</f>
        <v>100</v>
      </c>
      <c r="I8" s="854" t="s">
        <v>3002</v>
      </c>
      <c r="J8" s="518">
        <f>SUMIF(61:61,I8,62:62)-SUMIF(61:61,C8,62:62)+100</f>
        <v>100</v>
      </c>
      <c r="K8" s="853"/>
      <c r="L8" s="2119"/>
      <c r="M8" s="2120"/>
      <c r="N8" s="2120"/>
      <c r="O8" s="2120"/>
      <c r="P8" s="3408" t="s">
        <v>533</v>
      </c>
      <c r="Q8" s="3409"/>
      <c r="R8" s="1553" t="s">
        <v>13</v>
      </c>
      <c r="S8" s="1554">
        <f t="shared" si="0"/>
        <v>100</v>
      </c>
      <c r="T8" s="1553" t="s">
        <v>13</v>
      </c>
      <c r="U8" s="1554">
        <f t="shared" si="1"/>
        <v>100</v>
      </c>
      <c r="V8" s="1553" t="s">
        <v>13</v>
      </c>
      <c r="W8" s="1554">
        <f t="shared" si="2"/>
        <v>100</v>
      </c>
      <c r="X8" s="1555"/>
      <c r="Y8" s="3408" t="s">
        <v>533</v>
      </c>
      <c r="Z8" s="3409"/>
      <c r="AA8" s="1556">
        <f t="shared" ref="AA8:AA46" si="3">D8/F8</f>
        <v>1</v>
      </c>
      <c r="AB8" s="1556">
        <f t="shared" ref="AB8:AB46" si="4">D8/H8</f>
        <v>1</v>
      </c>
      <c r="AC8" s="1556">
        <f t="shared" ref="AC8:AC46" si="5">D8/J8</f>
        <v>1</v>
      </c>
    </row>
    <row r="9" spans="1:29" s="1214" customFormat="1" ht="15">
      <c r="A9" s="2868"/>
      <c r="B9" s="2875" t="s">
        <v>2753</v>
      </c>
      <c r="C9" s="3183" t="s">
        <v>3001</v>
      </c>
      <c r="D9" s="252">
        <v>100</v>
      </c>
      <c r="E9" s="856" t="s">
        <v>923</v>
      </c>
      <c r="F9" s="857">
        <f>SUMIF(63:63,E9,64:64)-SUMIF(63:63,C9,64:64)+100</f>
        <v>100</v>
      </c>
      <c r="G9" s="856" t="s">
        <v>923</v>
      </c>
      <c r="H9" s="252">
        <f>SUMIF(63:63,G9,64:64)-SUMIF(63:63,C9,64:64)+100</f>
        <v>100</v>
      </c>
      <c r="I9" s="856" t="s">
        <v>923</v>
      </c>
      <c r="J9" s="252">
        <f>SUMIF(63:63,I9,64:64)-SUMIF(63:63,C9,64:64)+100</f>
        <v>100</v>
      </c>
      <c r="K9" s="853"/>
      <c r="L9" s="2119"/>
      <c r="M9" s="2120"/>
      <c r="N9" s="2120"/>
      <c r="O9" s="2121"/>
      <c r="P9" s="3401" t="s">
        <v>535</v>
      </c>
      <c r="Q9" s="1145" t="str">
        <f t="shared" ref="Q9:Q15" si="6">B9</f>
        <v>用途</v>
      </c>
      <c r="R9" s="1553" t="s">
        <v>8</v>
      </c>
      <c r="S9" s="1554">
        <f t="shared" si="0"/>
        <v>100</v>
      </c>
      <c r="T9" s="1553" t="s">
        <v>8</v>
      </c>
      <c r="U9" s="1554">
        <f t="shared" si="1"/>
        <v>100</v>
      </c>
      <c r="V9" s="1553" t="s">
        <v>8</v>
      </c>
      <c r="W9" s="1554">
        <f t="shared" si="2"/>
        <v>100</v>
      </c>
      <c r="X9" s="1555"/>
      <c r="Y9" s="3366" t="s">
        <v>536</v>
      </c>
      <c r="Z9" s="1144" t="str">
        <f t="shared" ref="Z9:Z15" si="7">Q9</f>
        <v>用途</v>
      </c>
      <c r="AA9" s="1556">
        <f t="shared" si="3"/>
        <v>1</v>
      </c>
      <c r="AB9" s="1556">
        <f t="shared" si="4"/>
        <v>1</v>
      </c>
      <c r="AC9" s="1556">
        <f t="shared" si="5"/>
        <v>1</v>
      </c>
    </row>
    <row r="10" spans="1:29" s="1332" customFormat="1" ht="27">
      <c r="A10" s="2869"/>
      <c r="B10" s="2874" t="s">
        <v>2754</v>
      </c>
      <c r="C10" s="859" t="s">
        <v>3000</v>
      </c>
      <c r="D10" s="253">
        <v>100</v>
      </c>
      <c r="E10" s="860" t="s">
        <v>3000</v>
      </c>
      <c r="F10" s="861">
        <f>SUMIF(65:65,E10,66:66)-SUMIF(65:65,C10,66:66)+100</f>
        <v>100</v>
      </c>
      <c r="G10" s="860" t="s">
        <v>3000</v>
      </c>
      <c r="H10" s="253">
        <f>SUMIF(65:65,G10,66:66)-SUMIF(65:65,C10,66:66)+100</f>
        <v>100</v>
      </c>
      <c r="I10" s="860" t="s">
        <v>3000</v>
      </c>
      <c r="J10" s="253">
        <f>SUMIF(65:65,I10,66:66)-SUMIF(65:65,C10,66:66)+100</f>
        <v>100</v>
      </c>
      <c r="K10" s="862">
        <v>1</v>
      </c>
      <c r="L10" s="2122"/>
      <c r="M10" s="2162"/>
      <c r="N10" s="2162"/>
      <c r="O10" s="2123"/>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0"/>
      <c r="B11" s="2874" t="s">
        <v>2755</v>
      </c>
      <c r="C11" s="531"/>
      <c r="D11" s="253">
        <v>100</v>
      </c>
      <c r="E11" s="532"/>
      <c r="F11" s="861">
        <f>LOOKUP(E11,68:68,69:69)-LOOKUP(C11,68:68,69:69)+100</f>
        <v>100</v>
      </c>
      <c r="G11" s="531"/>
      <c r="H11" s="253">
        <f>LOOKUP(G11,68:68,69:69)-LOOKUP(C11,68:68,69:69)+100</f>
        <v>100</v>
      </c>
      <c r="I11" s="531"/>
      <c r="J11" s="253">
        <f>LOOKUP(I11,68:68,69:69)-LOOKUP(C11,68:68,69:69)+100</f>
        <v>100</v>
      </c>
      <c r="K11" s="862"/>
      <c r="L11" s="2124"/>
      <c r="M11" s="2118"/>
      <c r="N11" s="2118"/>
      <c r="O11" s="2125"/>
      <c r="P11" s="3401"/>
      <c r="Q11" s="1145" t="str">
        <f t="shared" si="6"/>
        <v>容积率</v>
      </c>
      <c r="R11" s="1553" t="s">
        <v>11</v>
      </c>
      <c r="S11" s="1554">
        <f t="shared" si="0"/>
        <v>100</v>
      </c>
      <c r="T11" s="1553" t="s">
        <v>11</v>
      </c>
      <c r="U11" s="1554">
        <f t="shared" si="1"/>
        <v>100</v>
      </c>
      <c r="V11" s="1553" t="s">
        <v>11</v>
      </c>
      <c r="W11" s="1554">
        <f t="shared" si="2"/>
        <v>100</v>
      </c>
      <c r="X11" s="1555"/>
      <c r="Y11" s="3366"/>
      <c r="Z11" s="1144"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401"/>
      <c r="Q12" s="1145">
        <f t="shared" si="6"/>
        <v>0</v>
      </c>
      <c r="R12" s="1553" t="s">
        <v>11</v>
      </c>
      <c r="S12" s="1554">
        <f t="shared" si="0"/>
        <v>100</v>
      </c>
      <c r="T12" s="1553" t="s">
        <v>11</v>
      </c>
      <c r="U12" s="1554">
        <f t="shared" si="1"/>
        <v>100</v>
      </c>
      <c r="V12" s="1553" t="s">
        <v>11</v>
      </c>
      <c r="W12" s="1554">
        <f t="shared" si="2"/>
        <v>100</v>
      </c>
      <c r="X12" s="1555"/>
      <c r="Y12" s="3366"/>
      <c r="Z12" s="1144">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401"/>
      <c r="Q13" s="1145">
        <f t="shared" si="6"/>
        <v>0</v>
      </c>
      <c r="R13" s="1553" t="s">
        <v>11</v>
      </c>
      <c r="S13" s="1554">
        <f t="shared" si="0"/>
        <v>100</v>
      </c>
      <c r="T13" s="1553" t="s">
        <v>11</v>
      </c>
      <c r="U13" s="1554">
        <f t="shared" si="1"/>
        <v>100</v>
      </c>
      <c r="V13" s="1553" t="s">
        <v>11</v>
      </c>
      <c r="W13" s="1554">
        <f t="shared" si="2"/>
        <v>100</v>
      </c>
      <c r="X13" s="1555"/>
      <c r="Y13" s="3366"/>
      <c r="Z13" s="1144">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401"/>
      <c r="Q14" s="1145">
        <f t="shared" si="6"/>
        <v>0</v>
      </c>
      <c r="R14" s="1553" t="s">
        <v>11</v>
      </c>
      <c r="S14" s="1554">
        <f t="shared" si="0"/>
        <v>100</v>
      </c>
      <c r="T14" s="1553" t="s">
        <v>11</v>
      </c>
      <c r="U14" s="1554">
        <f t="shared" si="1"/>
        <v>100</v>
      </c>
      <c r="V14" s="1553" t="s">
        <v>11</v>
      </c>
      <c r="W14" s="1554">
        <f t="shared" si="2"/>
        <v>100</v>
      </c>
      <c r="X14" s="1555"/>
      <c r="Y14" s="3366"/>
      <c r="Z14" s="1144">
        <f t="shared" si="7"/>
        <v>0</v>
      </c>
      <c r="AA14" s="1556">
        <f t="shared" si="3"/>
        <v>1</v>
      </c>
      <c r="AB14" s="1556">
        <f t="shared" si="4"/>
        <v>1</v>
      </c>
      <c r="AC14" s="1556">
        <f t="shared" si="5"/>
        <v>1</v>
      </c>
    </row>
    <row r="15" spans="1:29" ht="99.75">
      <c r="A15" s="2864" t="s">
        <v>2751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404" t="s">
        <v>540</v>
      </c>
      <c r="Q15" s="1557" t="str">
        <f t="shared" si="6"/>
        <v>居住社区成熟度</v>
      </c>
      <c r="R15" s="1558" t="s">
        <v>11</v>
      </c>
      <c r="S15" s="1559">
        <f t="shared" si="0"/>
        <v>100</v>
      </c>
      <c r="T15" s="1558" t="s">
        <v>11</v>
      </c>
      <c r="U15" s="1559">
        <f t="shared" si="1"/>
        <v>100</v>
      </c>
      <c r="V15" s="1558" t="s">
        <v>11</v>
      </c>
      <c r="W15" s="1559">
        <f t="shared" si="2"/>
        <v>100</v>
      </c>
      <c r="X15" s="1552"/>
      <c r="Y15" s="3404"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405"/>
      <c r="Q17" s="1557" t="str">
        <f>B17</f>
        <v>交通便捷度</v>
      </c>
      <c r="R17" s="1558" t="s">
        <v>11</v>
      </c>
      <c r="S17" s="1559">
        <f>F17</f>
        <v>100</v>
      </c>
      <c r="T17" s="1558" t="s">
        <v>11</v>
      </c>
      <c r="U17" s="1559">
        <f>H17</f>
        <v>100</v>
      </c>
      <c r="V17" s="1558" t="s">
        <v>11</v>
      </c>
      <c r="W17" s="1559">
        <f>J17</f>
        <v>100</v>
      </c>
      <c r="X17" s="1552"/>
      <c r="Y17" s="340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405"/>
      <c r="Q19" s="1557" t="str">
        <f>B19</f>
        <v>公共配套设施</v>
      </c>
      <c r="R19" s="1558" t="s">
        <v>11</v>
      </c>
      <c r="S19" s="1559">
        <f>F19</f>
        <v>100</v>
      </c>
      <c r="T19" s="1558" t="s">
        <v>11</v>
      </c>
      <c r="U19" s="1559">
        <f>H19</f>
        <v>100</v>
      </c>
      <c r="V19" s="1558" t="s">
        <v>11</v>
      </c>
      <c r="W19" s="1559">
        <f>J19</f>
        <v>100</v>
      </c>
      <c r="X19" s="1552"/>
      <c r="Y19" s="340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0"/>
      <c r="B21" s="2556"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6"/>
      <c r="M21" s="2118"/>
      <c r="N21" s="2118"/>
      <c r="O21" s="2125"/>
      <c r="P21" s="3405"/>
      <c r="Q21" s="2542" t="str">
        <f>B21</f>
        <v>基础设施水平</v>
      </c>
      <c r="R21" s="1558" t="s">
        <v>11</v>
      </c>
      <c r="S21" s="1559">
        <f>F21</f>
        <v>100</v>
      </c>
      <c r="T21" s="1558" t="s">
        <v>11</v>
      </c>
      <c r="U21" s="1559">
        <f>H21</f>
        <v>100</v>
      </c>
      <c r="V21" s="1558" t="s">
        <v>11</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2"/>
      <c r="L22" s="2126"/>
      <c r="M22" s="2118"/>
      <c r="N22" s="2118"/>
      <c r="O22" s="2125"/>
      <c r="P22" s="3405"/>
      <c r="Q22" s="2542"/>
      <c r="R22" s="1558"/>
      <c r="S22" s="1559"/>
      <c r="T22" s="1558"/>
      <c r="U22" s="1559"/>
      <c r="V22" s="1558"/>
      <c r="W22" s="1559"/>
      <c r="X22" s="2544"/>
      <c r="Y22" s="3405"/>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6"/>
      <c r="M23" s="2118"/>
      <c r="N23" s="2118"/>
      <c r="O23" s="2125"/>
      <c r="P23" s="3405"/>
      <c r="Q23" s="1557" t="str">
        <f>B23</f>
        <v>自然及人文环境</v>
      </c>
      <c r="R23" s="1558" t="s">
        <v>11</v>
      </c>
      <c r="S23" s="1559">
        <f>F23</f>
        <v>100</v>
      </c>
      <c r="T23" s="1558" t="s">
        <v>11</v>
      </c>
      <c r="U23" s="1559">
        <f>H23</f>
        <v>100</v>
      </c>
      <c r="V23" s="1558" t="s">
        <v>11</v>
      </c>
      <c r="W23" s="1559">
        <f>J23</f>
        <v>100</v>
      </c>
      <c r="X23" s="1552"/>
      <c r="Y23" s="3405"/>
      <c r="Z23" s="1560" t="str">
        <f>Q23</f>
        <v>自然及人文环境</v>
      </c>
      <c r="AA23" s="1561">
        <f t="shared" si="3"/>
        <v>1</v>
      </c>
      <c r="AB23" s="1561">
        <f t="shared" si="4"/>
        <v>1</v>
      </c>
      <c r="AC23" s="1561">
        <f t="shared" si="5"/>
        <v>1</v>
      </c>
    </row>
    <row r="24" spans="1:29" ht="15.75" thickBot="1">
      <c r="A24" s="530"/>
      <c r="B24" s="593"/>
      <c r="C24" s="574"/>
      <c r="D24" s="553"/>
      <c r="E24" s="554"/>
      <c r="F24" s="555"/>
      <c r="G24" s="556"/>
      <c r="H24" s="553"/>
      <c r="I24" s="554"/>
      <c r="J24" s="553"/>
      <c r="K24" s="868"/>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hidden="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05"/>
      <c r="Q25" s="1557" t="str">
        <f t="shared" ref="Q25:Q46" si="11">B25</f>
        <v>楼层-1</v>
      </c>
      <c r="R25" s="1558" t="s">
        <v>11</v>
      </c>
      <c r="S25" s="1559">
        <f>F25</f>
        <v>100</v>
      </c>
      <c r="T25" s="1558" t="s">
        <v>11</v>
      </c>
      <c r="U25" s="1559">
        <f>H25</f>
        <v>100</v>
      </c>
      <c r="V25" s="1558" t="s">
        <v>11</v>
      </c>
      <c r="W25" s="1559">
        <f>J25</f>
        <v>100</v>
      </c>
      <c r="X25" s="1552"/>
      <c r="Y25" s="3405"/>
      <c r="Z25" s="1560" t="str">
        <f>Q25</f>
        <v>楼层-1</v>
      </c>
      <c r="AA25" s="1561">
        <f t="shared" si="3"/>
        <v>1</v>
      </c>
      <c r="AB25" s="1561">
        <f t="shared" si="4"/>
        <v>1</v>
      </c>
      <c r="AC25" s="156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05"/>
      <c r="Q26" s="1557" t="str">
        <f t="shared" si="11"/>
        <v>朝向</v>
      </c>
      <c r="R26" s="1558" t="s">
        <v>11</v>
      </c>
      <c r="S26" s="1559">
        <f>F26</f>
        <v>100</v>
      </c>
      <c r="T26" s="1558" t="s">
        <v>11</v>
      </c>
      <c r="U26" s="1559">
        <f>H26</f>
        <v>100</v>
      </c>
      <c r="V26" s="1558" t="s">
        <v>11</v>
      </c>
      <c r="W26" s="1559">
        <f>J26</f>
        <v>100</v>
      </c>
      <c r="X26" s="1552"/>
      <c r="Y26" s="3405"/>
      <c r="Z26" s="1560" t="str">
        <f>Q26</f>
        <v>朝向</v>
      </c>
      <c r="AA26" s="1561">
        <f t="shared" si="3"/>
        <v>1</v>
      </c>
      <c r="AB26" s="1561">
        <f t="shared" si="4"/>
        <v>1</v>
      </c>
      <c r="AC26" s="1561">
        <f t="shared" si="5"/>
        <v>1</v>
      </c>
    </row>
    <row r="27" spans="1:29" s="1214"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05"/>
      <c r="Q27" s="1145" t="str">
        <f t="shared" si="11"/>
        <v>道路级别</v>
      </c>
      <c r="R27" s="1553" t="s">
        <v>11</v>
      </c>
      <c r="S27" s="1554">
        <f>F27</f>
        <v>100</v>
      </c>
      <c r="T27" s="1553" t="s">
        <v>11</v>
      </c>
      <c r="U27" s="1554">
        <f>H27</f>
        <v>100</v>
      </c>
      <c r="V27" s="1553" t="s">
        <v>11</v>
      </c>
      <c r="W27" s="1554">
        <f>J27</f>
        <v>100</v>
      </c>
      <c r="X27" s="1555"/>
      <c r="Y27" s="3405"/>
      <c r="Z27" s="1144" t="str">
        <f>Q27</f>
        <v>道路级别</v>
      </c>
      <c r="AA27" s="1561">
        <f>D27/F27</f>
        <v>1</v>
      </c>
      <c r="AB27" s="1561">
        <f>D27/H27</f>
        <v>1</v>
      </c>
      <c r="AC27" s="1561">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05"/>
      <c r="Q28" s="1557">
        <f t="shared" si="11"/>
        <v>0</v>
      </c>
      <c r="R28" s="1558" t="s">
        <v>11</v>
      </c>
      <c r="S28" s="1559">
        <f t="shared" ref="S28:S46" si="12">F28</f>
        <v>100</v>
      </c>
      <c r="T28" s="1558" t="s">
        <v>11</v>
      </c>
      <c r="U28" s="1559">
        <f t="shared" ref="U28:U46" si="13">H28</f>
        <v>100</v>
      </c>
      <c r="V28" s="1558" t="s">
        <v>11</v>
      </c>
      <c r="W28" s="1559">
        <f t="shared" ref="W28:W46" si="14">J28</f>
        <v>100</v>
      </c>
      <c r="X28" s="1552"/>
      <c r="Y28" s="3405"/>
      <c r="Z28" s="1560">
        <f t="shared" ref="Z28:Z46" si="15">Q28</f>
        <v>0</v>
      </c>
      <c r="AA28" s="1561">
        <f t="shared" si="3"/>
        <v>1</v>
      </c>
      <c r="AB28" s="1561">
        <f t="shared" si="4"/>
        <v>1</v>
      </c>
      <c r="AC28" s="1561">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05"/>
      <c r="Q29" s="1557">
        <f t="shared" si="11"/>
        <v>0</v>
      </c>
      <c r="R29" s="1558" t="s">
        <v>11</v>
      </c>
      <c r="S29" s="1559">
        <f t="shared" si="12"/>
        <v>100</v>
      </c>
      <c r="T29" s="1558" t="s">
        <v>11</v>
      </c>
      <c r="U29" s="1559">
        <f t="shared" si="13"/>
        <v>100</v>
      </c>
      <c r="V29" s="1558" t="s">
        <v>11</v>
      </c>
      <c r="W29" s="1559">
        <f t="shared" si="14"/>
        <v>100</v>
      </c>
      <c r="X29" s="1552"/>
      <c r="Y29" s="3405"/>
      <c r="Z29" s="1560">
        <f t="shared" si="15"/>
        <v>0</v>
      </c>
      <c r="AA29" s="1561">
        <f t="shared" si="3"/>
        <v>1</v>
      </c>
      <c r="AB29" s="1561">
        <f t="shared" si="4"/>
        <v>1</v>
      </c>
      <c r="AC29" s="1561">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05"/>
      <c r="Q30" s="1557">
        <f t="shared" si="11"/>
        <v>0</v>
      </c>
      <c r="R30" s="1558" t="s">
        <v>11</v>
      </c>
      <c r="S30" s="1559">
        <f t="shared" si="12"/>
        <v>100</v>
      </c>
      <c r="T30" s="1558" t="s">
        <v>11</v>
      </c>
      <c r="U30" s="1559">
        <f t="shared" si="13"/>
        <v>100</v>
      </c>
      <c r="V30" s="1558" t="s">
        <v>11</v>
      </c>
      <c r="W30" s="1559">
        <f t="shared" si="14"/>
        <v>100</v>
      </c>
      <c r="X30" s="1552"/>
      <c r="Y30" s="3405"/>
      <c r="Z30" s="1560">
        <f t="shared" si="15"/>
        <v>0</v>
      </c>
      <c r="AA30" s="1561">
        <f t="shared" si="3"/>
        <v>1</v>
      </c>
      <c r="AB30" s="1561">
        <f t="shared" si="4"/>
        <v>1</v>
      </c>
      <c r="AC30" s="1561">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05"/>
      <c r="Q31" s="1557">
        <f t="shared" si="11"/>
        <v>0</v>
      </c>
      <c r="R31" s="1558" t="s">
        <v>11</v>
      </c>
      <c r="S31" s="1559">
        <f t="shared" si="12"/>
        <v>100</v>
      </c>
      <c r="T31" s="1558" t="s">
        <v>11</v>
      </c>
      <c r="U31" s="1559">
        <f t="shared" si="13"/>
        <v>100</v>
      </c>
      <c r="V31" s="1558" t="s">
        <v>11</v>
      </c>
      <c r="W31" s="1559">
        <f t="shared" si="14"/>
        <v>100</v>
      </c>
      <c r="X31" s="1552"/>
      <c r="Y31" s="3405"/>
      <c r="Z31" s="1560">
        <f t="shared" si="15"/>
        <v>0</v>
      </c>
      <c r="AA31" s="1561">
        <f t="shared" si="3"/>
        <v>1</v>
      </c>
      <c r="AB31" s="1561">
        <f t="shared" si="4"/>
        <v>1</v>
      </c>
      <c r="AC31" s="1561">
        <f t="shared" si="5"/>
        <v>1</v>
      </c>
    </row>
    <row r="32" spans="1:29" ht="15">
      <c r="A32" s="2861" t="s">
        <v>2752</v>
      </c>
      <c r="B32" s="172" t="s">
        <v>725</v>
      </c>
      <c r="C32" s="876" t="s">
        <v>3244</v>
      </c>
      <c r="D32" s="595">
        <v>100</v>
      </c>
      <c r="E32" s="877" t="s">
        <v>3283</v>
      </c>
      <c r="F32" s="573">
        <f>SUMIF(100:100,E32,101:101)-SUMIF(100:100,C32,101:101)+100</f>
        <v>80</v>
      </c>
      <c r="G32" s="876" t="s">
        <v>3284</v>
      </c>
      <c r="H32" s="595">
        <f>SUMIF(100:100,G32,101:101)-SUMIF(100:100,C32,101:101)+100</f>
        <v>90</v>
      </c>
      <c r="I32" s="877" t="s">
        <v>3244</v>
      </c>
      <c r="J32" s="538">
        <f>SUMIF(100:100,I32,101:101)-SUMIF(100:100,C32,101:101)+100</f>
        <v>100</v>
      </c>
      <c r="K32" s="862">
        <v>10</v>
      </c>
      <c r="L32" s="2126"/>
      <c r="M32" s="2118"/>
      <c r="N32" s="2118"/>
      <c r="O32" s="2125"/>
      <c r="P32" s="3406" t="s">
        <v>550</v>
      </c>
      <c r="Q32" s="1557" t="str">
        <f t="shared" si="11"/>
        <v>建筑类型</v>
      </c>
      <c r="R32" s="1558" t="s">
        <v>11</v>
      </c>
      <c r="S32" s="1559">
        <f t="shared" si="12"/>
        <v>80</v>
      </c>
      <c r="T32" s="1558" t="s">
        <v>11</v>
      </c>
      <c r="U32" s="1559">
        <f t="shared" si="13"/>
        <v>90</v>
      </c>
      <c r="V32" s="1558" t="s">
        <v>11</v>
      </c>
      <c r="W32" s="1559">
        <f t="shared" si="14"/>
        <v>100</v>
      </c>
      <c r="X32" s="1552"/>
      <c r="Y32" s="3407" t="s">
        <v>550</v>
      </c>
      <c r="Z32" s="1560" t="str">
        <f t="shared" si="15"/>
        <v>建筑类型</v>
      </c>
      <c r="AA32" s="1561">
        <f t="shared" si="3"/>
        <v>1.25</v>
      </c>
      <c r="AB32" s="1561">
        <f t="shared" si="4"/>
        <v>1.1111111111111112</v>
      </c>
      <c r="AC32" s="1561">
        <f t="shared" si="5"/>
        <v>1</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07"/>
      <c r="Q33" s="1589" t="str">
        <f t="shared" si="11"/>
        <v>项目建筑规模</v>
      </c>
      <c r="R33" s="1562" t="s">
        <v>11</v>
      </c>
      <c r="S33" s="1563">
        <f t="shared" si="12"/>
        <v>100</v>
      </c>
      <c r="T33" s="1562" t="s">
        <v>11</v>
      </c>
      <c r="U33" s="1563">
        <f t="shared" si="13"/>
        <v>100</v>
      </c>
      <c r="V33" s="1562" t="s">
        <v>11</v>
      </c>
      <c r="W33" s="1563">
        <f t="shared" si="14"/>
        <v>100</v>
      </c>
      <c r="X33" s="1564"/>
      <c r="Y33" s="3407"/>
      <c r="Z33" s="1565" t="str">
        <f t="shared" si="15"/>
        <v>项目建筑规模</v>
      </c>
      <c r="AA33" s="1561">
        <f t="shared" si="3"/>
        <v>1</v>
      </c>
      <c r="AB33" s="1561">
        <f t="shared" si="4"/>
        <v>1</v>
      </c>
      <c r="AC33" s="1561">
        <f t="shared" si="5"/>
        <v>1</v>
      </c>
    </row>
    <row r="34" spans="1:29" ht="15">
      <c r="A34" s="592"/>
      <c r="B34" s="525" t="s">
        <v>727</v>
      </c>
      <c r="C34" s="879" t="s">
        <v>3235</v>
      </c>
      <c r="D34" s="538">
        <v>100</v>
      </c>
      <c r="E34" s="879" t="s">
        <v>3235</v>
      </c>
      <c r="F34" s="573">
        <f>SUMIF(105:105,E34,106:106)-SUMIF(105:105,C34,106:106)+100</f>
        <v>100</v>
      </c>
      <c r="G34" s="879" t="s">
        <v>3235</v>
      </c>
      <c r="H34" s="538">
        <f>SUMIF(105:105,G34,106:106)-SUMIF(105:105,C34,106:106)+100</f>
        <v>100</v>
      </c>
      <c r="I34" s="879" t="s">
        <v>3235</v>
      </c>
      <c r="J34" s="538">
        <f>SUMIF(105:105,I34,106:106)-SUMIF(105:105,C34,106:106)+100</f>
        <v>100</v>
      </c>
      <c r="K34" s="862">
        <v>2</v>
      </c>
      <c r="L34" s="2126"/>
      <c r="M34" s="2118"/>
      <c r="N34" s="2118"/>
      <c r="O34" s="2125"/>
      <c r="P34" s="3407"/>
      <c r="Q34" s="1557" t="str">
        <f t="shared" si="11"/>
        <v>建筑结构</v>
      </c>
      <c r="R34" s="1558" t="s">
        <v>11</v>
      </c>
      <c r="S34" s="1559">
        <f t="shared" si="12"/>
        <v>100</v>
      </c>
      <c r="T34" s="1558" t="s">
        <v>11</v>
      </c>
      <c r="U34" s="1559">
        <f t="shared" si="13"/>
        <v>100</v>
      </c>
      <c r="V34" s="1558" t="s">
        <v>11</v>
      </c>
      <c r="W34" s="1559">
        <f t="shared" si="14"/>
        <v>100</v>
      </c>
      <c r="X34" s="1552"/>
      <c r="Y34" s="3407"/>
      <c r="Z34" s="1560" t="str">
        <f t="shared" si="15"/>
        <v>建筑结构</v>
      </c>
      <c r="AA34" s="1561">
        <f t="shared" si="3"/>
        <v>1</v>
      </c>
      <c r="AB34" s="1561">
        <f t="shared" si="4"/>
        <v>1</v>
      </c>
      <c r="AC34" s="1561">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597" t="s">
        <v>3236</v>
      </c>
      <c r="J35" s="538">
        <f>SUMIF(107:107,I35,108:108)-SUMIF(107:107,C35,108:108)+100</f>
        <v>100</v>
      </c>
      <c r="K35" s="862">
        <v>2</v>
      </c>
      <c r="L35" s="2126"/>
      <c r="M35" s="2118"/>
      <c r="N35" s="2118"/>
      <c r="O35" s="2125"/>
      <c r="P35" s="3407"/>
      <c r="Q35" s="1557" t="str">
        <f t="shared" si="11"/>
        <v>建筑品质</v>
      </c>
      <c r="R35" s="1558" t="s">
        <v>11</v>
      </c>
      <c r="S35" s="1559">
        <f t="shared" si="12"/>
        <v>100</v>
      </c>
      <c r="T35" s="1558" t="s">
        <v>11</v>
      </c>
      <c r="U35" s="1559">
        <f t="shared" si="13"/>
        <v>100</v>
      </c>
      <c r="V35" s="1558" t="s">
        <v>11</v>
      </c>
      <c r="W35" s="1559">
        <f t="shared" si="14"/>
        <v>100</v>
      </c>
      <c r="X35" s="1552"/>
      <c r="Y35" s="3407"/>
      <c r="Z35" s="1560" t="str">
        <f t="shared" si="15"/>
        <v>建筑品质</v>
      </c>
      <c r="AA35" s="1561">
        <f t="shared" si="3"/>
        <v>1</v>
      </c>
      <c r="AB35" s="1561">
        <f t="shared" si="4"/>
        <v>1</v>
      </c>
      <c r="AC35" s="1561">
        <f t="shared" si="5"/>
        <v>1</v>
      </c>
    </row>
    <row r="36" spans="1:29" ht="15">
      <c r="A36" s="592"/>
      <c r="B36" s="525" t="s">
        <v>729</v>
      </c>
      <c r="C36" s="597" t="s">
        <v>3237</v>
      </c>
      <c r="D36" s="538">
        <v>100</v>
      </c>
      <c r="E36" s="597" t="s">
        <v>3237</v>
      </c>
      <c r="F36" s="573">
        <f>SUMIF(109:109,E36,110:110)-SUMIF(109:109,C36,110:110)+100</f>
        <v>100</v>
      </c>
      <c r="G36" s="597" t="s">
        <v>3237</v>
      </c>
      <c r="H36" s="538">
        <f>SUMIF(109:109,G36,110:110)-SUMIF(109:109,C36,110:110)+100</f>
        <v>100</v>
      </c>
      <c r="I36" s="597" t="s">
        <v>3237</v>
      </c>
      <c r="J36" s="538">
        <f>SUMIF(109:109,I36,110:110)-SUMIF(109:109,C36,110:110)+100</f>
        <v>100</v>
      </c>
      <c r="K36" s="862">
        <v>2</v>
      </c>
      <c r="L36" s="2126"/>
      <c r="M36" s="2118"/>
      <c r="N36" s="2118"/>
      <c r="O36" s="2125"/>
      <c r="P36" s="3407"/>
      <c r="Q36" s="1557" t="str">
        <f t="shared" si="11"/>
        <v>公共部分装修</v>
      </c>
      <c r="R36" s="1558" t="s">
        <v>11</v>
      </c>
      <c r="S36" s="1559">
        <f t="shared" si="12"/>
        <v>100</v>
      </c>
      <c r="T36" s="1558" t="s">
        <v>11</v>
      </c>
      <c r="U36" s="1559">
        <f t="shared" si="13"/>
        <v>100</v>
      </c>
      <c r="V36" s="1558" t="s">
        <v>11</v>
      </c>
      <c r="W36" s="1559">
        <f t="shared" si="14"/>
        <v>100</v>
      </c>
      <c r="X36" s="1552"/>
      <c r="Y36" s="3407"/>
      <c r="Z36" s="1560" t="str">
        <f t="shared" si="15"/>
        <v>公共部分装修</v>
      </c>
      <c r="AA36" s="1561">
        <f t="shared" si="3"/>
        <v>1</v>
      </c>
      <c r="AB36" s="1561">
        <f t="shared" si="4"/>
        <v>1</v>
      </c>
      <c r="AC36" s="1561">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2</v>
      </c>
      <c r="L37" s="2119"/>
      <c r="M37" s="2120"/>
      <c r="N37" s="2120"/>
      <c r="O37" s="2121"/>
      <c r="P37" s="3407"/>
      <c r="Q37" s="1145" t="str">
        <f t="shared" si="11"/>
        <v>成新度</v>
      </c>
      <c r="R37" s="1553" t="s">
        <v>11</v>
      </c>
      <c r="S37" s="1554">
        <f t="shared" si="12"/>
        <v>100</v>
      </c>
      <c r="T37" s="1553" t="s">
        <v>11</v>
      </c>
      <c r="U37" s="1554">
        <f t="shared" si="13"/>
        <v>100</v>
      </c>
      <c r="V37" s="1553" t="s">
        <v>11</v>
      </c>
      <c r="W37" s="1554">
        <f t="shared" si="14"/>
        <v>100</v>
      </c>
      <c r="X37" s="1555"/>
      <c r="Y37" s="3407"/>
      <c r="Z37" s="1144" t="str">
        <f t="shared" si="15"/>
        <v>成新度</v>
      </c>
      <c r="AA37" s="1556">
        <f t="shared" si="3"/>
        <v>1</v>
      </c>
      <c r="AB37" s="1556">
        <f t="shared" si="4"/>
        <v>1</v>
      </c>
      <c r="AC37" s="1556">
        <f t="shared" si="5"/>
        <v>1</v>
      </c>
    </row>
    <row r="38" spans="1:29" ht="15">
      <c r="A38" s="592"/>
      <c r="B38" s="525" t="s">
        <v>731</v>
      </c>
      <c r="C38" s="597" t="s">
        <v>3238</v>
      </c>
      <c r="D38" s="538">
        <v>100</v>
      </c>
      <c r="E38" s="597" t="s">
        <v>3238</v>
      </c>
      <c r="F38" s="573">
        <f>SUMIF(114:114,E38,115:115)-SUMIF(114:114,C38,115:115)+100</f>
        <v>100</v>
      </c>
      <c r="G38" s="597" t="s">
        <v>3238</v>
      </c>
      <c r="H38" s="538">
        <f>SUMIF(114:114,G38,115:115)-SUMIF(114:114,C38,115:115)+100</f>
        <v>100</v>
      </c>
      <c r="I38" s="597" t="s">
        <v>3238</v>
      </c>
      <c r="J38" s="538">
        <f>SUMIF(114:114,I38,115:115)-SUMIF(114:114,C38,115:115)+100</f>
        <v>100</v>
      </c>
      <c r="K38" s="862">
        <v>2</v>
      </c>
      <c r="L38" s="2126"/>
      <c r="M38" s="2118"/>
      <c r="N38" s="2118"/>
      <c r="O38" s="2125"/>
      <c r="P38" s="3407" t="s">
        <v>550</v>
      </c>
      <c r="Q38" s="1557" t="str">
        <f t="shared" si="11"/>
        <v>物业管理</v>
      </c>
      <c r="R38" s="1558" t="s">
        <v>11</v>
      </c>
      <c r="S38" s="1559">
        <f t="shared" si="12"/>
        <v>100</v>
      </c>
      <c r="T38" s="1558" t="s">
        <v>11</v>
      </c>
      <c r="U38" s="1559">
        <f t="shared" si="13"/>
        <v>100</v>
      </c>
      <c r="V38" s="1558" t="s">
        <v>11</v>
      </c>
      <c r="W38" s="1559">
        <f t="shared" si="14"/>
        <v>100</v>
      </c>
      <c r="X38" s="1552"/>
      <c r="Y38" s="3407" t="s">
        <v>550</v>
      </c>
      <c r="Z38" s="1560" t="str">
        <f t="shared" si="15"/>
        <v>物业管理</v>
      </c>
      <c r="AA38" s="1561">
        <f t="shared" si="3"/>
        <v>1</v>
      </c>
      <c r="AB38" s="1561">
        <f t="shared" si="4"/>
        <v>1</v>
      </c>
      <c r="AC38" s="1561">
        <f t="shared" si="5"/>
        <v>1</v>
      </c>
    </row>
    <row r="39" spans="1:29" ht="15">
      <c r="A39" s="592"/>
      <c r="B39" s="1879" t="s">
        <v>2562</v>
      </c>
      <c r="C39" s="597" t="s">
        <v>3239</v>
      </c>
      <c r="D39" s="538">
        <v>100</v>
      </c>
      <c r="E39" s="597" t="s">
        <v>3239</v>
      </c>
      <c r="F39" s="573">
        <f>SUMIF(116:116,E39,117:117)-SUMIF(116:116,C39,117:117)+100</f>
        <v>100</v>
      </c>
      <c r="G39" s="597" t="s">
        <v>3239</v>
      </c>
      <c r="H39" s="538">
        <f>SUMIF(116:116,G39,117:117)-SUMIF(116:116,C39,117:117)+100</f>
        <v>100</v>
      </c>
      <c r="I39" s="597" t="s">
        <v>3239</v>
      </c>
      <c r="J39" s="538">
        <f>SUMIF(116:116,I39,117:117)-SUMIF(116:116,C39,117:117)+100</f>
        <v>100</v>
      </c>
      <c r="K39" s="862">
        <v>2</v>
      </c>
      <c r="L39" s="2126"/>
      <c r="M39" s="2118"/>
      <c r="N39" s="2118"/>
      <c r="O39" s="2125"/>
      <c r="P39" s="3407"/>
      <c r="Q39" s="1557" t="str">
        <f t="shared" si="11"/>
        <v>市政基础设施</v>
      </c>
      <c r="R39" s="1558" t="s">
        <v>11</v>
      </c>
      <c r="S39" s="1559">
        <f t="shared" si="12"/>
        <v>100</v>
      </c>
      <c r="T39" s="1558" t="s">
        <v>11</v>
      </c>
      <c r="U39" s="1559">
        <f t="shared" si="13"/>
        <v>100</v>
      </c>
      <c r="V39" s="1558" t="s">
        <v>11</v>
      </c>
      <c r="W39" s="1559">
        <f t="shared" si="14"/>
        <v>100</v>
      </c>
      <c r="X39" s="1552"/>
      <c r="Y39" s="3407"/>
      <c r="Z39" s="1560" t="str">
        <f t="shared" si="15"/>
        <v>市政基础设施</v>
      </c>
      <c r="AA39" s="1561">
        <f t="shared" si="3"/>
        <v>1</v>
      </c>
      <c r="AB39" s="1561">
        <f t="shared" si="4"/>
        <v>1</v>
      </c>
      <c r="AC39" s="1561">
        <f t="shared" si="5"/>
        <v>1</v>
      </c>
    </row>
    <row r="40" spans="1:29" ht="15">
      <c r="A40" s="592"/>
      <c r="B40" s="525" t="s">
        <v>732</v>
      </c>
      <c r="C40" s="597" t="s">
        <v>3285</v>
      </c>
      <c r="D40" s="538">
        <v>100</v>
      </c>
      <c r="E40" s="597" t="s">
        <v>3285</v>
      </c>
      <c r="F40" s="573">
        <f>SUMIF(118:118,E40,119:119)-SUMIF(118:118,C40,119:119)+100</f>
        <v>100</v>
      </c>
      <c r="G40" s="597" t="s">
        <v>3285</v>
      </c>
      <c r="H40" s="538">
        <f>SUMIF(118:118,G40,119:119)-SUMIF(118:118,C40,119:119)+100</f>
        <v>100</v>
      </c>
      <c r="I40" s="597" t="s">
        <v>3285</v>
      </c>
      <c r="J40" s="538">
        <f>SUMIF(118:118,I40,119:119)-SUMIF(118:118,C40,119:119)+100</f>
        <v>100</v>
      </c>
      <c r="K40" s="862">
        <v>2</v>
      </c>
      <c r="L40" s="2126"/>
      <c r="M40" s="2118"/>
      <c r="N40" s="2118"/>
      <c r="O40" s="2125"/>
      <c r="P40" s="3407"/>
      <c r="Q40" s="1557" t="str">
        <f t="shared" si="11"/>
        <v>房型</v>
      </c>
      <c r="R40" s="1558" t="s">
        <v>11</v>
      </c>
      <c r="S40" s="1559">
        <f t="shared" si="12"/>
        <v>100</v>
      </c>
      <c r="T40" s="1558" t="s">
        <v>11</v>
      </c>
      <c r="U40" s="1559">
        <f t="shared" si="13"/>
        <v>100</v>
      </c>
      <c r="V40" s="1558" t="s">
        <v>11</v>
      </c>
      <c r="W40" s="1559">
        <f t="shared" si="14"/>
        <v>100</v>
      </c>
      <c r="X40" s="1552"/>
      <c r="Y40" s="3407"/>
      <c r="Z40" s="1560" t="str">
        <f t="shared" si="15"/>
        <v>房型</v>
      </c>
      <c r="AA40" s="1561">
        <f t="shared" si="3"/>
        <v>1</v>
      </c>
      <c r="AB40" s="1561">
        <f t="shared" si="4"/>
        <v>1</v>
      </c>
      <c r="AC40" s="1561">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4"/>
      <c r="M41" s="2155"/>
      <c r="N41" s="2155"/>
      <c r="O41" s="2127"/>
      <c r="P41" s="3407"/>
      <c r="Q41" s="1589" t="str">
        <f t="shared" si="11"/>
        <v>单套/主力户型建筑面积</v>
      </c>
      <c r="R41" s="1562" t="s">
        <v>11</v>
      </c>
      <c r="S41" s="1563">
        <f t="shared" si="12"/>
        <v>100</v>
      </c>
      <c r="T41" s="1562" t="s">
        <v>11</v>
      </c>
      <c r="U41" s="1563">
        <f t="shared" si="13"/>
        <v>100</v>
      </c>
      <c r="V41" s="1562" t="s">
        <v>11</v>
      </c>
      <c r="W41" s="1563">
        <f t="shared" si="14"/>
        <v>100</v>
      </c>
      <c r="X41" s="1564"/>
      <c r="Y41" s="3407"/>
      <c r="Z41" s="1565" t="str">
        <f t="shared" si="15"/>
        <v>单套/主力户型建筑面积</v>
      </c>
      <c r="AA41" s="1561">
        <f t="shared" si="3"/>
        <v>1</v>
      </c>
      <c r="AB41" s="1561">
        <f t="shared" si="4"/>
        <v>1</v>
      </c>
      <c r="AC41" s="1561">
        <f t="shared" si="5"/>
        <v>1</v>
      </c>
    </row>
    <row r="42" spans="1:29" ht="15">
      <c r="A42" s="592"/>
      <c r="B42" s="525" t="s">
        <v>734</v>
      </c>
      <c r="C42" s="597" t="s">
        <v>3240</v>
      </c>
      <c r="D42" s="538">
        <v>100</v>
      </c>
      <c r="E42" s="597" t="s">
        <v>3241</v>
      </c>
      <c r="F42" s="573">
        <f>SUMIF(122:122,E42,123:123)-SUMIF(122:122,C42,123:123)+100</f>
        <v>110</v>
      </c>
      <c r="G42" s="597" t="s">
        <v>3241</v>
      </c>
      <c r="H42" s="538">
        <f>SUMIF(122:122,G42,123:123)-SUMIF(122:122,C42,123:123)+100</f>
        <v>110</v>
      </c>
      <c r="I42" s="597" t="s">
        <v>3241</v>
      </c>
      <c r="J42" s="538">
        <f>SUMIF(122:122,I42,123:123)-SUMIF(122:122,C42,123:123)+100</f>
        <v>110</v>
      </c>
      <c r="K42" s="862">
        <v>5</v>
      </c>
      <c r="L42" s="2126"/>
      <c r="M42" s="2118"/>
      <c r="N42" s="2118"/>
      <c r="O42" s="2125"/>
      <c r="P42" s="3407"/>
      <c r="Q42" s="1557" t="str">
        <f t="shared" si="11"/>
        <v>内部装修</v>
      </c>
      <c r="R42" s="1558" t="s">
        <v>11</v>
      </c>
      <c r="S42" s="1559">
        <f t="shared" si="12"/>
        <v>110</v>
      </c>
      <c r="T42" s="1558" t="s">
        <v>11</v>
      </c>
      <c r="U42" s="1559">
        <f t="shared" si="13"/>
        <v>110</v>
      </c>
      <c r="V42" s="1558" t="s">
        <v>11</v>
      </c>
      <c r="W42" s="1559">
        <f t="shared" si="14"/>
        <v>110</v>
      </c>
      <c r="X42" s="1552"/>
      <c r="Y42" s="3407"/>
      <c r="Z42" s="1560" t="str">
        <f t="shared" si="15"/>
        <v>内部装修</v>
      </c>
      <c r="AA42" s="1561">
        <f t="shared" si="3"/>
        <v>0.90909090909090906</v>
      </c>
      <c r="AB42" s="1561">
        <f t="shared" si="4"/>
        <v>0.90909090909090906</v>
      </c>
      <c r="AC42" s="1561">
        <f t="shared" si="5"/>
        <v>0.90909090909090906</v>
      </c>
    </row>
    <row r="43" spans="1:29" ht="27.75" thickBot="1">
      <c r="A43" s="592"/>
      <c r="B43" s="525" t="s">
        <v>735</v>
      </c>
      <c r="C43" s="597" t="s">
        <v>3230</v>
      </c>
      <c r="D43" s="538">
        <v>100</v>
      </c>
      <c r="E43" s="597" t="s">
        <v>3230</v>
      </c>
      <c r="F43" s="573">
        <f>SUMIF(124:124,E43,125:125)-SUMIF(124:124,C43,125:125)+100</f>
        <v>100</v>
      </c>
      <c r="G43" s="597" t="s">
        <v>3230</v>
      </c>
      <c r="H43" s="538">
        <f>SUMIF(124:124,G43,125:125)-SUMIF(124:124,C43,125:125)+100</f>
        <v>100</v>
      </c>
      <c r="I43" s="597" t="s">
        <v>3230</v>
      </c>
      <c r="J43" s="538">
        <f>SUMIF(124:124,I43,125:125)-SUMIF(124:124,C43,125:125)+100</f>
        <v>100</v>
      </c>
      <c r="K43" s="862"/>
      <c r="L43" s="2126"/>
      <c r="M43" s="2118"/>
      <c r="N43" s="2118"/>
      <c r="O43" s="2125"/>
      <c r="P43" s="3407"/>
      <c r="Q43" s="1557" t="str">
        <f t="shared" si="11"/>
        <v>内部装修维护情况</v>
      </c>
      <c r="R43" s="1558" t="s">
        <v>11</v>
      </c>
      <c r="S43" s="1559">
        <f t="shared" si="12"/>
        <v>100</v>
      </c>
      <c r="T43" s="1558" t="s">
        <v>11</v>
      </c>
      <c r="U43" s="1559">
        <f t="shared" si="13"/>
        <v>100</v>
      </c>
      <c r="V43" s="1558" t="s">
        <v>11</v>
      </c>
      <c r="W43" s="1559">
        <f t="shared" si="14"/>
        <v>100</v>
      </c>
      <c r="X43" s="1552"/>
      <c r="Y43" s="3407"/>
      <c r="Z43" s="1560" t="str">
        <f t="shared" si="15"/>
        <v>内部装修维护情况</v>
      </c>
      <c r="AA43" s="1561">
        <f t="shared" si="3"/>
        <v>1</v>
      </c>
      <c r="AB43" s="1561">
        <f t="shared" si="4"/>
        <v>1</v>
      </c>
      <c r="AC43" s="1561">
        <f t="shared" si="5"/>
        <v>1</v>
      </c>
    </row>
    <row r="44" spans="1:29" s="1214" customFormat="1" ht="15" hidden="1">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07"/>
      <c r="Q44" s="1145">
        <f t="shared" si="11"/>
        <v>0</v>
      </c>
      <c r="R44" s="1553" t="s">
        <v>11</v>
      </c>
      <c r="S44" s="1554">
        <f t="shared" si="12"/>
        <v>100</v>
      </c>
      <c r="T44" s="1553" t="s">
        <v>11</v>
      </c>
      <c r="U44" s="1554">
        <f t="shared" si="13"/>
        <v>100</v>
      </c>
      <c r="V44" s="1553" t="s">
        <v>11</v>
      </c>
      <c r="W44" s="1554">
        <f t="shared" si="14"/>
        <v>100</v>
      </c>
      <c r="X44" s="1555"/>
      <c r="Y44" s="3407"/>
      <c r="Z44" s="1144">
        <f t="shared" si="15"/>
        <v>0</v>
      </c>
      <c r="AA44" s="1556">
        <f t="shared" si="3"/>
        <v>1</v>
      </c>
      <c r="AB44" s="1556">
        <f t="shared" si="4"/>
        <v>1</v>
      </c>
      <c r="AC44" s="1556">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407"/>
      <c r="Q45" s="1557">
        <f t="shared" si="11"/>
        <v>0</v>
      </c>
      <c r="R45" s="1558" t="s">
        <v>11</v>
      </c>
      <c r="S45" s="1559">
        <f t="shared" si="12"/>
        <v>100</v>
      </c>
      <c r="T45" s="1558" t="s">
        <v>11</v>
      </c>
      <c r="U45" s="1559">
        <f t="shared" si="13"/>
        <v>100</v>
      </c>
      <c r="V45" s="1558" t="s">
        <v>11</v>
      </c>
      <c r="W45" s="1559">
        <f t="shared" si="14"/>
        <v>100</v>
      </c>
      <c r="X45" s="1552"/>
      <c r="Y45" s="3407"/>
      <c r="Z45" s="1560">
        <f t="shared" si="15"/>
        <v>0</v>
      </c>
      <c r="AA45" s="1561">
        <f t="shared" si="3"/>
        <v>1</v>
      </c>
      <c r="AB45" s="1561">
        <f t="shared" si="4"/>
        <v>1</v>
      </c>
      <c r="AC45" s="1561">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516"/>
      <c r="Q46" s="1557">
        <f t="shared" si="11"/>
        <v>0</v>
      </c>
      <c r="R46" s="1558" t="s">
        <v>10</v>
      </c>
      <c r="S46" s="1559">
        <f t="shared" si="12"/>
        <v>100</v>
      </c>
      <c r="T46" s="1558" t="s">
        <v>10</v>
      </c>
      <c r="U46" s="1559">
        <f t="shared" si="13"/>
        <v>100</v>
      </c>
      <c r="V46" s="1558" t="s">
        <v>10</v>
      </c>
      <c r="W46" s="1559">
        <f t="shared" si="14"/>
        <v>100</v>
      </c>
      <c r="X46" s="1552"/>
      <c r="Y46" s="3516"/>
      <c r="Z46" s="1560">
        <f t="shared" si="15"/>
        <v>0</v>
      </c>
      <c r="AA46" s="1561">
        <f t="shared" si="3"/>
        <v>1</v>
      </c>
      <c r="AB46" s="1561">
        <f t="shared" si="4"/>
        <v>1</v>
      </c>
      <c r="AC46" s="1561">
        <f t="shared" si="5"/>
        <v>1</v>
      </c>
    </row>
    <row r="47" spans="1:29" ht="15">
      <c r="A47" s="605" t="s">
        <v>736</v>
      </c>
      <c r="B47" s="885"/>
      <c r="C47" s="2590" t="s">
        <v>9</v>
      </c>
      <c r="D47" s="2591"/>
      <c r="E47" s="2592">
        <f>ROUND(10000*$F$50,0)</f>
        <v>9500</v>
      </c>
      <c r="F47" s="2593"/>
      <c r="G47" s="2592">
        <f>ROUND(10000*$F$50,0)</f>
        <v>9500</v>
      </c>
      <c r="H47" s="2595"/>
      <c r="I47" s="2592">
        <f>ROUND(13000*$F$50,0)</f>
        <v>12350</v>
      </c>
      <c r="J47" s="2595"/>
      <c r="K47" s="1590"/>
      <c r="L47" s="2128"/>
      <c r="M47" s="2129"/>
      <c r="N47" s="2118"/>
      <c r="O47" s="2129"/>
      <c r="P47" s="3401" t="str">
        <f>A47</f>
        <v>成交单价（元/平方米）</v>
      </c>
      <c r="Q47" s="3401"/>
      <c r="R47" s="3515">
        <f>E47</f>
        <v>9500</v>
      </c>
      <c r="S47" s="3515"/>
      <c r="T47" s="3515">
        <f>G47</f>
        <v>9500</v>
      </c>
      <c r="U47" s="3515"/>
      <c r="V47" s="3515">
        <f>I47</f>
        <v>12350</v>
      </c>
      <c r="W47" s="3515"/>
      <c r="X47" s="1544"/>
      <c r="Y47" s="1566"/>
      <c r="Z47" s="1544"/>
      <c r="AA47" s="1544"/>
      <c r="AB47" s="1544"/>
      <c r="AC47" s="1544"/>
    </row>
    <row r="48" spans="1:29" ht="15.75" thickBot="1">
      <c r="A48" s="613" t="s">
        <v>2757</v>
      </c>
      <c r="B48" s="886"/>
      <c r="C48" s="2596">
        <f>R49</f>
        <v>10539</v>
      </c>
      <c r="D48" s="2597"/>
      <c r="E48" s="2598">
        <f>R48</f>
        <v>10795</v>
      </c>
      <c r="F48" s="2598"/>
      <c r="G48" s="2596">
        <f>T48</f>
        <v>9596</v>
      </c>
      <c r="H48" s="2597"/>
      <c r="I48" s="2598">
        <f>V48</f>
        <v>11227</v>
      </c>
      <c r="J48" s="2597"/>
      <c r="K48" s="1591"/>
      <c r="L48" s="2128"/>
      <c r="M48" s="2129"/>
      <c r="N48" s="2129"/>
      <c r="O48" s="2129"/>
      <c r="P48" s="3401" t="str">
        <f>A48</f>
        <v>比较价格（元/平方米）</v>
      </c>
      <c r="Q48" s="3401"/>
      <c r="R48" s="3515">
        <f>IF(F1="售价",ROUND(PRODUCT(R47,AA7:AA46),0),ROUND(PRODUCT(R47,AA7:AA46),1))</f>
        <v>10795</v>
      </c>
      <c r="S48" s="3515"/>
      <c r="T48" s="3515">
        <f>IF(F1="售价",ROUND(PRODUCT(T47,AB7:AB46),0),ROUND(PRODUCT(T47,AB7:AB46),1))</f>
        <v>9596</v>
      </c>
      <c r="U48" s="3515"/>
      <c r="V48" s="3515">
        <f>IF(F1="售价",ROUND(PRODUCT(V47,AC7:AC46),0),ROUND(PRODUCT(V47,AC7:AC46),1))</f>
        <v>11227</v>
      </c>
      <c r="W48" s="3515"/>
      <c r="X48" s="1544"/>
      <c r="Y48" s="1544"/>
      <c r="Z48" s="1544"/>
      <c r="AA48" s="1544"/>
      <c r="AB48" s="1544"/>
      <c r="AC48" s="1544"/>
    </row>
    <row r="49" spans="1:29" ht="15.75" thickBot="1">
      <c r="A49" s="619" t="s">
        <v>2930</v>
      </c>
      <c r="B49" s="620"/>
      <c r="C49" s="2599">
        <f>R49</f>
        <v>10539</v>
      </c>
      <c r="D49" s="2599"/>
      <c r="E49" s="2599"/>
      <c r="F49" s="2599"/>
      <c r="G49" s="2599"/>
      <c r="H49" s="2599"/>
      <c r="I49" s="2599"/>
      <c r="J49" s="2599"/>
      <c r="K49" s="1592"/>
      <c r="L49" s="2128"/>
      <c r="M49" s="2129"/>
      <c r="N49" s="2129"/>
      <c r="O49" s="2129"/>
      <c r="P49" s="3398" t="str">
        <f>A49</f>
        <v>估价对象XX用房的比较价格（楼面单价，元/平方米）</v>
      </c>
      <c r="Q49" s="3399"/>
      <c r="R49" s="3514">
        <f>IF(F1="售价",ROUND(AVERAGE(R48:V48),0),ROUND(AVERAGE(R48:V48),1))</f>
        <v>10539</v>
      </c>
      <c r="S49" s="3514"/>
      <c r="T49" s="3514"/>
      <c r="U49" s="3514"/>
      <c r="V49" s="3514"/>
      <c r="W49" s="3514"/>
      <c r="X49" s="1544"/>
      <c r="Y49" s="1544"/>
      <c r="Z49" s="1544"/>
      <c r="AA49" s="1544"/>
      <c r="AB49" s="1544"/>
      <c r="AC49" s="1544"/>
    </row>
    <row r="50" spans="1:29">
      <c r="A50" s="2129"/>
      <c r="B50" s="2129"/>
      <c r="C50" s="2129">
        <f>ROUND(C49*1.2,0)</f>
        <v>12647</v>
      </c>
      <c r="D50" s="2129"/>
      <c r="E50" s="3195" t="s">
        <v>3234</v>
      </c>
      <c r="F50" s="2129">
        <v>0.95</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0.13631578947368417</v>
      </c>
      <c r="F52" s="625" t="str">
        <f>IF(OR(E52&gt;=0.3,E52&lt;=-0.3),"超过30%","")</f>
        <v/>
      </c>
      <c r="G52" s="624">
        <f>IF(G47&lt;G48,G48/G47-1,G47/G48-1)</f>
        <v>1.0105263157894839E-2</v>
      </c>
      <c r="H52" s="625" t="str">
        <f>IF(OR(G52&gt;=0.3,G52&lt;=-0.3),"超过30%","")</f>
        <v/>
      </c>
      <c r="I52" s="624">
        <f>IF(I47&lt;I48,I48/I47-1,I47/I48-1)</f>
        <v>0.10002672129687351</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0.12494789495623171</v>
      </c>
      <c r="F53" s="625" t="str">
        <f>IF(OR(E53&gt;=0.2,E53&lt;=-0.2),"超过20%","")</f>
        <v/>
      </c>
      <c r="G53" s="624">
        <f>IF(G48&lt;I48,I48/G48-1,G48/I48-1)</f>
        <v>0.1699666527719883</v>
      </c>
      <c r="H53" s="625" t="str">
        <f>IF(OR(G53&gt;=0.2,G53&lt;=-0.2),"超过20%","")</f>
        <v/>
      </c>
      <c r="I53" s="624">
        <f>IF(I48&lt;E48,E48/I48-1,I48/E48-1)</f>
        <v>4.0018527095877721E-2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0</v>
      </c>
      <c r="F54" s="625" t="str">
        <f>IF(OR(E54&gt;=0.3,E54&lt;=-0.3),"超过30%","")</f>
        <v/>
      </c>
      <c r="G54" s="624">
        <f>IF(G47&lt;I47,I47/G47-1,G47/I47-1)</f>
        <v>0.30000000000000004</v>
      </c>
      <c r="H54" s="625" t="str">
        <f>IF(OR(G54&gt;=0.3,G54&lt;=-0.3),"超过30%","")</f>
        <v>超过30%</v>
      </c>
      <c r="I54" s="624">
        <f>IF(I47&lt;E47,E47/I47-1,I47/E47-1)</f>
        <v>0.30000000000000004</v>
      </c>
      <c r="J54" s="625"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2556</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3003</v>
      </c>
      <c r="D100" s="3184" t="s">
        <v>3004</v>
      </c>
      <c r="E100" s="3184" t="s">
        <v>3005</v>
      </c>
      <c r="F100" s="3184" t="s">
        <v>3006</v>
      </c>
      <c r="G100" s="3184" t="s">
        <v>3007</v>
      </c>
      <c r="H100" s="3184" t="s">
        <v>3008</v>
      </c>
      <c r="I100" s="3184" t="s">
        <v>3009</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3010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3011</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3012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3013</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2554</v>
      </c>
      <c r="C116" s="3185" t="s">
        <v>3014</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3015</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3016</v>
      </c>
      <c r="D122" s="3185" t="s">
        <v>3017</v>
      </c>
      <c r="E122" s="3185" t="s">
        <v>3018</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413" t="s">
        <v>522</v>
      </c>
      <c r="D4" s="3414"/>
      <c r="E4" s="3415" t="s">
        <v>523</v>
      </c>
      <c r="F4" s="3416"/>
      <c r="G4" s="3413" t="s">
        <v>524</v>
      </c>
      <c r="H4" s="3414"/>
      <c r="I4" s="3413" t="s">
        <v>525</v>
      </c>
      <c r="J4" s="3414"/>
      <c r="K4" s="512" t="s">
        <v>526</v>
      </c>
      <c r="L4" s="2117"/>
      <c r="M4" s="2118"/>
      <c r="N4" s="2118"/>
      <c r="O4" s="2118"/>
      <c r="P4" s="3417" t="s">
        <v>527</v>
      </c>
      <c r="Q4" s="3418"/>
      <c r="R4" s="3423" t="s">
        <v>523</v>
      </c>
      <c r="S4" s="3424"/>
      <c r="T4" s="3423" t="s">
        <v>524</v>
      </c>
      <c r="U4" s="3424"/>
      <c r="V4" s="3403" t="s">
        <v>525</v>
      </c>
      <c r="W4" s="3403"/>
      <c r="X4" s="1552"/>
      <c r="Y4" s="3423" t="s">
        <v>527</v>
      </c>
      <c r="Z4" s="3424"/>
      <c r="AA4" s="3410" t="s">
        <v>523</v>
      </c>
      <c r="AB4" s="3403" t="s">
        <v>524</v>
      </c>
      <c r="AC4" s="3410" t="s">
        <v>525</v>
      </c>
    </row>
    <row r="5" spans="1:29" ht="15">
      <c r="A5" s="513"/>
      <c r="B5" s="514"/>
      <c r="C5" s="3431" t="s">
        <v>2924</v>
      </c>
      <c r="D5" s="3432"/>
      <c r="E5" s="3429" t="s">
        <v>2925</v>
      </c>
      <c r="F5" s="3430"/>
      <c r="G5" s="3431" t="s">
        <v>2926</v>
      </c>
      <c r="H5" s="3432"/>
      <c r="I5" s="3431" t="s">
        <v>2927</v>
      </c>
      <c r="J5" s="3432"/>
      <c r="K5" s="512"/>
      <c r="L5" s="2117"/>
      <c r="M5" s="2118"/>
      <c r="N5" s="2118"/>
      <c r="O5" s="2118"/>
      <c r="P5" s="3419"/>
      <c r="Q5" s="3420"/>
      <c r="R5" s="3425"/>
      <c r="S5" s="3426"/>
      <c r="T5" s="3425"/>
      <c r="U5" s="3426"/>
      <c r="V5" s="3403"/>
      <c r="W5" s="3403"/>
      <c r="X5" s="1552"/>
      <c r="Y5" s="3425"/>
      <c r="Z5" s="3426"/>
      <c r="AA5" s="3411"/>
      <c r="AB5" s="3403"/>
      <c r="AC5" s="3411"/>
    </row>
    <row r="6" spans="1:29" ht="15.75" thickBot="1">
      <c r="A6" s="515"/>
      <c r="B6" s="516"/>
      <c r="C6" s="3433" t="s">
        <v>2928</v>
      </c>
      <c r="D6" s="3434"/>
      <c r="E6" s="3436" t="s">
        <v>2928</v>
      </c>
      <c r="F6" s="3437"/>
      <c r="G6" s="3433" t="s">
        <v>2928</v>
      </c>
      <c r="H6" s="3434"/>
      <c r="I6" s="3433" t="s">
        <v>2928</v>
      </c>
      <c r="J6" s="3434"/>
      <c r="K6" s="512" t="s">
        <v>528</v>
      </c>
      <c r="L6" s="2117"/>
      <c r="M6" s="2118"/>
      <c r="N6" s="2118"/>
      <c r="O6" s="2118"/>
      <c r="P6" s="3421"/>
      <c r="Q6" s="3422"/>
      <c r="R6" s="3425"/>
      <c r="S6" s="3426"/>
      <c r="T6" s="3427"/>
      <c r="U6" s="3428"/>
      <c r="V6" s="3403"/>
      <c r="W6" s="3403"/>
      <c r="X6" s="1552"/>
      <c r="Y6" s="3427"/>
      <c r="Z6" s="3428"/>
      <c r="AA6" s="3412"/>
      <c r="AB6" s="3403"/>
      <c r="AC6" s="3412"/>
    </row>
    <row r="7" spans="1:29" s="1214" customFormat="1" ht="15.75" thickBot="1">
      <c r="A7" s="2866"/>
      <c r="B7" s="2873" t="s">
        <v>529</v>
      </c>
      <c r="C7" s="517">
        <f>'数据-取费表'!B2</f>
        <v>43571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408" t="s">
        <v>530</v>
      </c>
      <c r="Q7" s="3435"/>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4" customFormat="1" ht="15.75"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408" t="s">
        <v>533</v>
      </c>
      <c r="Q8" s="3409"/>
      <c r="R8" s="1553" t="s">
        <v>8</v>
      </c>
      <c r="S8" s="1554">
        <f t="shared" si="0"/>
        <v>0</v>
      </c>
      <c r="T8" s="1553" t="s">
        <v>8</v>
      </c>
      <c r="U8" s="1554">
        <f t="shared" si="1"/>
        <v>0</v>
      </c>
      <c r="V8" s="1553" t="s">
        <v>8</v>
      </c>
      <c r="W8" s="1554">
        <f t="shared" si="2"/>
        <v>0</v>
      </c>
      <c r="X8" s="1555"/>
      <c r="Y8" s="3408" t="s">
        <v>533</v>
      </c>
      <c r="Z8" s="3409"/>
      <c r="AA8" s="1556" t="e">
        <f t="shared" ref="AA8:AA46" si="3">D8/F8</f>
        <v>#DIV/0!</v>
      </c>
      <c r="AB8" s="1556" t="e">
        <f t="shared" ref="AB8:AB46" si="4">D8/H8</f>
        <v>#DIV/0!</v>
      </c>
      <c r="AC8" s="1556" t="e">
        <f t="shared" ref="AC8:AC46" si="5">D8/J8</f>
        <v>#DIV/0!</v>
      </c>
    </row>
    <row r="9" spans="1:29" s="1214" customFormat="1" ht="15">
      <c r="A9" s="2868"/>
      <c r="B9" s="2875" t="s">
        <v>2753</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401" t="s">
        <v>535</v>
      </c>
      <c r="Q9" s="1145" t="str">
        <f t="shared" ref="Q9:Q15" si="6">B9</f>
        <v>用途</v>
      </c>
      <c r="R9" s="1553" t="s">
        <v>8</v>
      </c>
      <c r="S9" s="1554">
        <f t="shared" si="0"/>
        <v>100</v>
      </c>
      <c r="T9" s="1553" t="s">
        <v>8</v>
      </c>
      <c r="U9" s="1554">
        <f t="shared" si="1"/>
        <v>100</v>
      </c>
      <c r="V9" s="1553" t="s">
        <v>8</v>
      </c>
      <c r="W9" s="1554">
        <f t="shared" si="2"/>
        <v>100</v>
      </c>
      <c r="X9" s="1555"/>
      <c r="Y9" s="3366"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401"/>
      <c r="Q11" s="1145" t="str">
        <f t="shared" si="6"/>
        <v>容积率</v>
      </c>
      <c r="R11" s="1553" t="s">
        <v>8</v>
      </c>
      <c r="S11" s="1554" t="e">
        <f t="shared" si="0"/>
        <v>#N/A</v>
      </c>
      <c r="T11" s="1553" t="s">
        <v>8</v>
      </c>
      <c r="U11" s="1554" t="e">
        <f t="shared" si="1"/>
        <v>#N/A</v>
      </c>
      <c r="V11" s="1553" t="s">
        <v>8</v>
      </c>
      <c r="W11" s="1554" t="e">
        <f t="shared" si="2"/>
        <v>#N/A</v>
      </c>
      <c r="X11" s="1555"/>
      <c r="Y11" s="336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401"/>
      <c r="Q12" s="1145">
        <f t="shared" si="6"/>
        <v>111</v>
      </c>
      <c r="R12" s="1553" t="s">
        <v>8</v>
      </c>
      <c r="S12" s="1554">
        <f t="shared" si="0"/>
        <v>100</v>
      </c>
      <c r="T12" s="1553" t="s">
        <v>8</v>
      </c>
      <c r="U12" s="1554">
        <f t="shared" si="1"/>
        <v>100</v>
      </c>
      <c r="V12" s="1553" t="s">
        <v>8</v>
      </c>
      <c r="W12" s="1554">
        <f t="shared" si="2"/>
        <v>100</v>
      </c>
      <c r="X12" s="1555"/>
      <c r="Y12" s="3366"/>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401"/>
      <c r="Q13" s="1145">
        <f t="shared" si="6"/>
        <v>111</v>
      </c>
      <c r="R13" s="1553" t="s">
        <v>8</v>
      </c>
      <c r="S13" s="1554">
        <f t="shared" si="0"/>
        <v>100</v>
      </c>
      <c r="T13" s="1553" t="s">
        <v>8</v>
      </c>
      <c r="U13" s="1554">
        <f t="shared" si="1"/>
        <v>100</v>
      </c>
      <c r="V13" s="1553" t="s">
        <v>8</v>
      </c>
      <c r="W13" s="1554">
        <f t="shared" si="2"/>
        <v>100</v>
      </c>
      <c r="X13" s="1555"/>
      <c r="Y13" s="3366"/>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401"/>
      <c r="Q14" s="1145">
        <f t="shared" si="6"/>
        <v>111</v>
      </c>
      <c r="R14" s="1553" t="s">
        <v>8</v>
      </c>
      <c r="S14" s="1554">
        <f t="shared" si="0"/>
        <v>100</v>
      </c>
      <c r="T14" s="1553" t="s">
        <v>8</v>
      </c>
      <c r="U14" s="1554">
        <f t="shared" si="1"/>
        <v>100</v>
      </c>
      <c r="V14" s="1553" t="s">
        <v>8</v>
      </c>
      <c r="W14" s="1554">
        <f t="shared" si="2"/>
        <v>100</v>
      </c>
      <c r="X14" s="1555"/>
      <c r="Y14" s="3366"/>
      <c r="Z14" s="1144">
        <f t="shared" si="7"/>
        <v>111</v>
      </c>
      <c r="AA14" s="1556">
        <f t="shared" si="3"/>
        <v>1</v>
      </c>
      <c r="AB14" s="1556">
        <f t="shared" si="4"/>
        <v>1</v>
      </c>
      <c r="AC14" s="1556">
        <f t="shared" si="5"/>
        <v>1</v>
      </c>
    </row>
    <row r="15" spans="1:29" ht="71.25">
      <c r="A15" s="2864" t="s">
        <v>2751</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04" t="s">
        <v>540</v>
      </c>
      <c r="Q15" s="1557" t="str">
        <f t="shared" si="6"/>
        <v>商业繁华度</v>
      </c>
      <c r="R15" s="1558" t="s">
        <v>8</v>
      </c>
      <c r="S15" s="1559">
        <f t="shared" si="0"/>
        <v>100</v>
      </c>
      <c r="T15" s="1558" t="s">
        <v>8</v>
      </c>
      <c r="U15" s="1559">
        <f t="shared" si="1"/>
        <v>100</v>
      </c>
      <c r="V15" s="1558" t="s">
        <v>8</v>
      </c>
      <c r="W15" s="1559">
        <f t="shared" si="2"/>
        <v>100</v>
      </c>
      <c r="X15" s="1552"/>
      <c r="Y15" s="3404"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0"/>
      <c r="B21" s="2556"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05"/>
      <c r="Q23" s="1557" t="str">
        <f>B23</f>
        <v>自然及人文环境</v>
      </c>
      <c r="R23" s="1558" t="s">
        <v>8</v>
      </c>
      <c r="S23" s="1559">
        <f>F23</f>
        <v>100</v>
      </c>
      <c r="T23" s="1558" t="s">
        <v>8</v>
      </c>
      <c r="U23" s="1559">
        <f>H23</f>
        <v>100</v>
      </c>
      <c r="V23" s="1558" t="s">
        <v>8</v>
      </c>
      <c r="W23" s="1559">
        <f>J23</f>
        <v>100</v>
      </c>
      <c r="X23" s="1552"/>
      <c r="Y23" s="340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05"/>
      <c r="Q25" s="1557" t="str">
        <f t="shared" ref="Q25:Q46" si="11">B25</f>
        <v>临街状况</v>
      </c>
      <c r="R25" s="1558" t="s">
        <v>8</v>
      </c>
      <c r="S25" s="1559">
        <f>F25</f>
        <v>100</v>
      </c>
      <c r="T25" s="1558" t="s">
        <v>8</v>
      </c>
      <c r="U25" s="1559">
        <f>H25</f>
        <v>100</v>
      </c>
      <c r="V25" s="1558" t="s">
        <v>8</v>
      </c>
      <c r="W25" s="1559">
        <f>J25</f>
        <v>100</v>
      </c>
      <c r="X25" s="1552"/>
      <c r="Y25" s="3405"/>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05"/>
      <c r="Q26" s="1557" t="str">
        <f t="shared" si="11"/>
        <v>平面位置/可视性</v>
      </c>
      <c r="R26" s="1558" t="s">
        <v>8</v>
      </c>
      <c r="S26" s="1559">
        <f>F26</f>
        <v>100</v>
      </c>
      <c r="T26" s="1558" t="s">
        <v>8</v>
      </c>
      <c r="U26" s="1559">
        <f>H26</f>
        <v>100</v>
      </c>
      <c r="V26" s="1558" t="s">
        <v>8</v>
      </c>
      <c r="W26" s="1559">
        <f>J26</f>
        <v>100</v>
      </c>
      <c r="X26" s="1552"/>
      <c r="Y26" s="3405"/>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05"/>
      <c r="Q27" s="1145" t="str">
        <f t="shared" si="11"/>
        <v>人流量</v>
      </c>
      <c r="R27" s="1553" t="s">
        <v>8</v>
      </c>
      <c r="S27" s="1554">
        <f>F27</f>
        <v>100</v>
      </c>
      <c r="T27" s="1553" t="s">
        <v>8</v>
      </c>
      <c r="U27" s="1554">
        <f>H27</f>
        <v>100</v>
      </c>
      <c r="V27" s="1553" t="s">
        <v>8</v>
      </c>
      <c r="W27" s="1554">
        <f>J27</f>
        <v>100</v>
      </c>
      <c r="X27" s="1555"/>
      <c r="Y27" s="3405"/>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0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05"/>
      <c r="Q29" s="1557">
        <f t="shared" si="11"/>
        <v>111</v>
      </c>
      <c r="R29" s="1558" t="s">
        <v>8</v>
      </c>
      <c r="S29" s="1559">
        <f t="shared" si="12"/>
        <v>100</v>
      </c>
      <c r="T29" s="1558" t="s">
        <v>8</v>
      </c>
      <c r="U29" s="1559">
        <f t="shared" si="13"/>
        <v>100</v>
      </c>
      <c r="V29" s="1558" t="s">
        <v>8</v>
      </c>
      <c r="W29" s="1559">
        <f t="shared" si="14"/>
        <v>100</v>
      </c>
      <c r="X29" s="1552"/>
      <c r="Y29" s="340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
      <c r="A32" s="2861"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06" t="s">
        <v>550</v>
      </c>
      <c r="Q32" s="1557" t="str">
        <f t="shared" si="11"/>
        <v>商业类型</v>
      </c>
      <c r="R32" s="1558" t="s">
        <v>8</v>
      </c>
      <c r="S32" s="1559">
        <f t="shared" si="12"/>
        <v>100</v>
      </c>
      <c r="T32" s="1558" t="s">
        <v>8</v>
      </c>
      <c r="U32" s="1559">
        <f t="shared" si="13"/>
        <v>100</v>
      </c>
      <c r="V32" s="1558" t="s">
        <v>8</v>
      </c>
      <c r="W32" s="1559">
        <f t="shared" si="14"/>
        <v>100</v>
      </c>
      <c r="X32" s="1552"/>
      <c r="Y32" s="3407"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07"/>
      <c r="Q33" s="1589" t="str">
        <f t="shared" si="11"/>
        <v>项目建筑规模</v>
      </c>
      <c r="R33" s="1562" t="s">
        <v>8</v>
      </c>
      <c r="S33" s="1563" t="e">
        <f t="shared" si="12"/>
        <v>#N/A</v>
      </c>
      <c r="T33" s="1562" t="s">
        <v>8</v>
      </c>
      <c r="U33" s="1563" t="e">
        <f t="shared" si="13"/>
        <v>#N/A</v>
      </c>
      <c r="V33" s="1562" t="s">
        <v>8</v>
      </c>
      <c r="W33" s="1563" t="e">
        <f t="shared" si="14"/>
        <v>#N/A</v>
      </c>
      <c r="X33" s="1564"/>
      <c r="Y33" s="3407"/>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07"/>
      <c r="Q34" s="1557" t="str">
        <f t="shared" si="11"/>
        <v>建筑结构</v>
      </c>
      <c r="R34" s="1558" t="s">
        <v>8</v>
      </c>
      <c r="S34" s="1559">
        <f t="shared" si="12"/>
        <v>100</v>
      </c>
      <c r="T34" s="1558" t="s">
        <v>8</v>
      </c>
      <c r="U34" s="1559">
        <f t="shared" si="13"/>
        <v>100</v>
      </c>
      <c r="V34" s="1558" t="s">
        <v>8</v>
      </c>
      <c r="W34" s="1559">
        <f t="shared" si="14"/>
        <v>100</v>
      </c>
      <c r="X34" s="1552"/>
      <c r="Y34" s="3407"/>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07"/>
      <c r="Q35" s="1557" t="str">
        <f t="shared" si="11"/>
        <v>公共部分装修</v>
      </c>
      <c r="R35" s="1558" t="s">
        <v>8</v>
      </c>
      <c r="S35" s="1559">
        <f t="shared" si="12"/>
        <v>100</v>
      </c>
      <c r="T35" s="1558" t="s">
        <v>8</v>
      </c>
      <c r="U35" s="1559">
        <f t="shared" si="13"/>
        <v>100</v>
      </c>
      <c r="V35" s="1558" t="s">
        <v>8</v>
      </c>
      <c r="W35" s="1559">
        <f t="shared" si="14"/>
        <v>100</v>
      </c>
      <c r="X35" s="1552"/>
      <c r="Y35" s="3407"/>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07"/>
      <c r="Q36" s="1557" t="str">
        <f t="shared" si="11"/>
        <v>成新度</v>
      </c>
      <c r="R36" s="1558" t="s">
        <v>8</v>
      </c>
      <c r="S36" s="1559" t="e">
        <f t="shared" si="12"/>
        <v>#N/A</v>
      </c>
      <c r="T36" s="1558" t="s">
        <v>8</v>
      </c>
      <c r="U36" s="1559" t="e">
        <f t="shared" si="13"/>
        <v>#N/A</v>
      </c>
      <c r="V36" s="1558" t="s">
        <v>8</v>
      </c>
      <c r="W36" s="1559" t="e">
        <f t="shared" si="14"/>
        <v>#N/A</v>
      </c>
      <c r="X36" s="1552"/>
      <c r="Y36" s="3407"/>
      <c r="Z36" s="1560" t="str">
        <f t="shared" si="15"/>
        <v>成新度</v>
      </c>
      <c r="AA36" s="1561" t="e">
        <f t="shared" si="3"/>
        <v>#N/A</v>
      </c>
      <c r="AB36" s="1561" t="e">
        <f t="shared" si="4"/>
        <v>#N/A</v>
      </c>
      <c r="AC36" s="1561" t="e">
        <f t="shared" si="5"/>
        <v>#N/A</v>
      </c>
    </row>
    <row r="37" spans="1:29" s="1214" customFormat="1" ht="15">
      <c r="A37" s="598"/>
      <c r="B37" s="1879"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07"/>
      <c r="Q37" s="1145" t="str">
        <f t="shared" si="11"/>
        <v>市政基础设施</v>
      </c>
      <c r="R37" s="1553" t="s">
        <v>8</v>
      </c>
      <c r="S37" s="1554">
        <f t="shared" si="12"/>
        <v>100</v>
      </c>
      <c r="T37" s="1553" t="s">
        <v>8</v>
      </c>
      <c r="U37" s="1554">
        <f t="shared" si="13"/>
        <v>100</v>
      </c>
      <c r="V37" s="1553" t="s">
        <v>8</v>
      </c>
      <c r="W37" s="1554">
        <f t="shared" si="14"/>
        <v>100</v>
      </c>
      <c r="X37" s="1555"/>
      <c r="Y37" s="3407"/>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07" t="s">
        <v>766</v>
      </c>
      <c r="Q38" s="1557" t="str">
        <f t="shared" si="11"/>
        <v>业态</v>
      </c>
      <c r="R38" s="1558" t="s">
        <v>8</v>
      </c>
      <c r="S38" s="1559">
        <f t="shared" si="12"/>
        <v>100</v>
      </c>
      <c r="T38" s="1558" t="s">
        <v>8</v>
      </c>
      <c r="U38" s="1559">
        <f t="shared" si="13"/>
        <v>100</v>
      </c>
      <c r="V38" s="1558" t="s">
        <v>8</v>
      </c>
      <c r="W38" s="1559">
        <f t="shared" si="14"/>
        <v>100</v>
      </c>
      <c r="X38" s="1552"/>
      <c r="Y38" s="3407"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7"/>
      <c r="Q39" s="1557" t="str">
        <f t="shared" si="11"/>
        <v>层高</v>
      </c>
      <c r="R39" s="1558" t="s">
        <v>8</v>
      </c>
      <c r="S39" s="1559">
        <f t="shared" si="12"/>
        <v>100</v>
      </c>
      <c r="T39" s="1558" t="s">
        <v>8</v>
      </c>
      <c r="U39" s="1559">
        <f t="shared" si="13"/>
        <v>100</v>
      </c>
      <c r="V39" s="1558" t="s">
        <v>8</v>
      </c>
      <c r="W39" s="1559">
        <f t="shared" si="14"/>
        <v>100</v>
      </c>
      <c r="X39" s="1552"/>
      <c r="Y39" s="3407"/>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07"/>
      <c r="Q40" s="1557" t="str">
        <f t="shared" si="11"/>
        <v>单套建筑面积</v>
      </c>
      <c r="R40" s="1558" t="s">
        <v>8</v>
      </c>
      <c r="S40" s="1559">
        <f t="shared" si="12"/>
        <v>100</v>
      </c>
      <c r="T40" s="1558" t="s">
        <v>8</v>
      </c>
      <c r="U40" s="1559">
        <f t="shared" si="13"/>
        <v>100</v>
      </c>
      <c r="V40" s="1558" t="s">
        <v>8</v>
      </c>
      <c r="W40" s="1559">
        <f t="shared" si="14"/>
        <v>100</v>
      </c>
      <c r="X40" s="1552"/>
      <c r="Y40" s="3407"/>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07"/>
      <c r="Q41" s="1589" t="str">
        <f t="shared" si="11"/>
        <v>进深比</v>
      </c>
      <c r="R41" s="1562" t="s">
        <v>8</v>
      </c>
      <c r="S41" s="1563">
        <f t="shared" si="12"/>
        <v>100</v>
      </c>
      <c r="T41" s="1562" t="s">
        <v>8</v>
      </c>
      <c r="U41" s="1563">
        <f t="shared" si="13"/>
        <v>100</v>
      </c>
      <c r="V41" s="1562" t="s">
        <v>8</v>
      </c>
      <c r="W41" s="1563">
        <f t="shared" si="14"/>
        <v>100</v>
      </c>
      <c r="X41" s="1564"/>
      <c r="Y41" s="3407"/>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07"/>
      <c r="Q42" s="1557" t="str">
        <f t="shared" si="11"/>
        <v>内部装修</v>
      </c>
      <c r="R42" s="1558" t="s">
        <v>8</v>
      </c>
      <c r="S42" s="1559">
        <f t="shared" si="12"/>
        <v>100</v>
      </c>
      <c r="T42" s="1558" t="s">
        <v>8</v>
      </c>
      <c r="U42" s="1559">
        <f t="shared" si="13"/>
        <v>100</v>
      </c>
      <c r="V42" s="1558" t="s">
        <v>8</v>
      </c>
      <c r="W42" s="1559">
        <f t="shared" si="14"/>
        <v>100</v>
      </c>
      <c r="X42" s="1552"/>
      <c r="Y42" s="3407"/>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07"/>
      <c r="Q43" s="1557" t="str">
        <f t="shared" si="11"/>
        <v>内部装修维护情况</v>
      </c>
      <c r="R43" s="1558" t="s">
        <v>8</v>
      </c>
      <c r="S43" s="1559">
        <f t="shared" si="12"/>
        <v>100</v>
      </c>
      <c r="T43" s="1558" t="s">
        <v>8</v>
      </c>
      <c r="U43" s="1559">
        <f t="shared" si="13"/>
        <v>100</v>
      </c>
      <c r="V43" s="1558" t="s">
        <v>8</v>
      </c>
      <c r="W43" s="1559">
        <f t="shared" si="14"/>
        <v>100</v>
      </c>
      <c r="X43" s="1552"/>
      <c r="Y43" s="340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07"/>
      <c r="Q44" s="1145">
        <f t="shared" si="11"/>
        <v>111</v>
      </c>
      <c r="R44" s="1553" t="s">
        <v>8</v>
      </c>
      <c r="S44" s="1554">
        <f t="shared" si="12"/>
        <v>100</v>
      </c>
      <c r="T44" s="1553" t="s">
        <v>8</v>
      </c>
      <c r="U44" s="1554">
        <f t="shared" si="13"/>
        <v>100</v>
      </c>
      <c r="V44" s="1553" t="s">
        <v>8</v>
      </c>
      <c r="W44" s="1554">
        <f t="shared" si="14"/>
        <v>100</v>
      </c>
      <c r="X44" s="1555"/>
      <c r="Y44" s="340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07"/>
      <c r="Q45" s="1557">
        <f t="shared" si="11"/>
        <v>111</v>
      </c>
      <c r="R45" s="1558" t="s">
        <v>8</v>
      </c>
      <c r="S45" s="1559">
        <f t="shared" si="12"/>
        <v>100</v>
      </c>
      <c r="T45" s="1558" t="s">
        <v>8</v>
      </c>
      <c r="U45" s="1559">
        <f t="shared" si="13"/>
        <v>100</v>
      </c>
      <c r="V45" s="1558" t="s">
        <v>8</v>
      </c>
      <c r="W45" s="1559">
        <f t="shared" si="14"/>
        <v>100</v>
      </c>
      <c r="X45" s="1552"/>
      <c r="Y45" s="3407"/>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516"/>
      <c r="Q46" s="1557">
        <f t="shared" si="11"/>
        <v>111</v>
      </c>
      <c r="R46" s="1558" t="s">
        <v>8</v>
      </c>
      <c r="S46" s="1559">
        <f t="shared" si="12"/>
        <v>100</v>
      </c>
      <c r="T46" s="1558" t="s">
        <v>8</v>
      </c>
      <c r="U46" s="1559">
        <f t="shared" si="13"/>
        <v>100</v>
      </c>
      <c r="V46" s="1558" t="s">
        <v>8</v>
      </c>
      <c r="W46" s="1559">
        <f t="shared" si="14"/>
        <v>100</v>
      </c>
      <c r="X46" s="1552"/>
      <c r="Y46" s="3516"/>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401" t="str">
        <f>A47</f>
        <v>成交单价（元/平方米）</v>
      </c>
      <c r="Q47" s="3401"/>
      <c r="R47" s="3515">
        <f>E47</f>
        <v>0</v>
      </c>
      <c r="S47" s="3515"/>
      <c r="T47" s="3515">
        <f>G47</f>
        <v>0</v>
      </c>
      <c r="U47" s="3515"/>
      <c r="V47" s="3515">
        <f>I47</f>
        <v>0</v>
      </c>
      <c r="W47" s="3515"/>
      <c r="X47" s="1544"/>
      <c r="Y47" s="1566"/>
      <c r="Z47" s="1544"/>
      <c r="AA47" s="1544"/>
      <c r="AB47" s="1544"/>
      <c r="AC47" s="1544"/>
    </row>
    <row r="48" spans="1:29" ht="15.75" thickBot="1">
      <c r="A48" s="613" t="s">
        <v>2757</v>
      </c>
      <c r="B48" s="886"/>
      <c r="C48" s="2596" t="e">
        <f>R49</f>
        <v>#DIV/0!</v>
      </c>
      <c r="D48" s="2597"/>
      <c r="E48" s="2598" t="e">
        <f>R48</f>
        <v>#DIV/0!</v>
      </c>
      <c r="F48" s="2598"/>
      <c r="G48" s="2596" t="e">
        <f>T48</f>
        <v>#DIV/0!</v>
      </c>
      <c r="H48" s="2597"/>
      <c r="I48" s="2598" t="e">
        <f>V48</f>
        <v>#DIV/0!</v>
      </c>
      <c r="J48" s="2597"/>
      <c r="K48" s="1596"/>
      <c r="L48" s="2128"/>
      <c r="M48" s="2129"/>
      <c r="N48" s="2118"/>
      <c r="O48" s="2129"/>
      <c r="P48" s="3401" t="str">
        <f>A48</f>
        <v>比较价格（元/平方米）</v>
      </c>
      <c r="Q48" s="3401"/>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4"/>
      <c r="Y48" s="1544"/>
      <c r="Z48" s="1544"/>
      <c r="AA48" s="1544"/>
      <c r="AB48" s="1544"/>
      <c r="AC48" s="1544"/>
    </row>
    <row r="49" spans="1:29" ht="15.75" thickBot="1">
      <c r="A49" s="619" t="s">
        <v>2930</v>
      </c>
      <c r="B49" s="620"/>
      <c r="C49" s="2599" t="e">
        <f>R49</f>
        <v>#DIV/0!</v>
      </c>
      <c r="D49" s="2599"/>
      <c r="E49" s="2599"/>
      <c r="F49" s="2599"/>
      <c r="G49" s="2599"/>
      <c r="H49" s="2599"/>
      <c r="I49" s="2599"/>
      <c r="J49" s="2599"/>
      <c r="K49" s="1597"/>
      <c r="L49" s="2128"/>
      <c r="M49" s="2129"/>
      <c r="N49" s="2118"/>
      <c r="O49" s="2129"/>
      <c r="P49" s="3398" t="str">
        <f>A49</f>
        <v>估价对象XX用房的比较价格（楼面单价，元/平方米）</v>
      </c>
      <c r="Q49" s="3399"/>
      <c r="R49" s="3514" t="e">
        <f>IF(F1="售价",ROUND(AVERAGE(R48:V48),0),ROUND(AVERAGE(R48:V48),1))</f>
        <v>#DIV/0!</v>
      </c>
      <c r="S49" s="3514"/>
      <c r="T49" s="3514"/>
      <c r="U49" s="3514"/>
      <c r="V49" s="3514"/>
      <c r="W49" s="351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2556</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2554</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2205"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413" t="s">
        <v>522</v>
      </c>
      <c r="D4" s="3414"/>
      <c r="E4" s="3415" t="s">
        <v>523</v>
      </c>
      <c r="F4" s="3416"/>
      <c r="G4" s="3413" t="s">
        <v>524</v>
      </c>
      <c r="H4" s="3414"/>
      <c r="I4" s="3413" t="s">
        <v>525</v>
      </c>
      <c r="J4" s="3414"/>
      <c r="K4" s="512" t="s">
        <v>526</v>
      </c>
      <c r="L4" s="2117"/>
      <c r="M4" s="2118"/>
      <c r="N4" s="2118"/>
      <c r="O4" s="2118"/>
      <c r="P4" s="3517" t="s">
        <v>527</v>
      </c>
      <c r="Q4" s="3418"/>
      <c r="R4" s="3423" t="s">
        <v>523</v>
      </c>
      <c r="S4" s="3424"/>
      <c r="T4" s="3423" t="s">
        <v>524</v>
      </c>
      <c r="U4" s="3424"/>
      <c r="V4" s="3403" t="s">
        <v>525</v>
      </c>
      <c r="W4" s="3403"/>
      <c r="X4" s="1552"/>
      <c r="Y4" s="3423" t="s">
        <v>527</v>
      </c>
      <c r="Z4" s="3424"/>
      <c r="AA4" s="3410" t="s">
        <v>523</v>
      </c>
      <c r="AB4" s="3410" t="s">
        <v>524</v>
      </c>
      <c r="AC4" s="3410" t="s">
        <v>525</v>
      </c>
    </row>
    <row r="5" spans="1:29" ht="15">
      <c r="A5" s="513"/>
      <c r="B5" s="514"/>
      <c r="C5" s="3431" t="s">
        <v>2924</v>
      </c>
      <c r="D5" s="3432"/>
      <c r="E5" s="3429" t="s">
        <v>2925</v>
      </c>
      <c r="F5" s="3430"/>
      <c r="G5" s="3431" t="s">
        <v>2926</v>
      </c>
      <c r="H5" s="3432"/>
      <c r="I5" s="3431" t="s">
        <v>2927</v>
      </c>
      <c r="J5" s="3432"/>
      <c r="K5" s="512"/>
      <c r="L5" s="2117"/>
      <c r="M5" s="2118"/>
      <c r="N5" s="2118"/>
      <c r="O5" s="2118"/>
      <c r="P5" s="3518"/>
      <c r="Q5" s="3420"/>
      <c r="R5" s="3425"/>
      <c r="S5" s="3426"/>
      <c r="T5" s="3425"/>
      <c r="U5" s="3426"/>
      <c r="V5" s="3403"/>
      <c r="W5" s="3403"/>
      <c r="X5" s="1552"/>
      <c r="Y5" s="3425"/>
      <c r="Z5" s="3426"/>
      <c r="AA5" s="3411"/>
      <c r="AB5" s="3411"/>
      <c r="AC5" s="3411"/>
    </row>
    <row r="6" spans="1:29" ht="15.75" thickBot="1">
      <c r="A6" s="515"/>
      <c r="B6" s="516"/>
      <c r="C6" s="3433" t="s">
        <v>2928</v>
      </c>
      <c r="D6" s="3434"/>
      <c r="E6" s="3436" t="s">
        <v>2928</v>
      </c>
      <c r="F6" s="3437"/>
      <c r="G6" s="3433" t="s">
        <v>2928</v>
      </c>
      <c r="H6" s="3434"/>
      <c r="I6" s="3433" t="s">
        <v>2928</v>
      </c>
      <c r="J6" s="3434"/>
      <c r="K6" s="512" t="s">
        <v>528</v>
      </c>
      <c r="L6" s="2117"/>
      <c r="M6" s="2118"/>
      <c r="N6" s="2118"/>
      <c r="O6" s="2118"/>
      <c r="P6" s="3519"/>
      <c r="Q6" s="3422"/>
      <c r="R6" s="3425"/>
      <c r="S6" s="3426"/>
      <c r="T6" s="3427"/>
      <c r="U6" s="3428"/>
      <c r="V6" s="3403"/>
      <c r="W6" s="3403"/>
      <c r="X6" s="1552"/>
      <c r="Y6" s="3427"/>
      <c r="Z6" s="3428"/>
      <c r="AA6" s="3412"/>
      <c r="AB6" s="3412"/>
      <c r="AC6" s="3412"/>
    </row>
    <row r="7" spans="1:29" s="1214" customFormat="1" ht="15.75" thickBot="1">
      <c r="A7" s="2866"/>
      <c r="B7" s="2873" t="s">
        <v>529</v>
      </c>
      <c r="C7" s="517">
        <f>'数据-取费表'!B2</f>
        <v>43571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435" t="s">
        <v>530</v>
      </c>
      <c r="Q7" s="3435"/>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4" customFormat="1" ht="15.75"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435" t="s">
        <v>533</v>
      </c>
      <c r="Q8" s="3409"/>
      <c r="R8" s="1553" t="s">
        <v>8</v>
      </c>
      <c r="S8" s="1554">
        <f t="shared" si="0"/>
        <v>0</v>
      </c>
      <c r="T8" s="1553" t="s">
        <v>8</v>
      </c>
      <c r="U8" s="1554">
        <f t="shared" si="1"/>
        <v>0</v>
      </c>
      <c r="V8" s="1553" t="s">
        <v>8</v>
      </c>
      <c r="W8" s="1554">
        <f t="shared" si="2"/>
        <v>0</v>
      </c>
      <c r="X8" s="1555"/>
      <c r="Y8" s="3408" t="s">
        <v>533</v>
      </c>
      <c r="Z8" s="3409"/>
      <c r="AA8" s="1556" t="e">
        <f t="shared" ref="AA8:AA47" si="3">D8/F8</f>
        <v>#DIV/0!</v>
      </c>
      <c r="AB8" s="1556" t="e">
        <f t="shared" ref="AB8:AB47" si="4">D8/H8</f>
        <v>#DIV/0!</v>
      </c>
      <c r="AC8" s="1556" t="e">
        <f t="shared" ref="AC8:AC47" si="5">D8/J8</f>
        <v>#DIV/0!</v>
      </c>
    </row>
    <row r="9" spans="1:29" s="1214" customFormat="1" ht="15">
      <c r="A9" s="2868"/>
      <c r="B9" s="2875" t="s">
        <v>2753</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401" t="s">
        <v>535</v>
      </c>
      <c r="Q9" s="1145" t="str">
        <f t="shared" ref="Q9:Q15" si="6">B9</f>
        <v>用途</v>
      </c>
      <c r="R9" s="1553" t="s">
        <v>8</v>
      </c>
      <c r="S9" s="1554">
        <f t="shared" si="0"/>
        <v>100</v>
      </c>
      <c r="T9" s="1553" t="s">
        <v>8</v>
      </c>
      <c r="U9" s="1554">
        <f t="shared" si="1"/>
        <v>100</v>
      </c>
      <c r="V9" s="1553" t="s">
        <v>8</v>
      </c>
      <c r="W9" s="1554">
        <f t="shared" si="2"/>
        <v>100</v>
      </c>
      <c r="X9" s="1555"/>
      <c r="Y9" s="3366"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401"/>
      <c r="Q11" s="1145" t="str">
        <f t="shared" si="6"/>
        <v>容积率</v>
      </c>
      <c r="R11" s="1553" t="s">
        <v>8</v>
      </c>
      <c r="S11" s="1554" t="e">
        <f t="shared" si="0"/>
        <v>#N/A</v>
      </c>
      <c r="T11" s="1553" t="s">
        <v>8</v>
      </c>
      <c r="U11" s="1554" t="e">
        <f t="shared" si="1"/>
        <v>#N/A</v>
      </c>
      <c r="V11" s="1553" t="s">
        <v>8</v>
      </c>
      <c r="W11" s="1554" t="e">
        <f t="shared" si="2"/>
        <v>#N/A</v>
      </c>
      <c r="X11" s="1555"/>
      <c r="Y11" s="336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401"/>
      <c r="Q12" s="1145">
        <f t="shared" si="6"/>
        <v>111</v>
      </c>
      <c r="R12" s="1553" t="s">
        <v>8</v>
      </c>
      <c r="S12" s="1554">
        <f t="shared" si="0"/>
        <v>100</v>
      </c>
      <c r="T12" s="1553" t="s">
        <v>8</v>
      </c>
      <c r="U12" s="1554">
        <f t="shared" si="1"/>
        <v>100</v>
      </c>
      <c r="V12" s="1553" t="s">
        <v>8</v>
      </c>
      <c r="W12" s="1554">
        <f t="shared" si="2"/>
        <v>100</v>
      </c>
      <c r="X12" s="1555"/>
      <c r="Y12" s="3366"/>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401"/>
      <c r="Q13" s="1145">
        <f t="shared" si="6"/>
        <v>111</v>
      </c>
      <c r="R13" s="1553" t="s">
        <v>8</v>
      </c>
      <c r="S13" s="1554">
        <f t="shared" si="0"/>
        <v>100</v>
      </c>
      <c r="T13" s="1553" t="s">
        <v>8</v>
      </c>
      <c r="U13" s="1554">
        <f t="shared" si="1"/>
        <v>100</v>
      </c>
      <c r="V13" s="1553" t="s">
        <v>8</v>
      </c>
      <c r="W13" s="1554">
        <f t="shared" si="2"/>
        <v>100</v>
      </c>
      <c r="X13" s="1555"/>
      <c r="Y13" s="3366"/>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401"/>
      <c r="Q14" s="1145">
        <f t="shared" si="6"/>
        <v>111</v>
      </c>
      <c r="R14" s="1553" t="s">
        <v>8</v>
      </c>
      <c r="S14" s="1554">
        <f t="shared" si="0"/>
        <v>100</v>
      </c>
      <c r="T14" s="1553" t="s">
        <v>8</v>
      </c>
      <c r="U14" s="1554">
        <f t="shared" si="1"/>
        <v>100</v>
      </c>
      <c r="V14" s="1553" t="s">
        <v>8</v>
      </c>
      <c r="W14" s="1554">
        <f t="shared" si="2"/>
        <v>100</v>
      </c>
      <c r="X14" s="1555"/>
      <c r="Y14" s="3366"/>
      <c r="Z14" s="1144">
        <f t="shared" si="7"/>
        <v>111</v>
      </c>
      <c r="AA14" s="1556">
        <f t="shared" si="3"/>
        <v>1</v>
      </c>
      <c r="AB14" s="1556">
        <f t="shared" si="4"/>
        <v>1</v>
      </c>
      <c r="AC14" s="1556">
        <f t="shared" si="5"/>
        <v>1</v>
      </c>
    </row>
    <row r="15" spans="1:29" ht="71.25">
      <c r="A15" s="2864" t="s">
        <v>2751</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04" t="s">
        <v>540</v>
      </c>
      <c r="Q15" s="1557" t="str">
        <f t="shared" si="6"/>
        <v>办公集聚程度</v>
      </c>
      <c r="R15" s="1558" t="s">
        <v>8</v>
      </c>
      <c r="S15" s="1559">
        <f t="shared" si="0"/>
        <v>100</v>
      </c>
      <c r="T15" s="1558" t="s">
        <v>8</v>
      </c>
      <c r="U15" s="1559">
        <f t="shared" si="1"/>
        <v>100</v>
      </c>
      <c r="V15" s="1558" t="s">
        <v>8</v>
      </c>
      <c r="W15" s="1559">
        <f t="shared" si="2"/>
        <v>100</v>
      </c>
      <c r="X15" s="1552"/>
      <c r="Y15" s="3404"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405"/>
      <c r="Q16" s="1557"/>
      <c r="R16" s="1558"/>
      <c r="S16" s="1559"/>
      <c r="T16" s="1558"/>
      <c r="U16" s="1559"/>
      <c r="V16" s="1558"/>
      <c r="W16" s="1559"/>
      <c r="X16" s="1552"/>
      <c r="Y16" s="3405"/>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405"/>
      <c r="Q18" s="1557"/>
      <c r="R18" s="1558"/>
      <c r="S18" s="1559"/>
      <c r="T18" s="1558"/>
      <c r="U18" s="1559"/>
      <c r="V18" s="1558"/>
      <c r="W18" s="1559"/>
      <c r="X18" s="1552"/>
      <c r="Y18" s="3405"/>
      <c r="Z18" s="1560"/>
      <c r="AA18" s="1561">
        <v>1</v>
      </c>
      <c r="AB18" s="1561">
        <v>1</v>
      </c>
      <c r="AC18" s="1561">
        <v>1</v>
      </c>
    </row>
    <row r="19" spans="1:29" ht="42.75">
      <c r="A19" s="530"/>
      <c r="B19" s="2566" t="s">
        <v>2544</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405"/>
      <c r="Q20" s="1557"/>
      <c r="R20" s="1558"/>
      <c r="S20" s="1559"/>
      <c r="T20" s="1558"/>
      <c r="U20" s="1559"/>
      <c r="V20" s="1558"/>
      <c r="W20" s="1559"/>
      <c r="X20" s="1552"/>
      <c r="Y20" s="3405"/>
      <c r="Z20" s="1560"/>
      <c r="AA20" s="1561">
        <v>1</v>
      </c>
      <c r="AB20" s="1561">
        <v>1</v>
      </c>
      <c r="AC20" s="1561">
        <v>1</v>
      </c>
    </row>
    <row r="21" spans="1:29" ht="28.5">
      <c r="A21" s="530"/>
      <c r="B21" s="2554" t="s">
        <v>2556</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405"/>
      <c r="Q22" s="2542"/>
      <c r="R22" s="1558"/>
      <c r="S22" s="1559"/>
      <c r="T22" s="1558"/>
      <c r="U22" s="1559"/>
      <c r="V22" s="1558"/>
      <c r="W22" s="1559"/>
      <c r="X22" s="2544"/>
      <c r="Y22" s="3405"/>
      <c r="Z22" s="2543"/>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405"/>
      <c r="Q24" s="1557"/>
      <c r="R24" s="1558"/>
      <c r="S24" s="1559"/>
      <c r="T24" s="1558"/>
      <c r="U24" s="1559"/>
      <c r="V24" s="1558"/>
      <c r="W24" s="1559"/>
      <c r="X24" s="1552"/>
      <c r="Y24" s="3405"/>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05"/>
      <c r="Q25" s="1557" t="str">
        <f>B25</f>
        <v>毗邻道路的类型与等级</v>
      </c>
      <c r="R25" s="1558" t="s">
        <v>8</v>
      </c>
      <c r="S25" s="1559">
        <f>F25</f>
        <v>100</v>
      </c>
      <c r="T25" s="1558" t="s">
        <v>8</v>
      </c>
      <c r="U25" s="1559">
        <f>H25</f>
        <v>100</v>
      </c>
      <c r="V25" s="1558" t="s">
        <v>8</v>
      </c>
      <c r="W25" s="1559">
        <f>J25</f>
        <v>100</v>
      </c>
      <c r="X25" s="1552"/>
      <c r="Y25" s="340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405"/>
      <c r="Q26" s="1557"/>
      <c r="R26" s="1558"/>
      <c r="S26" s="1559"/>
      <c r="T26" s="1558"/>
      <c r="U26" s="1559"/>
      <c r="V26" s="1558"/>
      <c r="W26" s="1559"/>
      <c r="X26" s="1552"/>
      <c r="Y26" s="3405"/>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05"/>
      <c r="Q27" s="1557" t="str">
        <f t="shared" ref="Q27:Q47" si="11">B27</f>
        <v>楼层</v>
      </c>
      <c r="R27" s="1558" t="s">
        <v>8</v>
      </c>
      <c r="S27" s="1559">
        <f>F27</f>
        <v>100</v>
      </c>
      <c r="T27" s="1558" t="s">
        <v>8</v>
      </c>
      <c r="U27" s="1559">
        <f>H27</f>
        <v>100</v>
      </c>
      <c r="V27" s="1558" t="s">
        <v>8</v>
      </c>
      <c r="W27" s="1559">
        <f>J27</f>
        <v>100</v>
      </c>
      <c r="X27" s="1552"/>
      <c r="Y27" s="3405"/>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05"/>
      <c r="Q28" s="1145" t="str">
        <f t="shared" si="11"/>
        <v>朝向</v>
      </c>
      <c r="R28" s="1553" t="s">
        <v>8</v>
      </c>
      <c r="S28" s="1554">
        <f>F28</f>
        <v>100</v>
      </c>
      <c r="T28" s="1553" t="s">
        <v>8</v>
      </c>
      <c r="U28" s="1554">
        <f>H28</f>
        <v>100</v>
      </c>
      <c r="V28" s="1553" t="s">
        <v>8</v>
      </c>
      <c r="W28" s="1554">
        <f>J28</f>
        <v>100</v>
      </c>
      <c r="X28" s="1555"/>
      <c r="Y28" s="340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05"/>
      <c r="Q29" s="1557">
        <f t="shared" si="11"/>
        <v>111</v>
      </c>
      <c r="R29" s="1558" t="s">
        <v>8</v>
      </c>
      <c r="S29" s="1559">
        <f t="shared" ref="S29:S47" si="12">F29</f>
        <v>100</v>
      </c>
      <c r="T29" s="1558" t="s">
        <v>8</v>
      </c>
      <c r="U29" s="1559">
        <f t="shared" ref="U29:U47" si="13">H29</f>
        <v>100</v>
      </c>
      <c r="V29" s="1558" t="s">
        <v>8</v>
      </c>
      <c r="W29" s="1559">
        <f t="shared" ref="W29:W47" si="14">J29</f>
        <v>100</v>
      </c>
      <c r="X29" s="1552"/>
      <c r="Y29" s="340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05"/>
      <c r="Q32" s="1557">
        <f t="shared" si="11"/>
        <v>111</v>
      </c>
      <c r="R32" s="1558" t="s">
        <v>8</v>
      </c>
      <c r="S32" s="1559">
        <f t="shared" si="12"/>
        <v>100</v>
      </c>
      <c r="T32" s="1558" t="s">
        <v>8</v>
      </c>
      <c r="U32" s="1559">
        <f t="shared" si="13"/>
        <v>100</v>
      </c>
      <c r="V32" s="1558" t="s">
        <v>8</v>
      </c>
      <c r="W32" s="1559">
        <f t="shared" si="14"/>
        <v>100</v>
      </c>
      <c r="X32" s="1552"/>
      <c r="Y32" s="3405"/>
      <c r="Z32" s="1560">
        <f t="shared" si="15"/>
        <v>111</v>
      </c>
      <c r="AA32" s="1561">
        <f t="shared" si="3"/>
        <v>1</v>
      </c>
      <c r="AB32" s="1561">
        <f t="shared" si="4"/>
        <v>1</v>
      </c>
      <c r="AC32" s="1561">
        <f t="shared" si="5"/>
        <v>1</v>
      </c>
    </row>
    <row r="33" spans="1:29" ht="15">
      <c r="A33" s="2861"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06" t="s">
        <v>550</v>
      </c>
      <c r="Q33" s="1557" t="str">
        <f t="shared" si="11"/>
        <v>建筑类型</v>
      </c>
      <c r="R33" s="1558" t="s">
        <v>8</v>
      </c>
      <c r="S33" s="1559">
        <f t="shared" si="12"/>
        <v>100</v>
      </c>
      <c r="T33" s="1558" t="s">
        <v>8</v>
      </c>
      <c r="U33" s="1559">
        <f t="shared" si="13"/>
        <v>100</v>
      </c>
      <c r="V33" s="1558" t="s">
        <v>8</v>
      </c>
      <c r="W33" s="1559">
        <f t="shared" si="14"/>
        <v>100</v>
      </c>
      <c r="X33" s="1552"/>
      <c r="Y33" s="3407"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07"/>
      <c r="Q34" s="1589" t="str">
        <f t="shared" si="11"/>
        <v>项目建筑规模</v>
      </c>
      <c r="R34" s="1562" t="s">
        <v>8</v>
      </c>
      <c r="S34" s="1563" t="e">
        <f t="shared" si="12"/>
        <v>#N/A</v>
      </c>
      <c r="T34" s="1562" t="s">
        <v>8</v>
      </c>
      <c r="U34" s="1563" t="e">
        <f t="shared" si="13"/>
        <v>#N/A</v>
      </c>
      <c r="V34" s="1562" t="s">
        <v>8</v>
      </c>
      <c r="W34" s="1563" t="e">
        <f t="shared" si="14"/>
        <v>#N/A</v>
      </c>
      <c r="X34" s="1564"/>
      <c r="Y34" s="3407"/>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07"/>
      <c r="Q35" s="1557" t="str">
        <f t="shared" si="11"/>
        <v>建筑结构</v>
      </c>
      <c r="R35" s="1558" t="s">
        <v>8</v>
      </c>
      <c r="S35" s="1559">
        <f t="shared" si="12"/>
        <v>100</v>
      </c>
      <c r="T35" s="1558" t="s">
        <v>8</v>
      </c>
      <c r="U35" s="1559">
        <f t="shared" si="13"/>
        <v>100</v>
      </c>
      <c r="V35" s="1558" t="s">
        <v>8</v>
      </c>
      <c r="W35" s="1559">
        <f t="shared" si="14"/>
        <v>100</v>
      </c>
      <c r="X35" s="1552"/>
      <c r="Y35" s="3407"/>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07"/>
      <c r="Q36" s="1557" t="str">
        <f t="shared" si="11"/>
        <v>公共部分装修</v>
      </c>
      <c r="R36" s="1558" t="s">
        <v>8</v>
      </c>
      <c r="S36" s="1559">
        <f t="shared" si="12"/>
        <v>100</v>
      </c>
      <c r="T36" s="1558" t="s">
        <v>8</v>
      </c>
      <c r="U36" s="1559">
        <f t="shared" si="13"/>
        <v>100</v>
      </c>
      <c r="V36" s="1558" t="s">
        <v>8</v>
      </c>
      <c r="W36" s="1559">
        <f t="shared" si="14"/>
        <v>100</v>
      </c>
      <c r="X36" s="1552"/>
      <c r="Y36" s="3407"/>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07"/>
      <c r="Q37" s="1557" t="str">
        <f t="shared" si="11"/>
        <v>成新度</v>
      </c>
      <c r="R37" s="1558" t="s">
        <v>8</v>
      </c>
      <c r="S37" s="1559" t="e">
        <f t="shared" si="12"/>
        <v>#N/A</v>
      </c>
      <c r="T37" s="1558" t="s">
        <v>8</v>
      </c>
      <c r="U37" s="1559" t="e">
        <f t="shared" si="13"/>
        <v>#N/A</v>
      </c>
      <c r="V37" s="1558" t="s">
        <v>8</v>
      </c>
      <c r="W37" s="1559" t="e">
        <f t="shared" si="14"/>
        <v>#N/A</v>
      </c>
      <c r="X37" s="1552"/>
      <c r="Y37" s="3407"/>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07"/>
      <c r="Q38" s="1145" t="str">
        <f t="shared" si="11"/>
        <v>写字楼等级</v>
      </c>
      <c r="R38" s="1553" t="s">
        <v>8</v>
      </c>
      <c r="S38" s="1554">
        <f t="shared" si="12"/>
        <v>100</v>
      </c>
      <c r="T38" s="1553" t="s">
        <v>8</v>
      </c>
      <c r="U38" s="1554">
        <f t="shared" si="13"/>
        <v>100</v>
      </c>
      <c r="V38" s="1553" t="s">
        <v>8</v>
      </c>
      <c r="W38" s="1554">
        <f t="shared" si="14"/>
        <v>100</v>
      </c>
      <c r="X38" s="1555"/>
      <c r="Y38" s="3407"/>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07" t="s">
        <v>550</v>
      </c>
      <c r="Q39" s="1557" t="str">
        <f t="shared" si="11"/>
        <v>物业管理</v>
      </c>
      <c r="R39" s="1558" t="s">
        <v>8</v>
      </c>
      <c r="S39" s="1559">
        <f t="shared" si="12"/>
        <v>100</v>
      </c>
      <c r="T39" s="1558" t="s">
        <v>8</v>
      </c>
      <c r="U39" s="1559">
        <f t="shared" si="13"/>
        <v>100</v>
      </c>
      <c r="V39" s="1558" t="s">
        <v>8</v>
      </c>
      <c r="W39" s="1559">
        <f t="shared" si="14"/>
        <v>100</v>
      </c>
      <c r="X39" s="1552"/>
      <c r="Y39" s="3407" t="s">
        <v>550</v>
      </c>
      <c r="Z39" s="1560" t="str">
        <f t="shared" si="15"/>
        <v>物业管理</v>
      </c>
      <c r="AA39" s="1561">
        <f t="shared" si="3"/>
        <v>1</v>
      </c>
      <c r="AB39" s="1561">
        <f t="shared" si="4"/>
        <v>1</v>
      </c>
      <c r="AC39" s="1561">
        <f t="shared" si="5"/>
        <v>1</v>
      </c>
    </row>
    <row r="40" spans="1:29" ht="15">
      <c r="A40" s="592"/>
      <c r="B40" s="1879"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07"/>
      <c r="Q40" s="1557" t="str">
        <f t="shared" si="11"/>
        <v>市政基础设施</v>
      </c>
      <c r="R40" s="1558" t="s">
        <v>8</v>
      </c>
      <c r="S40" s="1559">
        <f t="shared" si="12"/>
        <v>100</v>
      </c>
      <c r="T40" s="1558" t="s">
        <v>8</v>
      </c>
      <c r="U40" s="1559">
        <f t="shared" si="13"/>
        <v>100</v>
      </c>
      <c r="V40" s="1558" t="s">
        <v>8</v>
      </c>
      <c r="W40" s="1559">
        <f t="shared" si="14"/>
        <v>100</v>
      </c>
      <c r="X40" s="1552"/>
      <c r="Y40" s="3407"/>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07"/>
      <c r="Q41" s="1557" t="str">
        <f t="shared" si="11"/>
        <v>层高</v>
      </c>
      <c r="R41" s="1558" t="s">
        <v>8</v>
      </c>
      <c r="S41" s="1559">
        <f t="shared" si="12"/>
        <v>100</v>
      </c>
      <c r="T41" s="1558" t="s">
        <v>8</v>
      </c>
      <c r="U41" s="1559">
        <f t="shared" si="13"/>
        <v>100</v>
      </c>
      <c r="V41" s="1558" t="s">
        <v>8</v>
      </c>
      <c r="W41" s="1559">
        <f t="shared" si="14"/>
        <v>100</v>
      </c>
      <c r="X41" s="1552"/>
      <c r="Y41" s="3407"/>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07"/>
      <c r="Q42" s="1589" t="str">
        <f t="shared" si="11"/>
        <v>单套建筑面积</v>
      </c>
      <c r="R42" s="1562" t="s">
        <v>8</v>
      </c>
      <c r="S42" s="1563">
        <f t="shared" si="12"/>
        <v>100</v>
      </c>
      <c r="T42" s="1562" t="s">
        <v>8</v>
      </c>
      <c r="U42" s="1563">
        <f t="shared" si="13"/>
        <v>100</v>
      </c>
      <c r="V42" s="1562" t="s">
        <v>8</v>
      </c>
      <c r="W42" s="1563">
        <f t="shared" si="14"/>
        <v>100</v>
      </c>
      <c r="X42" s="1564"/>
      <c r="Y42" s="3407"/>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07"/>
      <c r="Q43" s="1557" t="str">
        <f t="shared" si="11"/>
        <v>内部装修</v>
      </c>
      <c r="R43" s="1558" t="s">
        <v>8</v>
      </c>
      <c r="S43" s="1559">
        <f t="shared" si="12"/>
        <v>100</v>
      </c>
      <c r="T43" s="1558" t="s">
        <v>8</v>
      </c>
      <c r="U43" s="1559">
        <f t="shared" si="13"/>
        <v>100</v>
      </c>
      <c r="V43" s="1558" t="s">
        <v>8</v>
      </c>
      <c r="W43" s="1559">
        <f t="shared" si="14"/>
        <v>100</v>
      </c>
      <c r="X43" s="1552"/>
      <c r="Y43" s="3407"/>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07"/>
      <c r="Q44" s="1557" t="str">
        <f t="shared" si="11"/>
        <v>内部装修维护情况</v>
      </c>
      <c r="R44" s="1558" t="s">
        <v>8</v>
      </c>
      <c r="S44" s="1559">
        <f t="shared" si="12"/>
        <v>100</v>
      </c>
      <c r="T44" s="1558" t="s">
        <v>8</v>
      </c>
      <c r="U44" s="1559">
        <f t="shared" si="13"/>
        <v>100</v>
      </c>
      <c r="V44" s="1558" t="s">
        <v>8</v>
      </c>
      <c r="W44" s="1559">
        <f t="shared" si="14"/>
        <v>100</v>
      </c>
      <c r="X44" s="1552"/>
      <c r="Y44" s="3407"/>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07"/>
      <c r="Q45" s="1145">
        <f t="shared" si="11"/>
        <v>111</v>
      </c>
      <c r="R45" s="1553" t="s">
        <v>8</v>
      </c>
      <c r="S45" s="1554">
        <f t="shared" si="12"/>
        <v>100</v>
      </c>
      <c r="T45" s="1553" t="s">
        <v>8</v>
      </c>
      <c r="U45" s="1554">
        <f t="shared" si="13"/>
        <v>100</v>
      </c>
      <c r="V45" s="1553" t="s">
        <v>8</v>
      </c>
      <c r="W45" s="1554">
        <f t="shared" si="14"/>
        <v>100</v>
      </c>
      <c r="X45" s="1555"/>
      <c r="Y45" s="340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07"/>
      <c r="Q46" s="1557">
        <f t="shared" si="11"/>
        <v>111</v>
      </c>
      <c r="R46" s="1558" t="s">
        <v>8</v>
      </c>
      <c r="S46" s="1559">
        <f t="shared" si="12"/>
        <v>100</v>
      </c>
      <c r="T46" s="1558" t="s">
        <v>8</v>
      </c>
      <c r="U46" s="1559">
        <f t="shared" si="13"/>
        <v>100</v>
      </c>
      <c r="V46" s="1558" t="s">
        <v>8</v>
      </c>
      <c r="W46" s="1559">
        <f t="shared" si="14"/>
        <v>100</v>
      </c>
      <c r="X46" s="1552"/>
      <c r="Y46" s="3407"/>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516"/>
      <c r="Q47" s="1557">
        <f t="shared" si="11"/>
        <v>111</v>
      </c>
      <c r="R47" s="1558" t="s">
        <v>8</v>
      </c>
      <c r="S47" s="1559">
        <f t="shared" si="12"/>
        <v>100</v>
      </c>
      <c r="T47" s="1558" t="s">
        <v>8</v>
      </c>
      <c r="U47" s="1559">
        <f t="shared" si="13"/>
        <v>100</v>
      </c>
      <c r="V47" s="1558" t="s">
        <v>8</v>
      </c>
      <c r="W47" s="1559">
        <f t="shared" si="14"/>
        <v>100</v>
      </c>
      <c r="X47" s="1552"/>
      <c r="Y47" s="3516"/>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399" t="str">
        <f>A48</f>
        <v>成交单价（元/平方米）</v>
      </c>
      <c r="Q48" s="3401"/>
      <c r="R48" s="3515">
        <f>E48</f>
        <v>0</v>
      </c>
      <c r="S48" s="3515"/>
      <c r="T48" s="3515">
        <f>G48</f>
        <v>0</v>
      </c>
      <c r="U48" s="3515"/>
      <c r="V48" s="3515">
        <f>I48</f>
        <v>0</v>
      </c>
      <c r="W48" s="3515"/>
      <c r="X48" s="1544"/>
      <c r="Y48" s="1566"/>
      <c r="Z48" s="1544"/>
      <c r="AA48" s="1544"/>
      <c r="AB48" s="1544"/>
      <c r="AC48" s="1544"/>
    </row>
    <row r="49" spans="1:29" ht="15.75" thickBot="1">
      <c r="A49" s="613" t="s">
        <v>2757</v>
      </c>
      <c r="B49" s="886"/>
      <c r="C49" s="2596" t="e">
        <f>R50</f>
        <v>#DIV/0!</v>
      </c>
      <c r="D49" s="2597"/>
      <c r="E49" s="2598" t="e">
        <f>R49</f>
        <v>#DIV/0!</v>
      </c>
      <c r="F49" s="2598"/>
      <c r="G49" s="2596" t="e">
        <f>T49</f>
        <v>#DIV/0!</v>
      </c>
      <c r="H49" s="2597"/>
      <c r="I49" s="2598" t="e">
        <f>V49</f>
        <v>#DIV/0!</v>
      </c>
      <c r="J49" s="2597"/>
      <c r="K49" s="1596"/>
      <c r="L49" s="2128"/>
      <c r="M49" s="2118"/>
      <c r="N49" s="2118"/>
      <c r="O49" s="2118"/>
      <c r="P49" s="3399" t="str">
        <f>A49</f>
        <v>比较价格（元/平方米）</v>
      </c>
      <c r="Q49" s="3401"/>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44"/>
      <c r="Y49" s="1544"/>
      <c r="Z49" s="1544"/>
      <c r="AA49" s="1544"/>
      <c r="AB49" s="1544"/>
      <c r="AC49" s="1544"/>
    </row>
    <row r="50" spans="1:29" ht="15.75" thickBot="1">
      <c r="A50" s="619" t="s">
        <v>2930</v>
      </c>
      <c r="B50" s="620"/>
      <c r="C50" s="2599" t="e">
        <f>R50</f>
        <v>#DIV/0!</v>
      </c>
      <c r="D50" s="2599"/>
      <c r="E50" s="2599"/>
      <c r="F50" s="2599"/>
      <c r="G50" s="2599"/>
      <c r="H50" s="2599"/>
      <c r="I50" s="2599"/>
      <c r="J50" s="2599"/>
      <c r="K50" s="1597"/>
      <c r="L50" s="2128"/>
      <c r="M50" s="2118"/>
      <c r="N50" s="2118"/>
      <c r="O50" s="2118"/>
      <c r="P50" s="3520" t="str">
        <f>A50</f>
        <v>估价对象XX用房的比较价格（楼面单价，元/平方米）</v>
      </c>
      <c r="Q50" s="3399"/>
      <c r="R50" s="3514" t="e">
        <f>IF(F1="售价",ROUND(AVERAGE(R49:V49),0),ROUND(AVERAGE(R49:V49),1))</f>
        <v>#DIV/0!</v>
      </c>
      <c r="S50" s="3514"/>
      <c r="T50" s="3514"/>
      <c r="U50" s="3514"/>
      <c r="V50" s="3514"/>
      <c r="W50" s="351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2555</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2556</v>
      </c>
      <c r="C83" s="2561" t="s">
        <v>2557</v>
      </c>
      <c r="D83" s="2561" t="s">
        <v>2558</v>
      </c>
      <c r="E83" s="2561" t="s">
        <v>2559</v>
      </c>
      <c r="F83" s="2561" t="s">
        <v>2560</v>
      </c>
      <c r="G83" s="2561" t="s">
        <v>2561</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2554</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93.75">
      <c r="A7" s="2827" t="s">
        <v>2745</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2746</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413" t="s">
        <v>522</v>
      </c>
      <c r="D4" s="3414"/>
      <c r="E4" s="3415" t="s">
        <v>523</v>
      </c>
      <c r="F4" s="3416"/>
      <c r="G4" s="3413" t="s">
        <v>524</v>
      </c>
      <c r="H4" s="3414"/>
      <c r="I4" s="3413" t="s">
        <v>525</v>
      </c>
      <c r="J4" s="3414"/>
      <c r="K4" s="512" t="s">
        <v>526</v>
      </c>
      <c r="L4" s="2117"/>
      <c r="M4" s="2118"/>
      <c r="N4" s="2118"/>
      <c r="O4" s="2118"/>
      <c r="P4" s="3417" t="s">
        <v>527</v>
      </c>
      <c r="Q4" s="3418"/>
      <c r="R4" s="3423" t="s">
        <v>523</v>
      </c>
      <c r="S4" s="3424"/>
      <c r="T4" s="3423" t="s">
        <v>524</v>
      </c>
      <c r="U4" s="3424"/>
      <c r="V4" s="3403" t="s">
        <v>525</v>
      </c>
      <c r="W4" s="3403"/>
      <c r="X4" s="1552"/>
      <c r="Y4" s="3423" t="s">
        <v>527</v>
      </c>
      <c r="Z4" s="3424"/>
      <c r="AA4" s="3410" t="s">
        <v>523</v>
      </c>
      <c r="AB4" s="3411" t="s">
        <v>524</v>
      </c>
      <c r="AC4" s="3410" t="s">
        <v>525</v>
      </c>
    </row>
    <row r="5" spans="1:29" ht="15">
      <c r="A5" s="513"/>
      <c r="B5" s="514"/>
      <c r="C5" s="3431" t="s">
        <v>2924</v>
      </c>
      <c r="D5" s="3432"/>
      <c r="E5" s="3429" t="s">
        <v>2925</v>
      </c>
      <c r="F5" s="3430"/>
      <c r="G5" s="3431" t="s">
        <v>2926</v>
      </c>
      <c r="H5" s="3432"/>
      <c r="I5" s="3431" t="s">
        <v>2927</v>
      </c>
      <c r="J5" s="3432"/>
      <c r="K5" s="512"/>
      <c r="L5" s="2117"/>
      <c r="M5" s="2118"/>
      <c r="N5" s="2118"/>
      <c r="O5" s="2118"/>
      <c r="P5" s="3419"/>
      <c r="Q5" s="3420"/>
      <c r="R5" s="3425"/>
      <c r="S5" s="3426"/>
      <c r="T5" s="3425"/>
      <c r="U5" s="3426"/>
      <c r="V5" s="3403"/>
      <c r="W5" s="3403"/>
      <c r="X5" s="1552"/>
      <c r="Y5" s="3425"/>
      <c r="Z5" s="3426"/>
      <c r="AA5" s="3411"/>
      <c r="AB5" s="3411"/>
      <c r="AC5" s="3411"/>
    </row>
    <row r="6" spans="1:29" ht="15.75" thickBot="1">
      <c r="A6" s="515"/>
      <c r="B6" s="516"/>
      <c r="C6" s="3433" t="s">
        <v>2928</v>
      </c>
      <c r="D6" s="3434"/>
      <c r="E6" s="3436" t="s">
        <v>2928</v>
      </c>
      <c r="F6" s="3437"/>
      <c r="G6" s="3433" t="s">
        <v>2928</v>
      </c>
      <c r="H6" s="3434"/>
      <c r="I6" s="3433" t="s">
        <v>2928</v>
      </c>
      <c r="J6" s="3434"/>
      <c r="K6" s="512" t="s">
        <v>528</v>
      </c>
      <c r="L6" s="2117"/>
      <c r="M6" s="2118"/>
      <c r="N6" s="2118"/>
      <c r="O6" s="2118"/>
      <c r="P6" s="3421"/>
      <c r="Q6" s="3422"/>
      <c r="R6" s="3425"/>
      <c r="S6" s="3426"/>
      <c r="T6" s="3427"/>
      <c r="U6" s="3428"/>
      <c r="V6" s="3403"/>
      <c r="W6" s="3403"/>
      <c r="X6" s="1552"/>
      <c r="Y6" s="3427"/>
      <c r="Z6" s="3428"/>
      <c r="AA6" s="3412"/>
      <c r="AB6" s="3412"/>
      <c r="AC6" s="3412"/>
    </row>
    <row r="7" spans="1:29" s="1214" customFormat="1" ht="15.75" thickBot="1">
      <c r="A7" s="2866"/>
      <c r="B7" s="2873" t="s">
        <v>529</v>
      </c>
      <c r="C7" s="517">
        <f>'数据-取费表'!B2</f>
        <v>43571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408" t="s">
        <v>530</v>
      </c>
      <c r="Q7" s="3435"/>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4" customFormat="1" ht="15.75"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408" t="s">
        <v>533</v>
      </c>
      <c r="Q8" s="3409"/>
      <c r="R8" s="1553" t="s">
        <v>8</v>
      </c>
      <c r="S8" s="1554">
        <f t="shared" si="0"/>
        <v>0</v>
      </c>
      <c r="T8" s="1553" t="s">
        <v>8</v>
      </c>
      <c r="U8" s="1554">
        <f t="shared" si="1"/>
        <v>0</v>
      </c>
      <c r="V8" s="1553" t="s">
        <v>8</v>
      </c>
      <c r="W8" s="1554">
        <f t="shared" si="2"/>
        <v>0</v>
      </c>
      <c r="X8" s="1555"/>
      <c r="Y8" s="3408" t="s">
        <v>533</v>
      </c>
      <c r="Z8" s="3409"/>
      <c r="AA8" s="1556" t="e">
        <f t="shared" ref="AA8:AA40" si="3">D8/F8</f>
        <v>#DIV/0!</v>
      </c>
      <c r="AB8" s="1556" t="e">
        <f t="shared" ref="AB8:AB40" si="4">D8/H8</f>
        <v>#DIV/0!</v>
      </c>
      <c r="AC8" s="1556" t="e">
        <f t="shared" ref="AC8:AC40" si="5">D8/J8</f>
        <v>#DIV/0!</v>
      </c>
    </row>
    <row r="9" spans="1:29" s="1214" customFormat="1" ht="15">
      <c r="A9" s="2868"/>
      <c r="B9" s="2875" t="s">
        <v>2753</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401" t="s">
        <v>535</v>
      </c>
      <c r="Q9" s="1145" t="str">
        <f t="shared" ref="Q9:Q15" si="6">B9</f>
        <v>用途</v>
      </c>
      <c r="R9" s="1553" t="s">
        <v>8</v>
      </c>
      <c r="S9" s="1554">
        <f t="shared" si="0"/>
        <v>100</v>
      </c>
      <c r="T9" s="1553" t="s">
        <v>8</v>
      </c>
      <c r="U9" s="1554">
        <f t="shared" si="1"/>
        <v>100</v>
      </c>
      <c r="V9" s="1553" t="s">
        <v>8</v>
      </c>
      <c r="W9" s="1554">
        <f t="shared" si="2"/>
        <v>100</v>
      </c>
      <c r="X9" s="1555"/>
      <c r="Y9" s="3366"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401"/>
      <c r="Q11" s="1145" t="str">
        <f t="shared" si="6"/>
        <v>容积率</v>
      </c>
      <c r="R11" s="1553" t="s">
        <v>8</v>
      </c>
      <c r="S11" s="1554" t="e">
        <f t="shared" si="0"/>
        <v>#N/A</v>
      </c>
      <c r="T11" s="1553" t="s">
        <v>8</v>
      </c>
      <c r="U11" s="1554" t="e">
        <f t="shared" si="1"/>
        <v>#N/A</v>
      </c>
      <c r="V11" s="1553" t="s">
        <v>8</v>
      </c>
      <c r="W11" s="1554" t="e">
        <f t="shared" si="2"/>
        <v>#N/A</v>
      </c>
      <c r="X11" s="1555"/>
      <c r="Y11" s="3366"/>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401"/>
      <c r="Q12" s="1145">
        <f t="shared" si="6"/>
        <v>111</v>
      </c>
      <c r="R12" s="1553" t="s">
        <v>8</v>
      </c>
      <c r="S12" s="1554">
        <f t="shared" si="0"/>
        <v>100</v>
      </c>
      <c r="T12" s="1553" t="s">
        <v>8</v>
      </c>
      <c r="U12" s="1554">
        <f t="shared" si="1"/>
        <v>100</v>
      </c>
      <c r="V12" s="1553" t="s">
        <v>8</v>
      </c>
      <c r="W12" s="1554">
        <f t="shared" si="2"/>
        <v>100</v>
      </c>
      <c r="X12" s="1555"/>
      <c r="Y12" s="3366"/>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401"/>
      <c r="Q13" s="1145">
        <f t="shared" si="6"/>
        <v>111</v>
      </c>
      <c r="R13" s="1553" t="s">
        <v>8</v>
      </c>
      <c r="S13" s="1554">
        <f t="shared" si="0"/>
        <v>100</v>
      </c>
      <c r="T13" s="1553" t="s">
        <v>8</v>
      </c>
      <c r="U13" s="1554">
        <f t="shared" si="1"/>
        <v>100</v>
      </c>
      <c r="V13" s="1553" t="s">
        <v>8</v>
      </c>
      <c r="W13" s="1554">
        <f t="shared" si="2"/>
        <v>100</v>
      </c>
      <c r="X13" s="1555"/>
      <c r="Y13" s="3366"/>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401"/>
      <c r="Q14" s="1145">
        <f t="shared" si="6"/>
        <v>111</v>
      </c>
      <c r="R14" s="1553" t="s">
        <v>8</v>
      </c>
      <c r="S14" s="1554">
        <f t="shared" si="0"/>
        <v>100</v>
      </c>
      <c r="T14" s="1553" t="s">
        <v>8</v>
      </c>
      <c r="U14" s="1554">
        <f t="shared" si="1"/>
        <v>100</v>
      </c>
      <c r="V14" s="1553" t="s">
        <v>8</v>
      </c>
      <c r="W14" s="1554">
        <f t="shared" si="2"/>
        <v>100</v>
      </c>
      <c r="X14" s="1555"/>
      <c r="Y14" s="3366"/>
      <c r="Z14" s="1144">
        <f t="shared" si="7"/>
        <v>111</v>
      </c>
      <c r="AA14" s="1556">
        <f t="shared" si="3"/>
        <v>1</v>
      </c>
      <c r="AB14" s="1556">
        <f t="shared" si="4"/>
        <v>1</v>
      </c>
      <c r="AC14" s="1556">
        <f t="shared" si="5"/>
        <v>1</v>
      </c>
    </row>
    <row r="15" spans="1:29" ht="57">
      <c r="A15" s="2864" t="s">
        <v>2751</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04" t="s">
        <v>540</v>
      </c>
      <c r="Q15" s="1557" t="str">
        <f t="shared" si="6"/>
        <v>产业集聚程度</v>
      </c>
      <c r="R15" s="1558" t="s">
        <v>8</v>
      </c>
      <c r="S15" s="1559">
        <f t="shared" si="0"/>
        <v>100</v>
      </c>
      <c r="T15" s="1558" t="s">
        <v>8</v>
      </c>
      <c r="U15" s="1559">
        <f t="shared" si="1"/>
        <v>100</v>
      </c>
      <c r="V15" s="1558" t="s">
        <v>8</v>
      </c>
      <c r="W15" s="1559">
        <f t="shared" si="2"/>
        <v>100</v>
      </c>
      <c r="X15" s="1552"/>
      <c r="Y15" s="3404"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0"/>
      <c r="B19" s="2566"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0"/>
      <c r="B21" s="2554"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05"/>
      <c r="Q25" s="1557">
        <f>B25</f>
        <v>111</v>
      </c>
      <c r="R25" s="1558" t="s">
        <v>8</v>
      </c>
      <c r="S25" s="1559">
        <f>F25</f>
        <v>100</v>
      </c>
      <c r="T25" s="1558" t="s">
        <v>8</v>
      </c>
      <c r="U25" s="1559">
        <f>H25</f>
        <v>100</v>
      </c>
      <c r="V25" s="1558" t="s">
        <v>8</v>
      </c>
      <c r="W25" s="1559">
        <f>J25</f>
        <v>100</v>
      </c>
      <c r="X25" s="1552"/>
      <c r="Y25" s="340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05"/>
      <c r="Q26" s="1557">
        <f t="shared" ref="Q26:Q40" si="11">B26</f>
        <v>111</v>
      </c>
      <c r="R26" s="1558" t="s">
        <v>8</v>
      </c>
      <c r="S26" s="1559">
        <f>F26</f>
        <v>100</v>
      </c>
      <c r="T26" s="1558" t="s">
        <v>8</v>
      </c>
      <c r="U26" s="1559">
        <f>H26</f>
        <v>100</v>
      </c>
      <c r="V26" s="1558" t="s">
        <v>8</v>
      </c>
      <c r="W26" s="1559">
        <f>J26</f>
        <v>100</v>
      </c>
      <c r="X26" s="1552"/>
      <c r="Y26" s="340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05"/>
      <c r="Q27" s="1145">
        <f t="shared" si="11"/>
        <v>111</v>
      </c>
      <c r="R27" s="1553" t="s">
        <v>8</v>
      </c>
      <c r="S27" s="1554">
        <f>F27</f>
        <v>100</v>
      </c>
      <c r="T27" s="1553" t="s">
        <v>8</v>
      </c>
      <c r="U27" s="1554">
        <f>H27</f>
        <v>100</v>
      </c>
      <c r="V27" s="1553" t="s">
        <v>8</v>
      </c>
      <c r="W27" s="1554">
        <f>J27</f>
        <v>100</v>
      </c>
      <c r="X27" s="1555"/>
      <c r="Y27" s="3405"/>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05"/>
      <c r="Q28" s="1557">
        <f t="shared" si="11"/>
        <v>111</v>
      </c>
      <c r="R28" s="1558" t="s">
        <v>8</v>
      </c>
      <c r="S28" s="1559">
        <f t="shared" ref="S28:S40" si="12">F28</f>
        <v>100</v>
      </c>
      <c r="T28" s="1558" t="s">
        <v>8</v>
      </c>
      <c r="U28" s="1559">
        <f t="shared" ref="U28:U40" si="13">H28</f>
        <v>100</v>
      </c>
      <c r="V28" s="1558" t="s">
        <v>8</v>
      </c>
      <c r="W28" s="1559">
        <f t="shared" ref="W28:W40" si="14">J28</f>
        <v>100</v>
      </c>
      <c r="X28" s="1552"/>
      <c r="Y28" s="3405"/>
      <c r="Z28" s="1560">
        <f t="shared" ref="Z28:Z40" si="15">Q28</f>
        <v>111</v>
      </c>
      <c r="AA28" s="1561">
        <f t="shared" si="3"/>
        <v>1</v>
      </c>
      <c r="AB28" s="1561">
        <f t="shared" si="4"/>
        <v>1</v>
      </c>
      <c r="AC28" s="1561">
        <f t="shared" si="5"/>
        <v>1</v>
      </c>
    </row>
    <row r="29" spans="1:29" ht="15">
      <c r="A29" s="2861"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06" t="s">
        <v>550</v>
      </c>
      <c r="Q29" s="1557" t="str">
        <f t="shared" si="11"/>
        <v>建筑类型</v>
      </c>
      <c r="R29" s="1558" t="s">
        <v>8</v>
      </c>
      <c r="S29" s="1559">
        <f t="shared" si="12"/>
        <v>100</v>
      </c>
      <c r="T29" s="1558" t="s">
        <v>8</v>
      </c>
      <c r="U29" s="1559">
        <f t="shared" si="13"/>
        <v>100</v>
      </c>
      <c r="V29" s="1558" t="s">
        <v>8</v>
      </c>
      <c r="W29" s="1559">
        <f t="shared" si="14"/>
        <v>100</v>
      </c>
      <c r="X29" s="1552"/>
      <c r="Y29" s="3407"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07"/>
      <c r="Q30" s="1589" t="str">
        <f t="shared" si="11"/>
        <v>项目建筑规模</v>
      </c>
      <c r="R30" s="1562" t="s">
        <v>8</v>
      </c>
      <c r="S30" s="1563" t="e">
        <f t="shared" si="12"/>
        <v>#N/A</v>
      </c>
      <c r="T30" s="1562" t="s">
        <v>8</v>
      </c>
      <c r="U30" s="1563" t="e">
        <f t="shared" si="13"/>
        <v>#N/A</v>
      </c>
      <c r="V30" s="1562" t="s">
        <v>8</v>
      </c>
      <c r="W30" s="1563" t="e">
        <f t="shared" si="14"/>
        <v>#N/A</v>
      </c>
      <c r="X30" s="1564"/>
      <c r="Y30" s="3407"/>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07"/>
      <c r="Q31" s="1557" t="str">
        <f t="shared" si="11"/>
        <v>建筑结构</v>
      </c>
      <c r="R31" s="1558" t="s">
        <v>8</v>
      </c>
      <c r="S31" s="1559">
        <f t="shared" si="12"/>
        <v>100</v>
      </c>
      <c r="T31" s="1558" t="s">
        <v>8</v>
      </c>
      <c r="U31" s="1559">
        <f t="shared" si="13"/>
        <v>100</v>
      </c>
      <c r="V31" s="1558" t="s">
        <v>8</v>
      </c>
      <c r="W31" s="1559">
        <f t="shared" si="14"/>
        <v>100</v>
      </c>
      <c r="X31" s="1552"/>
      <c r="Y31" s="3407"/>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07"/>
      <c r="Q32" s="1557" t="str">
        <f t="shared" si="11"/>
        <v>公共部分装修</v>
      </c>
      <c r="R32" s="1558" t="s">
        <v>8</v>
      </c>
      <c r="S32" s="1559">
        <f t="shared" si="12"/>
        <v>100</v>
      </c>
      <c r="T32" s="1558" t="s">
        <v>8</v>
      </c>
      <c r="U32" s="1559">
        <f t="shared" si="13"/>
        <v>100</v>
      </c>
      <c r="V32" s="1558" t="s">
        <v>8</v>
      </c>
      <c r="W32" s="1559">
        <f t="shared" si="14"/>
        <v>100</v>
      </c>
      <c r="X32" s="1552"/>
      <c r="Y32" s="3407"/>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07"/>
      <c r="Q33" s="1557" t="str">
        <f t="shared" si="11"/>
        <v>成新度</v>
      </c>
      <c r="R33" s="1558" t="s">
        <v>8</v>
      </c>
      <c r="S33" s="1559" t="e">
        <f t="shared" si="12"/>
        <v>#N/A</v>
      </c>
      <c r="T33" s="1558" t="s">
        <v>8</v>
      </c>
      <c r="U33" s="1559" t="e">
        <f t="shared" si="13"/>
        <v>#N/A</v>
      </c>
      <c r="V33" s="1558" t="s">
        <v>8</v>
      </c>
      <c r="W33" s="1559" t="e">
        <f t="shared" si="14"/>
        <v>#N/A</v>
      </c>
      <c r="X33" s="1552"/>
      <c r="Y33" s="3407"/>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07"/>
      <c r="Q34" s="1145" t="str">
        <f t="shared" si="11"/>
        <v>物业管理</v>
      </c>
      <c r="R34" s="1553" t="s">
        <v>8</v>
      </c>
      <c r="S34" s="1554">
        <f t="shared" si="12"/>
        <v>100</v>
      </c>
      <c r="T34" s="1553" t="s">
        <v>8</v>
      </c>
      <c r="U34" s="1554">
        <f t="shared" si="13"/>
        <v>100</v>
      </c>
      <c r="V34" s="1553" t="s">
        <v>8</v>
      </c>
      <c r="W34" s="1554">
        <f t="shared" si="14"/>
        <v>100</v>
      </c>
      <c r="X34" s="1555"/>
      <c r="Y34" s="3407"/>
      <c r="Z34" s="1144" t="str">
        <f t="shared" si="15"/>
        <v>物业管理</v>
      </c>
      <c r="AA34" s="1556">
        <f t="shared" si="3"/>
        <v>1</v>
      </c>
      <c r="AB34" s="1556">
        <f t="shared" si="4"/>
        <v>1</v>
      </c>
      <c r="AC34" s="1556">
        <f t="shared" si="5"/>
        <v>1</v>
      </c>
    </row>
    <row r="35" spans="1:29" ht="15">
      <c r="A35" s="592"/>
      <c r="B35" s="1879"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07" t="s">
        <v>550</v>
      </c>
      <c r="Q35" s="1557" t="str">
        <f t="shared" si="11"/>
        <v>市政基础设施</v>
      </c>
      <c r="R35" s="1558" t="s">
        <v>8</v>
      </c>
      <c r="S35" s="1559">
        <f t="shared" si="12"/>
        <v>100</v>
      </c>
      <c r="T35" s="1558" t="s">
        <v>8</v>
      </c>
      <c r="U35" s="1559">
        <f t="shared" si="13"/>
        <v>100</v>
      </c>
      <c r="V35" s="1558" t="s">
        <v>8</v>
      </c>
      <c r="W35" s="1559">
        <f t="shared" si="14"/>
        <v>100</v>
      </c>
      <c r="X35" s="1552"/>
      <c r="Y35" s="3407"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07"/>
      <c r="Q36" s="1557" t="str">
        <f t="shared" si="11"/>
        <v>内部装修</v>
      </c>
      <c r="R36" s="1558" t="s">
        <v>8</v>
      </c>
      <c r="S36" s="1559">
        <f t="shared" si="12"/>
        <v>100</v>
      </c>
      <c r="T36" s="1558" t="s">
        <v>8</v>
      </c>
      <c r="U36" s="1559">
        <f t="shared" si="13"/>
        <v>100</v>
      </c>
      <c r="V36" s="1558" t="s">
        <v>8</v>
      </c>
      <c r="W36" s="1559">
        <f t="shared" si="14"/>
        <v>100</v>
      </c>
      <c r="X36" s="1552"/>
      <c r="Y36" s="3407"/>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07"/>
      <c r="Q37" s="1557" t="str">
        <f t="shared" si="11"/>
        <v>内部装修状况</v>
      </c>
      <c r="R37" s="1558" t="s">
        <v>8</v>
      </c>
      <c r="S37" s="1559">
        <f t="shared" si="12"/>
        <v>100</v>
      </c>
      <c r="T37" s="1558" t="s">
        <v>8</v>
      </c>
      <c r="U37" s="1559">
        <f t="shared" si="13"/>
        <v>100</v>
      </c>
      <c r="V37" s="1558" t="s">
        <v>8</v>
      </c>
      <c r="W37" s="1559">
        <f t="shared" si="14"/>
        <v>100</v>
      </c>
      <c r="X37" s="1552"/>
      <c r="Y37" s="340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07"/>
      <c r="Q38" s="1589">
        <f t="shared" si="11"/>
        <v>111</v>
      </c>
      <c r="R38" s="1562" t="s">
        <v>8</v>
      </c>
      <c r="S38" s="1563">
        <f t="shared" si="12"/>
        <v>100</v>
      </c>
      <c r="T38" s="1562" t="s">
        <v>8</v>
      </c>
      <c r="U38" s="1563">
        <f t="shared" si="13"/>
        <v>100</v>
      </c>
      <c r="V38" s="1562" t="s">
        <v>8</v>
      </c>
      <c r="W38" s="1563">
        <f t="shared" si="14"/>
        <v>100</v>
      </c>
      <c r="X38" s="1564"/>
      <c r="Y38" s="340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07"/>
      <c r="Q39" s="1557">
        <f t="shared" si="11"/>
        <v>111</v>
      </c>
      <c r="R39" s="1558" t="s">
        <v>8</v>
      </c>
      <c r="S39" s="1559">
        <f t="shared" si="12"/>
        <v>100</v>
      </c>
      <c r="T39" s="1558" t="s">
        <v>8</v>
      </c>
      <c r="U39" s="1559">
        <f t="shared" si="13"/>
        <v>100</v>
      </c>
      <c r="V39" s="1558" t="s">
        <v>8</v>
      </c>
      <c r="W39" s="1559">
        <f t="shared" si="14"/>
        <v>100</v>
      </c>
      <c r="X39" s="1552"/>
      <c r="Y39" s="3407"/>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516"/>
      <c r="Q40" s="1557">
        <f t="shared" si="11"/>
        <v>111</v>
      </c>
      <c r="R40" s="1558" t="s">
        <v>8</v>
      </c>
      <c r="S40" s="1559">
        <f t="shared" si="12"/>
        <v>100</v>
      </c>
      <c r="T40" s="1558" t="s">
        <v>8</v>
      </c>
      <c r="U40" s="1559">
        <f t="shared" si="13"/>
        <v>100</v>
      </c>
      <c r="V40" s="1558" t="s">
        <v>8</v>
      </c>
      <c r="W40" s="1559">
        <f t="shared" si="14"/>
        <v>100</v>
      </c>
      <c r="X40" s="1552"/>
      <c r="Y40" s="3516"/>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401" t="str">
        <f>A41</f>
        <v>成交单价（元/平方米）</v>
      </c>
      <c r="Q41" s="3401"/>
      <c r="R41" s="3515">
        <f>E41</f>
        <v>0</v>
      </c>
      <c r="S41" s="3515"/>
      <c r="T41" s="3515">
        <f>G41</f>
        <v>0</v>
      </c>
      <c r="U41" s="3515"/>
      <c r="V41" s="3515">
        <f>I41</f>
        <v>0</v>
      </c>
      <c r="W41" s="3515"/>
      <c r="X41" s="1544"/>
      <c r="Y41" s="1566"/>
      <c r="Z41" s="1544"/>
      <c r="AA41" s="1544"/>
      <c r="AB41" s="1544"/>
      <c r="AC41" s="1544"/>
    </row>
    <row r="42" spans="1:29" ht="15.75" thickBot="1">
      <c r="A42" s="613" t="s">
        <v>2757</v>
      </c>
      <c r="B42" s="886"/>
      <c r="C42" s="2596" t="e">
        <f>R43</f>
        <v>#DIV/0!</v>
      </c>
      <c r="D42" s="2597"/>
      <c r="E42" s="2598" t="e">
        <f>R42</f>
        <v>#DIV/0!</v>
      </c>
      <c r="F42" s="2598"/>
      <c r="G42" s="2596" t="e">
        <f>T42</f>
        <v>#DIV/0!</v>
      </c>
      <c r="H42" s="2597"/>
      <c r="I42" s="2598" t="e">
        <f>V42</f>
        <v>#DIV/0!</v>
      </c>
      <c r="J42" s="2597"/>
      <c r="K42" s="1596"/>
      <c r="L42" s="2128"/>
      <c r="M42" s="2129"/>
      <c r="N42" s="2118"/>
      <c r="O42" s="2129"/>
      <c r="P42" s="3401" t="str">
        <f>A42</f>
        <v>比较价格（元/平方米）</v>
      </c>
      <c r="Q42" s="3401"/>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44"/>
      <c r="Y42" s="1544"/>
      <c r="Z42" s="1544"/>
      <c r="AA42" s="1544"/>
      <c r="AB42" s="1544"/>
      <c r="AC42" s="1544"/>
    </row>
    <row r="43" spans="1:29" ht="15.75" thickBot="1">
      <c r="A43" s="619" t="s">
        <v>2930</v>
      </c>
      <c r="B43" s="620"/>
      <c r="C43" s="2599" t="e">
        <f>R43</f>
        <v>#DIV/0!</v>
      </c>
      <c r="D43" s="2599"/>
      <c r="E43" s="2599"/>
      <c r="F43" s="2599"/>
      <c r="G43" s="2599"/>
      <c r="H43" s="2599"/>
      <c r="I43" s="2599"/>
      <c r="J43" s="2599"/>
      <c r="K43" s="1597"/>
      <c r="L43" s="2128"/>
      <c r="M43" s="2129"/>
      <c r="N43" s="2129"/>
      <c r="O43" s="2129"/>
      <c r="P43" s="3398" t="str">
        <f>A43</f>
        <v>估价对象XX用房的比较价格（楼面单价，元/平方米）</v>
      </c>
      <c r="Q43" s="3399"/>
      <c r="R43" s="3514" t="e">
        <f>IF(F1="售价",ROUND(AVERAGE(R42:V42),0),ROUND(AVERAGE(R42:V42),1))</f>
        <v>#DIV/0!</v>
      </c>
      <c r="S43" s="3514"/>
      <c r="T43" s="3514"/>
      <c r="U43" s="3514"/>
      <c r="V43" s="3514"/>
      <c r="W43" s="351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2555</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2556</v>
      </c>
      <c r="C76" s="2561" t="s">
        <v>2557</v>
      </c>
      <c r="D76" s="2561" t="s">
        <v>2558</v>
      </c>
      <c r="E76" s="2561" t="s">
        <v>2559</v>
      </c>
      <c r="F76" s="2561" t="s">
        <v>2560</v>
      </c>
      <c r="G76" s="2561" t="s">
        <v>2561</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2554</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3" t="s">
        <v>798</v>
      </c>
      <c r="D4" s="3414"/>
      <c r="E4" s="3413" t="s">
        <v>799</v>
      </c>
      <c r="F4" s="3414"/>
      <c r="G4" s="3413" t="s">
        <v>800</v>
      </c>
      <c r="H4" s="3414"/>
      <c r="I4" s="3413" t="s">
        <v>801</v>
      </c>
      <c r="J4" s="3414"/>
      <c r="K4" s="512" t="s">
        <v>802</v>
      </c>
      <c r="L4" s="2117"/>
      <c r="M4" s="2118"/>
      <c r="N4" s="2118"/>
      <c r="O4" s="2118"/>
      <c r="P4" s="3417" t="s">
        <v>803</v>
      </c>
      <c r="Q4" s="3418"/>
      <c r="R4" s="3423" t="s">
        <v>799</v>
      </c>
      <c r="S4" s="3424"/>
      <c r="T4" s="3423" t="s">
        <v>800</v>
      </c>
      <c r="U4" s="3424"/>
      <c r="V4" s="3403" t="s">
        <v>801</v>
      </c>
      <c r="W4" s="3403"/>
      <c r="X4" s="1552"/>
      <c r="Y4" s="3423" t="s">
        <v>803</v>
      </c>
      <c r="Z4" s="3424"/>
      <c r="AA4" s="3410" t="s">
        <v>799</v>
      </c>
      <c r="AB4" s="3411" t="s">
        <v>800</v>
      </c>
      <c r="AC4" s="3410" t="s">
        <v>801</v>
      </c>
    </row>
    <row r="5" spans="1:29" ht="15">
      <c r="A5" s="513"/>
      <c r="B5" s="514"/>
      <c r="C5" s="3431" t="s">
        <v>2924</v>
      </c>
      <c r="D5" s="3432"/>
      <c r="E5" s="3431" t="s">
        <v>2925</v>
      </c>
      <c r="F5" s="3432"/>
      <c r="G5" s="3431" t="s">
        <v>2926</v>
      </c>
      <c r="H5" s="3432"/>
      <c r="I5" s="3431" t="s">
        <v>2927</v>
      </c>
      <c r="J5" s="3432"/>
      <c r="K5" s="512"/>
      <c r="L5" s="2117"/>
      <c r="M5" s="2118"/>
      <c r="N5" s="2118"/>
      <c r="O5" s="2118"/>
      <c r="P5" s="3419"/>
      <c r="Q5" s="3420"/>
      <c r="R5" s="3425"/>
      <c r="S5" s="3426"/>
      <c r="T5" s="3425"/>
      <c r="U5" s="3426"/>
      <c r="V5" s="3403"/>
      <c r="W5" s="3403"/>
      <c r="X5" s="1552"/>
      <c r="Y5" s="3425"/>
      <c r="Z5" s="3426"/>
      <c r="AA5" s="3411"/>
      <c r="AB5" s="3411"/>
      <c r="AC5" s="3411"/>
    </row>
    <row r="6" spans="1:29" ht="15.75" thickBot="1">
      <c r="A6" s="515"/>
      <c r="B6" s="516"/>
      <c r="C6" s="3433" t="s">
        <v>2928</v>
      </c>
      <c r="D6" s="3434"/>
      <c r="E6" s="3510" t="s">
        <v>2928</v>
      </c>
      <c r="F6" s="3511"/>
      <c r="G6" s="3433" t="s">
        <v>2928</v>
      </c>
      <c r="H6" s="3434"/>
      <c r="I6" s="3433" t="s">
        <v>2928</v>
      </c>
      <c r="J6" s="3434"/>
      <c r="K6" s="512" t="s">
        <v>528</v>
      </c>
      <c r="L6" s="2117"/>
      <c r="M6" s="2118"/>
      <c r="N6" s="2118"/>
      <c r="O6" s="2118"/>
      <c r="P6" s="3421"/>
      <c r="Q6" s="3422"/>
      <c r="R6" s="3425"/>
      <c r="S6" s="3426"/>
      <c r="T6" s="3427"/>
      <c r="U6" s="3428"/>
      <c r="V6" s="3403"/>
      <c r="W6" s="3403"/>
      <c r="X6" s="1552"/>
      <c r="Y6" s="3427"/>
      <c r="Z6" s="3428"/>
      <c r="AA6" s="3412"/>
      <c r="AB6" s="3412"/>
      <c r="AC6" s="3412"/>
    </row>
    <row r="7" spans="1:29" s="1214" customFormat="1" ht="15.75" thickBot="1">
      <c r="A7" s="2866"/>
      <c r="B7" s="2873" t="s">
        <v>529</v>
      </c>
      <c r="C7" s="517">
        <f>'数据-取费表'!B2</f>
        <v>43571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408" t="s">
        <v>530</v>
      </c>
      <c r="Q7" s="3435"/>
      <c r="R7" s="1553" t="s">
        <v>8</v>
      </c>
      <c r="S7" s="1554">
        <f t="shared" ref="S7:S14" si="0">F7</f>
        <v>0</v>
      </c>
      <c r="T7" s="1553" t="s">
        <v>8</v>
      </c>
      <c r="U7" s="1554">
        <f t="shared" ref="U7:U14" si="1">H7</f>
        <v>0</v>
      </c>
      <c r="V7" s="1553" t="s">
        <v>8</v>
      </c>
      <c r="W7" s="1554">
        <f t="shared" ref="W7:W14" si="2">J7</f>
        <v>0</v>
      </c>
      <c r="X7" s="1555"/>
      <c r="Y7" s="3408" t="s">
        <v>530</v>
      </c>
      <c r="Z7" s="3409"/>
      <c r="AA7" s="1556" t="e">
        <f>D7/F7</f>
        <v>#DIV/0!</v>
      </c>
      <c r="AB7" s="1556" t="e">
        <f>D7/H7</f>
        <v>#DIV/0!</v>
      </c>
      <c r="AC7" s="1556" t="e">
        <f>D7/J7</f>
        <v>#DIV/0!</v>
      </c>
    </row>
    <row r="8" spans="1:29" s="1214" customFormat="1" ht="15.75"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408" t="s">
        <v>533</v>
      </c>
      <c r="Q8" s="3409"/>
      <c r="R8" s="1553" t="s">
        <v>8</v>
      </c>
      <c r="S8" s="1554">
        <f t="shared" si="0"/>
        <v>0</v>
      </c>
      <c r="T8" s="1553" t="s">
        <v>8</v>
      </c>
      <c r="U8" s="1554">
        <f t="shared" si="1"/>
        <v>0</v>
      </c>
      <c r="V8" s="1553" t="s">
        <v>8</v>
      </c>
      <c r="W8" s="1554">
        <f t="shared" si="2"/>
        <v>0</v>
      </c>
      <c r="X8" s="1555"/>
      <c r="Y8" s="3408" t="s">
        <v>533</v>
      </c>
      <c r="Z8" s="3409"/>
      <c r="AA8" s="1556" t="e">
        <f t="shared" ref="AA8:AA36" si="3">D8/F8</f>
        <v>#DIV/0!</v>
      </c>
      <c r="AB8" s="1556" t="e">
        <f t="shared" ref="AB8:AB36" si="4">D8/H8</f>
        <v>#DIV/0!</v>
      </c>
      <c r="AC8" s="1556" t="e">
        <f t="shared" ref="AC8:AC36" si="5">D8/J8</f>
        <v>#DIV/0!</v>
      </c>
    </row>
    <row r="9" spans="1:29" s="1214" customFormat="1" ht="15">
      <c r="A9" s="2868"/>
      <c r="B9" s="2875" t="s">
        <v>2753</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401" t="s">
        <v>535</v>
      </c>
      <c r="Q9" s="1145" t="str">
        <f t="shared" ref="Q9:Q14" si="6">B9</f>
        <v>用途</v>
      </c>
      <c r="R9" s="1553" t="s">
        <v>8</v>
      </c>
      <c r="S9" s="1554">
        <f t="shared" si="0"/>
        <v>100</v>
      </c>
      <c r="T9" s="1553" t="s">
        <v>8</v>
      </c>
      <c r="U9" s="1554">
        <f t="shared" si="1"/>
        <v>100</v>
      </c>
      <c r="V9" s="1553" t="s">
        <v>8</v>
      </c>
      <c r="W9" s="1554">
        <f t="shared" si="2"/>
        <v>100</v>
      </c>
      <c r="X9" s="1555"/>
      <c r="Y9" s="3366" t="s">
        <v>536</v>
      </c>
      <c r="Z9" s="1144" t="str">
        <f t="shared" ref="Z9:Z14" si="7">Q9</f>
        <v>用途</v>
      </c>
      <c r="AA9" s="1556">
        <f t="shared" si="3"/>
        <v>1</v>
      </c>
      <c r="AB9" s="1556">
        <f t="shared" si="4"/>
        <v>1</v>
      </c>
      <c r="AC9" s="1556">
        <f t="shared" si="5"/>
        <v>1</v>
      </c>
    </row>
    <row r="10" spans="1:29" s="1332" customFormat="1" ht="27">
      <c r="A10" s="2869"/>
      <c r="B10" s="2874" t="s">
        <v>2754</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401"/>
      <c r="Q11" s="1145">
        <f t="shared" si="6"/>
        <v>111</v>
      </c>
      <c r="R11" s="1553" t="s">
        <v>8</v>
      </c>
      <c r="S11" s="1554">
        <f t="shared" si="0"/>
        <v>100</v>
      </c>
      <c r="T11" s="1553" t="s">
        <v>8</v>
      </c>
      <c r="U11" s="1554">
        <f t="shared" si="1"/>
        <v>100</v>
      </c>
      <c r="V11" s="1553" t="s">
        <v>8</v>
      </c>
      <c r="W11" s="1554">
        <f t="shared" si="2"/>
        <v>100</v>
      </c>
      <c r="X11" s="1555"/>
      <c r="Y11" s="3366"/>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401"/>
      <c r="Q12" s="1145">
        <f t="shared" si="6"/>
        <v>111</v>
      </c>
      <c r="R12" s="1553" t="s">
        <v>8</v>
      </c>
      <c r="S12" s="1554">
        <f t="shared" si="0"/>
        <v>100</v>
      </c>
      <c r="T12" s="1553" t="s">
        <v>8</v>
      </c>
      <c r="U12" s="1554">
        <f t="shared" si="1"/>
        <v>100</v>
      </c>
      <c r="V12" s="1553" t="s">
        <v>8</v>
      </c>
      <c r="W12" s="1554">
        <f t="shared" si="2"/>
        <v>100</v>
      </c>
      <c r="X12" s="1555"/>
      <c r="Y12" s="3366"/>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401"/>
      <c r="Q13" s="1145">
        <f t="shared" si="6"/>
        <v>111</v>
      </c>
      <c r="R13" s="1553" t="s">
        <v>8</v>
      </c>
      <c r="S13" s="1554">
        <f t="shared" si="0"/>
        <v>100</v>
      </c>
      <c r="T13" s="1553" t="s">
        <v>8</v>
      </c>
      <c r="U13" s="1554">
        <f t="shared" si="1"/>
        <v>100</v>
      </c>
      <c r="V13" s="1553" t="s">
        <v>8</v>
      </c>
      <c r="W13" s="1554">
        <f t="shared" si="2"/>
        <v>100</v>
      </c>
      <c r="X13" s="1555"/>
      <c r="Y13" s="3366"/>
      <c r="Z13" s="1144">
        <f t="shared" si="7"/>
        <v>111</v>
      </c>
      <c r="AA13" s="1556">
        <f t="shared" si="3"/>
        <v>1</v>
      </c>
      <c r="AB13" s="1556">
        <f t="shared" si="4"/>
        <v>1</v>
      </c>
      <c r="AC13" s="1556">
        <f t="shared" si="5"/>
        <v>1</v>
      </c>
    </row>
    <row r="14" spans="1:29" ht="85.5">
      <c r="A14" s="2864" t="s">
        <v>2751</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13"/>
      <c r="B16" s="2566" t="s">
        <v>2544</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13"/>
      <c r="B18" s="2554" t="s">
        <v>2556</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05"/>
      <c r="Q24" s="1557">
        <f t="shared" ref="Q24:Q36"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05"/>
      <c r="Q25" s="1145">
        <f t="shared" si="11"/>
        <v>111</v>
      </c>
      <c r="R25" s="1553" t="s">
        <v>8</v>
      </c>
      <c r="S25" s="1554">
        <f>F25</f>
        <v>100</v>
      </c>
      <c r="T25" s="1553" t="s">
        <v>8</v>
      </c>
      <c r="U25" s="1554">
        <f>H25</f>
        <v>100</v>
      </c>
      <c r="V25" s="1553" t="s">
        <v>8</v>
      </c>
      <c r="W25" s="1554">
        <f>J25</f>
        <v>100</v>
      </c>
      <c r="X25" s="1555"/>
      <c r="Y25" s="3405"/>
      <c r="Z25" s="1144">
        <f>Q25</f>
        <v>111</v>
      </c>
      <c r="AA25" s="1561">
        <f>D25/F25</f>
        <v>1</v>
      </c>
      <c r="AB25" s="1561">
        <f>D25/H25</f>
        <v>1</v>
      </c>
      <c r="AC25" s="1561">
        <f>D25/J25</f>
        <v>1</v>
      </c>
    </row>
    <row r="26" spans="1:29" ht="15">
      <c r="A26" s="2861" t="s">
        <v>2752</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0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7"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07"/>
      <c r="Q27" s="1589" t="str">
        <f t="shared" si="11"/>
        <v>项目停车位配比</v>
      </c>
      <c r="R27" s="1562" t="s">
        <v>8</v>
      </c>
      <c r="S27" s="1563">
        <f t="shared" si="12"/>
        <v>100</v>
      </c>
      <c r="T27" s="1562" t="s">
        <v>8</v>
      </c>
      <c r="U27" s="1563">
        <f t="shared" si="13"/>
        <v>100</v>
      </c>
      <c r="V27" s="1562" t="s">
        <v>8</v>
      </c>
      <c r="W27" s="1563">
        <f t="shared" si="14"/>
        <v>100</v>
      </c>
      <c r="X27" s="1564"/>
      <c r="Y27" s="3407"/>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07"/>
      <c r="Q28" s="1557" t="str">
        <f t="shared" si="11"/>
        <v>公共部分装修</v>
      </c>
      <c r="R28" s="1558" t="s">
        <v>8</v>
      </c>
      <c r="S28" s="1559">
        <f t="shared" si="12"/>
        <v>100</v>
      </c>
      <c r="T28" s="1558" t="s">
        <v>8</v>
      </c>
      <c r="U28" s="1559">
        <f t="shared" si="13"/>
        <v>100</v>
      </c>
      <c r="V28" s="1558" t="s">
        <v>8</v>
      </c>
      <c r="W28" s="1559">
        <f t="shared" si="14"/>
        <v>100</v>
      </c>
      <c r="X28" s="1552"/>
      <c r="Y28" s="3407"/>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07"/>
      <c r="Q29" s="1557" t="str">
        <f t="shared" si="11"/>
        <v>成新率</v>
      </c>
      <c r="R29" s="1558" t="s">
        <v>8</v>
      </c>
      <c r="S29" s="1559" t="e">
        <f t="shared" si="12"/>
        <v>#N/A</v>
      </c>
      <c r="T29" s="1558" t="s">
        <v>8</v>
      </c>
      <c r="U29" s="1559" t="e">
        <f t="shared" si="13"/>
        <v>#N/A</v>
      </c>
      <c r="V29" s="1558" t="s">
        <v>8</v>
      </c>
      <c r="W29" s="1559" t="e">
        <f t="shared" si="14"/>
        <v>#N/A</v>
      </c>
      <c r="X29" s="1552"/>
      <c r="Y29" s="3407"/>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07"/>
      <c r="Q30" s="1557" t="str">
        <f t="shared" si="11"/>
        <v>物业等级</v>
      </c>
      <c r="R30" s="1558" t="s">
        <v>8</v>
      </c>
      <c r="S30" s="1559">
        <f t="shared" si="12"/>
        <v>100</v>
      </c>
      <c r="T30" s="1558" t="s">
        <v>8</v>
      </c>
      <c r="U30" s="1559">
        <f t="shared" si="13"/>
        <v>100</v>
      </c>
      <c r="V30" s="1558" t="s">
        <v>8</v>
      </c>
      <c r="W30" s="1559">
        <f t="shared" si="14"/>
        <v>100</v>
      </c>
      <c r="X30" s="1552"/>
      <c r="Y30" s="3407"/>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07"/>
      <c r="Q31" s="1145" t="str">
        <f t="shared" si="11"/>
        <v>停车位面积</v>
      </c>
      <c r="R31" s="1553" t="s">
        <v>8</v>
      </c>
      <c r="S31" s="1554" t="e">
        <f t="shared" si="12"/>
        <v>#N/A</v>
      </c>
      <c r="T31" s="1553" t="s">
        <v>8</v>
      </c>
      <c r="U31" s="1554" t="e">
        <f t="shared" si="13"/>
        <v>#N/A</v>
      </c>
      <c r="V31" s="1553" t="s">
        <v>8</v>
      </c>
      <c r="W31" s="1554" t="e">
        <f t="shared" si="14"/>
        <v>#N/A</v>
      </c>
      <c r="X31" s="1555"/>
      <c r="Y31" s="3407"/>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07" t="s">
        <v>550</v>
      </c>
      <c r="Q32" s="1557" t="str">
        <f t="shared" si="11"/>
        <v>车位类型</v>
      </c>
      <c r="R32" s="1558" t="s">
        <v>8</v>
      </c>
      <c r="S32" s="1559">
        <f t="shared" si="12"/>
        <v>100</v>
      </c>
      <c r="T32" s="1558" t="s">
        <v>8</v>
      </c>
      <c r="U32" s="1559">
        <f t="shared" si="13"/>
        <v>100</v>
      </c>
      <c r="V32" s="1558" t="s">
        <v>8</v>
      </c>
      <c r="W32" s="1559">
        <f t="shared" si="14"/>
        <v>100</v>
      </c>
      <c r="X32" s="1552"/>
      <c r="Y32" s="3407"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07"/>
      <c r="Q33" s="1557" t="str">
        <f t="shared" si="11"/>
        <v>是否直接入户</v>
      </c>
      <c r="R33" s="1558" t="s">
        <v>8</v>
      </c>
      <c r="S33" s="1559">
        <f t="shared" si="12"/>
        <v>100</v>
      </c>
      <c r="T33" s="1558" t="s">
        <v>8</v>
      </c>
      <c r="U33" s="1559">
        <f t="shared" si="13"/>
        <v>100</v>
      </c>
      <c r="V33" s="1558" t="s">
        <v>8</v>
      </c>
      <c r="W33" s="1559">
        <f t="shared" si="14"/>
        <v>100</v>
      </c>
      <c r="X33" s="1552"/>
      <c r="Y33" s="340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07"/>
      <c r="Q35" s="1589">
        <f t="shared" si="11"/>
        <v>111</v>
      </c>
      <c r="R35" s="1562" t="s">
        <v>8</v>
      </c>
      <c r="S35" s="1563">
        <f t="shared" si="12"/>
        <v>100</v>
      </c>
      <c r="T35" s="1562" t="s">
        <v>8</v>
      </c>
      <c r="U35" s="1563">
        <f t="shared" si="13"/>
        <v>100</v>
      </c>
      <c r="V35" s="1562" t="s">
        <v>8</v>
      </c>
      <c r="W35" s="1563">
        <f t="shared" si="14"/>
        <v>100</v>
      </c>
      <c r="X35" s="1564"/>
      <c r="Y35" s="3407"/>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07"/>
      <c r="Q36" s="1557">
        <f t="shared" si="11"/>
        <v>111</v>
      </c>
      <c r="R36" s="1558" t="s">
        <v>8</v>
      </c>
      <c r="S36" s="1559">
        <f t="shared" si="12"/>
        <v>100</v>
      </c>
      <c r="T36" s="1558" t="s">
        <v>8</v>
      </c>
      <c r="U36" s="1559">
        <f t="shared" si="13"/>
        <v>100</v>
      </c>
      <c r="V36" s="1558" t="s">
        <v>8</v>
      </c>
      <c r="W36" s="1559">
        <f t="shared" si="14"/>
        <v>100</v>
      </c>
      <c r="X36" s="1552"/>
      <c r="Y36" s="3407"/>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401" t="str">
        <f>A37</f>
        <v>成交单价</v>
      </c>
      <c r="Q37" s="3401"/>
      <c r="R37" s="3515">
        <f>E37</f>
        <v>0</v>
      </c>
      <c r="S37" s="3515"/>
      <c r="T37" s="3515">
        <f>G37</f>
        <v>0</v>
      </c>
      <c r="U37" s="3515"/>
      <c r="V37" s="3515">
        <f>I37</f>
        <v>0</v>
      </c>
      <c r="W37" s="3515"/>
      <c r="X37" s="1544"/>
      <c r="Y37" s="1566"/>
      <c r="Z37" s="1544"/>
      <c r="AA37" s="1544"/>
      <c r="AB37" s="1544"/>
      <c r="AC37" s="1544"/>
    </row>
    <row r="38" spans="1:29" ht="15.75" thickBot="1">
      <c r="A38" s="613" t="s">
        <v>2757</v>
      </c>
      <c r="B38" s="886"/>
      <c r="C38" s="2596" t="e">
        <f>R39</f>
        <v>#DIV/0!</v>
      </c>
      <c r="D38" s="2597"/>
      <c r="E38" s="2598" t="e">
        <f>R38</f>
        <v>#DIV/0!</v>
      </c>
      <c r="F38" s="2598"/>
      <c r="G38" s="2596" t="e">
        <f>T38</f>
        <v>#DIV/0!</v>
      </c>
      <c r="H38" s="2597"/>
      <c r="I38" s="2598" t="e">
        <f>V38</f>
        <v>#DIV/0!</v>
      </c>
      <c r="J38" s="2597"/>
      <c r="K38" s="1596"/>
      <c r="L38" s="2128"/>
      <c r="M38" s="2129"/>
      <c r="N38" s="2129"/>
      <c r="O38" s="2129"/>
      <c r="P38" s="3401" t="str">
        <f>A38</f>
        <v>比较价格（元/平方米）</v>
      </c>
      <c r="Q38" s="3401"/>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44"/>
      <c r="Y38" s="1544"/>
      <c r="Z38" s="1544"/>
      <c r="AA38" s="1544"/>
      <c r="AB38" s="1544"/>
      <c r="AC38" s="1544"/>
    </row>
    <row r="39" spans="1:29" ht="15.75" thickBot="1">
      <c r="A39" s="619" t="s">
        <v>2930</v>
      </c>
      <c r="B39" s="620"/>
      <c r="C39" s="2599" t="e">
        <f>R39</f>
        <v>#DIV/0!</v>
      </c>
      <c r="D39" s="2599"/>
      <c r="E39" s="2599"/>
      <c r="F39" s="2599"/>
      <c r="G39" s="2599"/>
      <c r="H39" s="2599"/>
      <c r="I39" s="2599"/>
      <c r="J39" s="2599"/>
      <c r="K39" s="1597"/>
      <c r="L39" s="2128"/>
      <c r="M39" s="2129"/>
      <c r="N39" s="2129"/>
      <c r="O39" s="2129"/>
      <c r="P39" s="3398" t="str">
        <f>A39</f>
        <v>估价对象XX用房的比较价格（楼面单价，元/平方米）</v>
      </c>
      <c r="Q39" s="3399"/>
      <c r="R39" s="3514" t="e">
        <f>IF(F1="售价",ROUND(AVERAGE(R38:V38),0),ROUND(AVERAGE(R38:V38),1))</f>
        <v>#DIV/0!</v>
      </c>
      <c r="S39" s="3514"/>
      <c r="T39" s="3514"/>
      <c r="U39" s="3514"/>
      <c r="V39" s="3514"/>
      <c r="W39" s="351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2555</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2556</v>
      </c>
      <c r="C67" s="2561" t="s">
        <v>2557</v>
      </c>
      <c r="D67" s="2561" t="s">
        <v>2558</v>
      </c>
      <c r="E67" s="2561" t="s">
        <v>2559</v>
      </c>
      <c r="F67" s="2561" t="s">
        <v>2560</v>
      </c>
      <c r="G67" s="2561" t="s">
        <v>2561</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3" t="s">
        <v>798</v>
      </c>
      <c r="D4" s="3414"/>
      <c r="E4" s="3415" t="s">
        <v>799</v>
      </c>
      <c r="F4" s="3416"/>
      <c r="G4" s="3413" t="s">
        <v>800</v>
      </c>
      <c r="H4" s="3414"/>
      <c r="I4" s="3413" t="s">
        <v>801</v>
      </c>
      <c r="J4" s="3414"/>
      <c r="K4" s="512" t="s">
        <v>802</v>
      </c>
      <c r="L4" s="2117"/>
      <c r="M4" s="2118"/>
      <c r="N4" s="2118"/>
      <c r="O4" s="2118"/>
      <c r="P4" s="3417" t="s">
        <v>803</v>
      </c>
      <c r="Q4" s="3418"/>
      <c r="R4" s="3423" t="s">
        <v>799</v>
      </c>
      <c r="S4" s="3424"/>
      <c r="T4" s="3423" t="s">
        <v>800</v>
      </c>
      <c r="U4" s="3424"/>
      <c r="V4" s="3403" t="s">
        <v>801</v>
      </c>
      <c r="W4" s="3403"/>
      <c r="X4" s="1552"/>
      <c r="Y4" s="3423" t="s">
        <v>803</v>
      </c>
      <c r="Z4" s="3424"/>
      <c r="AA4" s="3410" t="s">
        <v>799</v>
      </c>
      <c r="AB4" s="3411" t="s">
        <v>800</v>
      </c>
      <c r="AC4" s="3410" t="s">
        <v>801</v>
      </c>
    </row>
    <row r="5" spans="1:29" ht="15">
      <c r="A5" s="513"/>
      <c r="B5" s="514"/>
      <c r="C5" s="3431" t="s">
        <v>2924</v>
      </c>
      <c r="D5" s="3432"/>
      <c r="E5" s="3429" t="s">
        <v>2925</v>
      </c>
      <c r="F5" s="3430"/>
      <c r="G5" s="3431" t="s">
        <v>2926</v>
      </c>
      <c r="H5" s="3432"/>
      <c r="I5" s="3431" t="s">
        <v>2927</v>
      </c>
      <c r="J5" s="3432"/>
      <c r="K5" s="512"/>
      <c r="L5" s="2117"/>
      <c r="M5" s="2118"/>
      <c r="N5" s="2118"/>
      <c r="O5" s="2118"/>
      <c r="P5" s="3419"/>
      <c r="Q5" s="3420"/>
      <c r="R5" s="3425"/>
      <c r="S5" s="3426"/>
      <c r="T5" s="3425"/>
      <c r="U5" s="3426"/>
      <c r="V5" s="3403"/>
      <c r="W5" s="3403"/>
      <c r="X5" s="1552"/>
      <c r="Y5" s="3425"/>
      <c r="Z5" s="3426"/>
      <c r="AA5" s="3411"/>
      <c r="AB5" s="3411"/>
      <c r="AC5" s="3411"/>
    </row>
    <row r="6" spans="1:29" ht="15.75" thickBot="1">
      <c r="A6" s="515"/>
      <c r="B6" s="516"/>
      <c r="C6" s="3433" t="s">
        <v>2928</v>
      </c>
      <c r="D6" s="3434"/>
      <c r="E6" s="3436" t="s">
        <v>2928</v>
      </c>
      <c r="F6" s="3437"/>
      <c r="G6" s="3433" t="s">
        <v>2928</v>
      </c>
      <c r="H6" s="3434"/>
      <c r="I6" s="3433" t="s">
        <v>2928</v>
      </c>
      <c r="J6" s="3434"/>
      <c r="K6" s="512" t="s">
        <v>528</v>
      </c>
      <c r="L6" s="2117"/>
      <c r="M6" s="2118"/>
      <c r="N6" s="2118"/>
      <c r="O6" s="2118"/>
      <c r="P6" s="3421"/>
      <c r="Q6" s="3422"/>
      <c r="R6" s="3425"/>
      <c r="S6" s="3426"/>
      <c r="T6" s="3427"/>
      <c r="U6" s="3428"/>
      <c r="V6" s="3403"/>
      <c r="W6" s="3403"/>
      <c r="X6" s="1552"/>
      <c r="Y6" s="3427"/>
      <c r="Z6" s="3428"/>
      <c r="AA6" s="3412"/>
      <c r="AB6" s="3412"/>
      <c r="AC6" s="3412"/>
    </row>
    <row r="7" spans="1:29" s="1214" customFormat="1" ht="15.75" thickBot="1">
      <c r="A7" s="2866"/>
      <c r="B7" s="2873" t="s">
        <v>529</v>
      </c>
      <c r="C7" s="517">
        <f>'数据-取费表'!B2</f>
        <v>43571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408" t="s">
        <v>530</v>
      </c>
      <c r="Q7" s="3435"/>
      <c r="R7" s="1553" t="s">
        <v>8</v>
      </c>
      <c r="S7" s="1554">
        <f t="shared" ref="S7:S14" si="0">F7</f>
        <v>0</v>
      </c>
      <c r="T7" s="1553" t="s">
        <v>8</v>
      </c>
      <c r="U7" s="1554">
        <f t="shared" ref="U7:U14" si="1">H7</f>
        <v>0</v>
      </c>
      <c r="V7" s="1553" t="s">
        <v>8</v>
      </c>
      <c r="W7" s="1554">
        <f t="shared" ref="W7:W14" si="2">J7</f>
        <v>0</v>
      </c>
      <c r="X7" s="1555"/>
      <c r="Y7" s="3408" t="s">
        <v>530</v>
      </c>
      <c r="Z7" s="3409"/>
      <c r="AA7" s="1556" t="e">
        <f>D7/F7</f>
        <v>#DIV/0!</v>
      </c>
      <c r="AB7" s="1556" t="e">
        <f>D7/H7</f>
        <v>#DIV/0!</v>
      </c>
      <c r="AC7" s="1556" t="e">
        <f>D7/J7</f>
        <v>#DIV/0!</v>
      </c>
    </row>
    <row r="8" spans="1:29" s="1214" customFormat="1" ht="15.75"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408" t="s">
        <v>533</v>
      </c>
      <c r="Q8" s="3409"/>
      <c r="R8" s="1553" t="s">
        <v>8</v>
      </c>
      <c r="S8" s="1554">
        <f t="shared" si="0"/>
        <v>0</v>
      </c>
      <c r="T8" s="1553" t="s">
        <v>8</v>
      </c>
      <c r="U8" s="1554">
        <f t="shared" si="1"/>
        <v>0</v>
      </c>
      <c r="V8" s="1553" t="s">
        <v>8</v>
      </c>
      <c r="W8" s="1554">
        <f t="shared" si="2"/>
        <v>0</v>
      </c>
      <c r="X8" s="1555"/>
      <c r="Y8" s="3408" t="s">
        <v>533</v>
      </c>
      <c r="Z8" s="3409"/>
      <c r="AA8" s="1556" t="e">
        <f t="shared" ref="AA8:AA34" si="3">D8/F8</f>
        <v>#DIV/0!</v>
      </c>
      <c r="AB8" s="1556" t="e">
        <f t="shared" ref="AB8:AB34" si="4">D8/H8</f>
        <v>#DIV/0!</v>
      </c>
      <c r="AC8" s="1556" t="e">
        <f t="shared" ref="AC8:AC34" si="5">D8/J8</f>
        <v>#DIV/0!</v>
      </c>
    </row>
    <row r="9" spans="1:29" s="1214" customFormat="1" ht="15">
      <c r="A9" s="2868"/>
      <c r="B9" s="2875" t="s">
        <v>2753</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401" t="s">
        <v>535</v>
      </c>
      <c r="Q9" s="1145" t="str">
        <f t="shared" ref="Q9:Q14" si="6">B9</f>
        <v>用途</v>
      </c>
      <c r="R9" s="1553" t="s">
        <v>8</v>
      </c>
      <c r="S9" s="1554">
        <f t="shared" si="0"/>
        <v>100</v>
      </c>
      <c r="T9" s="1553" t="s">
        <v>8</v>
      </c>
      <c r="U9" s="1554">
        <f t="shared" si="1"/>
        <v>100</v>
      </c>
      <c r="V9" s="1553" t="s">
        <v>8</v>
      </c>
      <c r="W9" s="1554">
        <f t="shared" si="2"/>
        <v>100</v>
      </c>
      <c r="X9" s="1555"/>
      <c r="Y9" s="3366" t="s">
        <v>536</v>
      </c>
      <c r="Z9" s="1144" t="str">
        <f t="shared" ref="Z9:Z14" si="7">Q9</f>
        <v>用途</v>
      </c>
      <c r="AA9" s="1556">
        <f t="shared" si="3"/>
        <v>1</v>
      </c>
      <c r="AB9" s="1556">
        <f t="shared" si="4"/>
        <v>1</v>
      </c>
      <c r="AC9" s="1556">
        <f t="shared" si="5"/>
        <v>1</v>
      </c>
    </row>
    <row r="10" spans="1:29" s="1332" customFormat="1" ht="27">
      <c r="A10" s="2869"/>
      <c r="B10" s="2874" t="s">
        <v>2754</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401"/>
      <c r="Q10" s="1145" t="str">
        <f t="shared" si="6"/>
        <v>土地使用年限（年）</v>
      </c>
      <c r="R10" s="1553" t="s">
        <v>8</v>
      </c>
      <c r="S10" s="1554">
        <f t="shared" si="0"/>
        <v>100</v>
      </c>
      <c r="T10" s="1553" t="s">
        <v>8</v>
      </c>
      <c r="U10" s="1554">
        <f t="shared" si="1"/>
        <v>100</v>
      </c>
      <c r="V10" s="1553" t="s">
        <v>8</v>
      </c>
      <c r="W10" s="1554">
        <f t="shared" si="2"/>
        <v>100</v>
      </c>
      <c r="X10" s="1555"/>
      <c r="Y10" s="3366"/>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401"/>
      <c r="Q11" s="1145">
        <f t="shared" si="6"/>
        <v>111</v>
      </c>
      <c r="R11" s="1553" t="s">
        <v>8</v>
      </c>
      <c r="S11" s="1554">
        <f t="shared" si="0"/>
        <v>100</v>
      </c>
      <c r="T11" s="1553" t="s">
        <v>8</v>
      </c>
      <c r="U11" s="1554">
        <f t="shared" si="1"/>
        <v>100</v>
      </c>
      <c r="V11" s="1553" t="s">
        <v>8</v>
      </c>
      <c r="W11" s="1554">
        <f t="shared" si="2"/>
        <v>100</v>
      </c>
      <c r="X11" s="1555"/>
      <c r="Y11" s="3366"/>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401"/>
      <c r="Q12" s="1145">
        <f t="shared" si="6"/>
        <v>111</v>
      </c>
      <c r="R12" s="1553" t="s">
        <v>8</v>
      </c>
      <c r="S12" s="1554">
        <f t="shared" si="0"/>
        <v>100</v>
      </c>
      <c r="T12" s="1553" t="s">
        <v>8</v>
      </c>
      <c r="U12" s="1554">
        <f t="shared" si="1"/>
        <v>100</v>
      </c>
      <c r="V12" s="1553" t="s">
        <v>8</v>
      </c>
      <c r="W12" s="1554">
        <f t="shared" si="2"/>
        <v>100</v>
      </c>
      <c r="X12" s="1555"/>
      <c r="Y12" s="3366"/>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401"/>
      <c r="Q13" s="1145">
        <f t="shared" si="6"/>
        <v>111</v>
      </c>
      <c r="R13" s="1553" t="s">
        <v>8</v>
      </c>
      <c r="S13" s="1554">
        <f t="shared" si="0"/>
        <v>100</v>
      </c>
      <c r="T13" s="1553" t="s">
        <v>8</v>
      </c>
      <c r="U13" s="1554">
        <f t="shared" si="1"/>
        <v>100</v>
      </c>
      <c r="V13" s="1553" t="s">
        <v>8</v>
      </c>
      <c r="W13" s="1554">
        <f t="shared" si="2"/>
        <v>100</v>
      </c>
      <c r="X13" s="1555"/>
      <c r="Y13" s="3366"/>
      <c r="Z13" s="1144">
        <f t="shared" si="7"/>
        <v>111</v>
      </c>
      <c r="AA13" s="1556">
        <f t="shared" si="3"/>
        <v>1</v>
      </c>
      <c r="AB13" s="1556">
        <f t="shared" si="4"/>
        <v>1</v>
      </c>
      <c r="AC13" s="1556">
        <f t="shared" si="5"/>
        <v>1</v>
      </c>
    </row>
    <row r="14" spans="1:29" ht="85.5">
      <c r="A14" s="2864" t="s">
        <v>2751</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30"/>
      <c r="B16" s="2566" t="s">
        <v>2544</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30"/>
      <c r="B18" s="2554" t="s">
        <v>2556</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05"/>
      <c r="Q24" s="1557">
        <f t="shared" ref="Q24:Q34"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05"/>
      <c r="Q25" s="1145">
        <f t="shared" si="11"/>
        <v>111</v>
      </c>
      <c r="R25" s="1553" t="s">
        <v>8</v>
      </c>
      <c r="S25" s="1554">
        <f>F25</f>
        <v>100</v>
      </c>
      <c r="T25" s="1553" t="s">
        <v>8</v>
      </c>
      <c r="U25" s="1554">
        <f>H25</f>
        <v>100</v>
      </c>
      <c r="V25" s="1553" t="s">
        <v>8</v>
      </c>
      <c r="W25" s="1554">
        <f>J25</f>
        <v>100</v>
      </c>
      <c r="X25" s="1555"/>
      <c r="Y25" s="3405"/>
      <c r="Z25" s="1144">
        <f>Q25</f>
        <v>111</v>
      </c>
      <c r="AA25" s="1561">
        <f>D25/F25</f>
        <v>1</v>
      </c>
      <c r="AB25" s="1561">
        <f>D25/H25</f>
        <v>1</v>
      </c>
      <c r="AC25" s="1561">
        <f>D25/J25</f>
        <v>1</v>
      </c>
    </row>
    <row r="26" spans="1:29" ht="15">
      <c r="A26" s="2861"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0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7"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07"/>
      <c r="Q27" s="1589" t="str">
        <f t="shared" si="11"/>
        <v>成新率</v>
      </c>
      <c r="R27" s="1562" t="s">
        <v>8</v>
      </c>
      <c r="S27" s="1563" t="e">
        <f t="shared" si="12"/>
        <v>#N/A</v>
      </c>
      <c r="T27" s="1562" t="s">
        <v>8</v>
      </c>
      <c r="U27" s="1563" t="e">
        <f t="shared" si="13"/>
        <v>#N/A</v>
      </c>
      <c r="V27" s="1562" t="s">
        <v>8</v>
      </c>
      <c r="W27" s="1563" t="e">
        <f t="shared" si="14"/>
        <v>#N/A</v>
      </c>
      <c r="X27" s="1564"/>
      <c r="Y27" s="3407"/>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07"/>
      <c r="Q28" s="1557" t="str">
        <f t="shared" si="11"/>
        <v>物业等级</v>
      </c>
      <c r="R28" s="1558" t="s">
        <v>8</v>
      </c>
      <c r="S28" s="1559">
        <f t="shared" si="12"/>
        <v>100</v>
      </c>
      <c r="T28" s="1558" t="s">
        <v>8</v>
      </c>
      <c r="U28" s="1559">
        <f t="shared" si="13"/>
        <v>100</v>
      </c>
      <c r="V28" s="1558" t="s">
        <v>8</v>
      </c>
      <c r="W28" s="1559">
        <f t="shared" si="14"/>
        <v>100</v>
      </c>
      <c r="X28" s="1552"/>
      <c r="Y28" s="3407"/>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07"/>
      <c r="Q29" s="1557" t="str">
        <f t="shared" si="11"/>
        <v>有无电梯</v>
      </c>
      <c r="R29" s="1558" t="s">
        <v>8</v>
      </c>
      <c r="S29" s="1559">
        <f t="shared" si="12"/>
        <v>100</v>
      </c>
      <c r="T29" s="1558" t="s">
        <v>8</v>
      </c>
      <c r="U29" s="1559">
        <f t="shared" si="13"/>
        <v>100</v>
      </c>
      <c r="V29" s="1558" t="s">
        <v>8</v>
      </c>
      <c r="W29" s="1559">
        <f t="shared" si="14"/>
        <v>100</v>
      </c>
      <c r="X29" s="1552"/>
      <c r="Y29" s="3407"/>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07"/>
      <c r="Q30" s="1557" t="str">
        <f t="shared" si="11"/>
        <v>建筑面积</v>
      </c>
      <c r="R30" s="1558" t="s">
        <v>8</v>
      </c>
      <c r="S30" s="1559" t="e">
        <f t="shared" si="12"/>
        <v>#N/A</v>
      </c>
      <c r="T30" s="1558" t="s">
        <v>8</v>
      </c>
      <c r="U30" s="1559" t="e">
        <f t="shared" si="13"/>
        <v>#N/A</v>
      </c>
      <c r="V30" s="1558" t="s">
        <v>8</v>
      </c>
      <c r="W30" s="1559" t="e">
        <f t="shared" si="14"/>
        <v>#N/A</v>
      </c>
      <c r="X30" s="1552"/>
      <c r="Y30" s="3407"/>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07"/>
      <c r="Q31" s="1145" t="str">
        <f t="shared" si="11"/>
        <v>是否封闭</v>
      </c>
      <c r="R31" s="1553" t="s">
        <v>8</v>
      </c>
      <c r="S31" s="1554">
        <f t="shared" si="12"/>
        <v>100</v>
      </c>
      <c r="T31" s="1553" t="s">
        <v>8</v>
      </c>
      <c r="U31" s="1554">
        <f t="shared" si="13"/>
        <v>100</v>
      </c>
      <c r="V31" s="1553" t="s">
        <v>8</v>
      </c>
      <c r="W31" s="1554">
        <f t="shared" si="14"/>
        <v>100</v>
      </c>
      <c r="X31" s="1555"/>
      <c r="Y31" s="340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07" t="s">
        <v>550</v>
      </c>
      <c r="Q32" s="1557">
        <f t="shared" si="11"/>
        <v>111</v>
      </c>
      <c r="R32" s="1558" t="s">
        <v>8</v>
      </c>
      <c r="S32" s="1559">
        <f t="shared" si="12"/>
        <v>100</v>
      </c>
      <c r="T32" s="1558" t="s">
        <v>8</v>
      </c>
      <c r="U32" s="1559">
        <f t="shared" si="13"/>
        <v>100</v>
      </c>
      <c r="V32" s="1558" t="s">
        <v>8</v>
      </c>
      <c r="W32" s="1559">
        <f t="shared" si="14"/>
        <v>100</v>
      </c>
      <c r="X32" s="1552"/>
      <c r="Y32" s="3407"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07"/>
      <c r="Q33" s="1557">
        <f t="shared" si="11"/>
        <v>111</v>
      </c>
      <c r="R33" s="1558" t="s">
        <v>8</v>
      </c>
      <c r="S33" s="1559">
        <f t="shared" si="12"/>
        <v>100</v>
      </c>
      <c r="T33" s="1558" t="s">
        <v>8</v>
      </c>
      <c r="U33" s="1559">
        <f t="shared" si="13"/>
        <v>100</v>
      </c>
      <c r="V33" s="1558" t="s">
        <v>8</v>
      </c>
      <c r="W33" s="1559">
        <f t="shared" si="14"/>
        <v>100</v>
      </c>
      <c r="X33" s="1552"/>
      <c r="Y33" s="3407"/>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401" t="str">
        <f>A35</f>
        <v>成交单价（元/平方米）</v>
      </c>
      <c r="Q35" s="3401"/>
      <c r="R35" s="3515">
        <f>E35</f>
        <v>0</v>
      </c>
      <c r="S35" s="3515"/>
      <c r="T35" s="3515">
        <f>G35</f>
        <v>0</v>
      </c>
      <c r="U35" s="3515"/>
      <c r="V35" s="3515">
        <f>I35</f>
        <v>0</v>
      </c>
      <c r="W35" s="3515"/>
      <c r="X35" s="1544"/>
      <c r="Y35" s="1566"/>
      <c r="Z35" s="1544"/>
      <c r="AA35" s="1544"/>
      <c r="AB35" s="1544"/>
      <c r="AC35" s="1544"/>
    </row>
    <row r="36" spans="1:29" ht="15.75" thickBot="1">
      <c r="A36" s="613" t="s">
        <v>2757</v>
      </c>
      <c r="B36" s="886"/>
      <c r="C36" s="2596" t="e">
        <f>R37</f>
        <v>#DIV/0!</v>
      </c>
      <c r="D36" s="2597"/>
      <c r="E36" s="2598" t="e">
        <f>R36</f>
        <v>#DIV/0!</v>
      </c>
      <c r="F36" s="2598"/>
      <c r="G36" s="2596" t="e">
        <f>T36</f>
        <v>#DIV/0!</v>
      </c>
      <c r="H36" s="2597"/>
      <c r="I36" s="2598" t="e">
        <f>V36</f>
        <v>#DIV/0!</v>
      </c>
      <c r="J36" s="2597"/>
      <c r="K36" s="1596"/>
      <c r="L36" s="2128"/>
      <c r="M36" s="2129"/>
      <c r="N36" s="2118"/>
      <c r="O36" s="2129"/>
      <c r="P36" s="3401" t="str">
        <f>A36</f>
        <v>比较价格（元/平方米）</v>
      </c>
      <c r="Q36" s="3401"/>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44"/>
      <c r="Y36" s="1544"/>
      <c r="Z36" s="1544"/>
      <c r="AA36" s="1544"/>
      <c r="AB36" s="1544"/>
      <c r="AC36" s="1544"/>
    </row>
    <row r="37" spans="1:29" ht="15.75" thickBot="1">
      <c r="A37" s="619" t="s">
        <v>2930</v>
      </c>
      <c r="B37" s="620"/>
      <c r="C37" s="2599" t="e">
        <f>R37</f>
        <v>#DIV/0!</v>
      </c>
      <c r="D37" s="2599"/>
      <c r="E37" s="2599"/>
      <c r="F37" s="2599"/>
      <c r="G37" s="2599"/>
      <c r="H37" s="2599"/>
      <c r="I37" s="2599"/>
      <c r="J37" s="2599"/>
      <c r="K37" s="1597"/>
      <c r="L37" s="2128"/>
      <c r="M37" s="2129"/>
      <c r="N37" s="2129"/>
      <c r="O37" s="2129"/>
      <c r="P37" s="3398" t="str">
        <f>A37</f>
        <v>估价对象XX用房的比较价格（楼面单价，元/平方米）</v>
      </c>
      <c r="Q37" s="3399"/>
      <c r="R37" s="3514" t="e">
        <f>IF(F1="售价",ROUND(AVERAGE(R36:V36),0),ROUND(AVERAGE(R36:V36),1))</f>
        <v>#DIV/0!</v>
      </c>
      <c r="S37" s="3514"/>
      <c r="T37" s="3514"/>
      <c r="U37" s="3514"/>
      <c r="V37" s="3514"/>
      <c r="W37" s="351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2555</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2556</v>
      </c>
      <c r="C65" s="2561" t="s">
        <v>2557</v>
      </c>
      <c r="D65" s="2561" t="s">
        <v>2558</v>
      </c>
      <c r="E65" s="2561" t="s">
        <v>2559</v>
      </c>
      <c r="F65" s="2561" t="s">
        <v>2560</v>
      </c>
      <c r="G65" s="2561" t="s">
        <v>2561</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2785</v>
      </c>
      <c r="C1" s="2958">
        <f>项目基本情况!D3</f>
        <v>43571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zoomScalePageLayoutView="80" workbookViewId="0">
      <selection activeCell="F49" sqref="F49"/>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2999</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50035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13522</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3" t="s">
        <v>522</v>
      </c>
      <c r="D4" s="3414"/>
      <c r="E4" s="3415" t="s">
        <v>523</v>
      </c>
      <c r="F4" s="3416"/>
      <c r="G4" s="3413" t="s">
        <v>524</v>
      </c>
      <c r="H4" s="3414"/>
      <c r="I4" s="3415" t="s">
        <v>525</v>
      </c>
      <c r="J4" s="3414"/>
      <c r="K4" s="851" t="s">
        <v>526</v>
      </c>
      <c r="L4" s="2117"/>
      <c r="M4" s="2118"/>
      <c r="N4" s="2118"/>
      <c r="O4" s="2118"/>
      <c r="P4" s="3417" t="s">
        <v>527</v>
      </c>
      <c r="Q4" s="3418"/>
      <c r="R4" s="3423" t="s">
        <v>523</v>
      </c>
      <c r="S4" s="3424"/>
      <c r="T4" s="3423" t="s">
        <v>524</v>
      </c>
      <c r="U4" s="3424"/>
      <c r="V4" s="3403" t="s">
        <v>525</v>
      </c>
      <c r="W4" s="3403"/>
      <c r="X4" s="3206"/>
      <c r="Y4" s="3423" t="s">
        <v>527</v>
      </c>
      <c r="Z4" s="3424"/>
      <c r="AA4" s="3410" t="s">
        <v>523</v>
      </c>
      <c r="AB4" s="3410" t="s">
        <v>524</v>
      </c>
      <c r="AC4" s="3410" t="s">
        <v>525</v>
      </c>
    </row>
    <row r="5" spans="1:29" ht="15">
      <c r="A5" s="513"/>
      <c r="B5" s="514"/>
      <c r="C5" s="3431" t="s">
        <v>2924</v>
      </c>
      <c r="D5" s="3432"/>
      <c r="E5" s="3512" t="s">
        <v>3286</v>
      </c>
      <c r="F5" s="3430"/>
      <c r="G5" s="3513" t="s">
        <v>3286</v>
      </c>
      <c r="H5" s="3432"/>
      <c r="I5" s="3512" t="s">
        <v>3286</v>
      </c>
      <c r="J5" s="3430"/>
      <c r="K5" s="852"/>
      <c r="L5" s="2117"/>
      <c r="M5" s="2118"/>
      <c r="N5" s="2118"/>
      <c r="O5" s="2118"/>
      <c r="P5" s="3419"/>
      <c r="Q5" s="3420"/>
      <c r="R5" s="3425"/>
      <c r="S5" s="3426"/>
      <c r="T5" s="3425"/>
      <c r="U5" s="3426"/>
      <c r="V5" s="3403"/>
      <c r="W5" s="3403"/>
      <c r="X5" s="3206"/>
      <c r="Y5" s="3425"/>
      <c r="Z5" s="3426"/>
      <c r="AA5" s="3411"/>
      <c r="AB5" s="3411"/>
      <c r="AC5" s="3411"/>
    </row>
    <row r="6" spans="1:29" ht="15.75" thickBot="1">
      <c r="A6" s="515"/>
      <c r="B6" s="516"/>
      <c r="C6" s="3433" t="s">
        <v>2928</v>
      </c>
      <c r="D6" s="3434"/>
      <c r="E6" s="3436" t="s">
        <v>2928</v>
      </c>
      <c r="F6" s="3437"/>
      <c r="G6" s="3433" t="s">
        <v>2928</v>
      </c>
      <c r="H6" s="3434"/>
      <c r="I6" s="3436" t="s">
        <v>2928</v>
      </c>
      <c r="J6" s="3434"/>
      <c r="K6" s="852" t="s">
        <v>528</v>
      </c>
      <c r="L6" s="2117"/>
      <c r="M6" s="2118"/>
      <c r="N6" s="2118"/>
      <c r="O6" s="2118"/>
      <c r="P6" s="3421"/>
      <c r="Q6" s="3422"/>
      <c r="R6" s="3425"/>
      <c r="S6" s="3426"/>
      <c r="T6" s="3427"/>
      <c r="U6" s="3428"/>
      <c r="V6" s="3403"/>
      <c r="W6" s="3403"/>
      <c r="X6" s="3206"/>
      <c r="Y6" s="3427"/>
      <c r="Z6" s="3428"/>
      <c r="AA6" s="3412"/>
      <c r="AB6" s="3412"/>
      <c r="AC6" s="3412"/>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19">
        <f>G7</f>
        <v>43571</v>
      </c>
      <c r="J7" s="518">
        <f>SUMIF(58:58,YEAR(I7)&amp;"-"&amp;MONTH(I7),59:59)</f>
        <v>100</v>
      </c>
      <c r="K7" s="853"/>
      <c r="L7" s="2119"/>
      <c r="M7" s="2120"/>
      <c r="N7" s="2120"/>
      <c r="O7" s="2120"/>
      <c r="P7" s="3408" t="s">
        <v>530</v>
      </c>
      <c r="Q7" s="3435"/>
      <c r="R7" s="1553" t="s">
        <v>13</v>
      </c>
      <c r="S7" s="1554">
        <f t="shared" ref="S7:S15" si="0">F7</f>
        <v>100</v>
      </c>
      <c r="T7" s="1553" t="s">
        <v>13</v>
      </c>
      <c r="U7" s="1554">
        <f t="shared" ref="U7:U15" si="1">H7</f>
        <v>100</v>
      </c>
      <c r="V7" s="1553" t="s">
        <v>13</v>
      </c>
      <c r="W7" s="1554">
        <f t="shared" ref="W7:W15" si="2">J7</f>
        <v>100</v>
      </c>
      <c r="X7" s="1555"/>
      <c r="Y7" s="3408" t="s">
        <v>530</v>
      </c>
      <c r="Z7" s="3409"/>
      <c r="AA7" s="1556">
        <f>D7/F7</f>
        <v>1</v>
      </c>
      <c r="AB7" s="1556">
        <f>D7/H7</f>
        <v>1</v>
      </c>
      <c r="AC7" s="1556">
        <f>D7/J7</f>
        <v>1</v>
      </c>
    </row>
    <row r="8" spans="1:29" s="1214" customFormat="1" ht="15.75" thickBot="1">
      <c r="A8" s="2867"/>
      <c r="B8" s="2874" t="s">
        <v>531</v>
      </c>
      <c r="C8" s="523" t="s">
        <v>576</v>
      </c>
      <c r="D8" s="518">
        <v>100</v>
      </c>
      <c r="E8" s="854" t="s">
        <v>3002</v>
      </c>
      <c r="F8" s="520">
        <f>SUMIF(61:61,E8,62:62)-SUMIF(61:61,C8,62:62)+100</f>
        <v>100</v>
      </c>
      <c r="G8" s="523" t="s">
        <v>3002</v>
      </c>
      <c r="H8" s="518">
        <f>SUMIF(61:61,G8,62:62)-SUMIF(61:61,C8,62:62)+100</f>
        <v>100</v>
      </c>
      <c r="I8" s="854" t="s">
        <v>3002</v>
      </c>
      <c r="J8" s="518">
        <f>SUMIF(61:61,I8,62:62)-SUMIF(61:61,C8,62:62)+100</f>
        <v>100</v>
      </c>
      <c r="K8" s="853"/>
      <c r="L8" s="2119"/>
      <c r="M8" s="2120"/>
      <c r="N8" s="2120"/>
      <c r="O8" s="2120"/>
      <c r="P8" s="3408" t="s">
        <v>533</v>
      </c>
      <c r="Q8" s="3409"/>
      <c r="R8" s="1553" t="s">
        <v>13</v>
      </c>
      <c r="S8" s="1554">
        <f t="shared" si="0"/>
        <v>100</v>
      </c>
      <c r="T8" s="1553" t="s">
        <v>13</v>
      </c>
      <c r="U8" s="1554">
        <f t="shared" si="1"/>
        <v>100</v>
      </c>
      <c r="V8" s="1553" t="s">
        <v>13</v>
      </c>
      <c r="W8" s="1554">
        <f t="shared" si="2"/>
        <v>100</v>
      </c>
      <c r="X8" s="1555"/>
      <c r="Y8" s="3408" t="s">
        <v>533</v>
      </c>
      <c r="Z8" s="3409"/>
      <c r="AA8" s="1556">
        <f t="shared" ref="AA8:AA46" si="3">D8/F8</f>
        <v>1</v>
      </c>
      <c r="AB8" s="1556">
        <f t="shared" ref="AB8:AB46" si="4">D8/H8</f>
        <v>1</v>
      </c>
      <c r="AC8" s="1556">
        <f t="shared" ref="AC8:AC46" si="5">D8/J8</f>
        <v>1</v>
      </c>
    </row>
    <row r="9" spans="1:29" s="1214" customFormat="1" ht="15">
      <c r="A9" s="2868"/>
      <c r="B9" s="2875" t="s">
        <v>2753</v>
      </c>
      <c r="C9" s="3183" t="s">
        <v>3001</v>
      </c>
      <c r="D9" s="252">
        <v>100</v>
      </c>
      <c r="E9" s="856" t="s">
        <v>923</v>
      </c>
      <c r="F9" s="857">
        <f>SUMIF(63:63,E9,64:64)-SUMIF(63:63,C9,64:64)+100</f>
        <v>100</v>
      </c>
      <c r="G9" s="858" t="s">
        <v>923</v>
      </c>
      <c r="H9" s="252">
        <f>SUMIF(63:63,G9,64:64)-SUMIF(63:63,C9,64:64)+100</f>
        <v>100</v>
      </c>
      <c r="I9" s="856" t="s">
        <v>923</v>
      </c>
      <c r="J9" s="252">
        <f>SUMIF(63:63,I9,64:64)-SUMIF(63:63,C9,64:64)+100</f>
        <v>100</v>
      </c>
      <c r="K9" s="853"/>
      <c r="L9" s="2119"/>
      <c r="M9" s="2120"/>
      <c r="N9" s="2120"/>
      <c r="O9" s="2121"/>
      <c r="P9" s="3401" t="s">
        <v>535</v>
      </c>
      <c r="Q9" s="3203" t="str">
        <f t="shared" ref="Q9:Q15" si="6">B9</f>
        <v>用途</v>
      </c>
      <c r="R9" s="1553" t="s">
        <v>8</v>
      </c>
      <c r="S9" s="1554">
        <f t="shared" si="0"/>
        <v>100</v>
      </c>
      <c r="T9" s="1553" t="s">
        <v>8</v>
      </c>
      <c r="U9" s="1554">
        <f t="shared" si="1"/>
        <v>100</v>
      </c>
      <c r="V9" s="1553" t="s">
        <v>8</v>
      </c>
      <c r="W9" s="1554">
        <f t="shared" si="2"/>
        <v>100</v>
      </c>
      <c r="X9" s="1555"/>
      <c r="Y9" s="3366" t="s">
        <v>536</v>
      </c>
      <c r="Z9" s="3202" t="str">
        <f t="shared" ref="Z9:Z15" si="7">Q9</f>
        <v>用途</v>
      </c>
      <c r="AA9" s="1556">
        <f t="shared" si="3"/>
        <v>1</v>
      </c>
      <c r="AB9" s="1556">
        <f t="shared" si="4"/>
        <v>1</v>
      </c>
      <c r="AC9" s="1556">
        <f t="shared" si="5"/>
        <v>1</v>
      </c>
    </row>
    <row r="10" spans="1:29" s="1332" customFormat="1" ht="27">
      <c r="A10" s="2869"/>
      <c r="B10" s="2874" t="s">
        <v>2754</v>
      </c>
      <c r="C10" s="859" t="s">
        <v>3000</v>
      </c>
      <c r="D10" s="253">
        <v>100</v>
      </c>
      <c r="E10" s="860" t="s">
        <v>3000</v>
      </c>
      <c r="F10" s="861">
        <f>SUMIF(65:65,E10,66:66)-SUMIF(65:65,C10,66:66)+100</f>
        <v>100</v>
      </c>
      <c r="G10" s="859" t="s">
        <v>3000</v>
      </c>
      <c r="H10" s="253">
        <f>SUMIF(65:65,G10,66:66)-SUMIF(65:65,C10,66:66)+100</f>
        <v>100</v>
      </c>
      <c r="I10" s="860" t="s">
        <v>3000</v>
      </c>
      <c r="J10" s="253">
        <f>SUMIF(65:65,I10,66:66)-SUMIF(65:65,C10,66:66)+100</f>
        <v>100</v>
      </c>
      <c r="K10" s="862">
        <v>1</v>
      </c>
      <c r="L10" s="2122"/>
      <c r="M10" s="2162"/>
      <c r="N10" s="2162"/>
      <c r="O10" s="2123"/>
      <c r="P10" s="3401"/>
      <c r="Q10" s="3203" t="str">
        <f t="shared" si="6"/>
        <v>土地使用年限（年）</v>
      </c>
      <c r="R10" s="1553" t="s">
        <v>8</v>
      </c>
      <c r="S10" s="1554">
        <f t="shared" si="0"/>
        <v>100</v>
      </c>
      <c r="T10" s="1553" t="s">
        <v>8</v>
      </c>
      <c r="U10" s="1554">
        <f t="shared" si="1"/>
        <v>100</v>
      </c>
      <c r="V10" s="1553" t="s">
        <v>8</v>
      </c>
      <c r="W10" s="1554">
        <f t="shared" si="2"/>
        <v>100</v>
      </c>
      <c r="X10" s="1555"/>
      <c r="Y10" s="3366"/>
      <c r="Z10" s="3202" t="str">
        <f t="shared" si="7"/>
        <v>土地使用年限（年）</v>
      </c>
      <c r="AA10" s="1556">
        <f t="shared" si="3"/>
        <v>1</v>
      </c>
      <c r="AB10" s="1556">
        <f t="shared" si="4"/>
        <v>1</v>
      </c>
      <c r="AC10" s="1556">
        <f t="shared" si="5"/>
        <v>1</v>
      </c>
    </row>
    <row r="11" spans="1:29" ht="15">
      <c r="A11" s="2870"/>
      <c r="B11" s="2874" t="s">
        <v>2755</v>
      </c>
      <c r="C11" s="531"/>
      <c r="D11" s="253">
        <v>100</v>
      </c>
      <c r="E11" s="532"/>
      <c r="F11" s="861">
        <f>LOOKUP(E11,68:68,69:69)-LOOKUP(C11,68:68,69:69)+100</f>
        <v>100</v>
      </c>
      <c r="G11" s="531"/>
      <c r="H11" s="253">
        <f>LOOKUP(G11,68:68,69:69)-LOOKUP(C11,68:68,69:69)+100</f>
        <v>100</v>
      </c>
      <c r="I11" s="532"/>
      <c r="J11" s="253">
        <f>LOOKUP(I11,68:68,69:69)-LOOKUP(C11,68:68,69:69)+100</f>
        <v>100</v>
      </c>
      <c r="K11" s="862"/>
      <c r="L11" s="2124"/>
      <c r="M11" s="2118"/>
      <c r="N11" s="2118"/>
      <c r="O11" s="2125"/>
      <c r="P11" s="3401"/>
      <c r="Q11" s="3203" t="str">
        <f t="shared" si="6"/>
        <v>容积率</v>
      </c>
      <c r="R11" s="1553" t="s">
        <v>11</v>
      </c>
      <c r="S11" s="1554">
        <f t="shared" si="0"/>
        <v>100</v>
      </c>
      <c r="T11" s="1553" t="s">
        <v>11</v>
      </c>
      <c r="U11" s="1554">
        <f t="shared" si="1"/>
        <v>100</v>
      </c>
      <c r="V11" s="1553" t="s">
        <v>11</v>
      </c>
      <c r="W11" s="1554">
        <f t="shared" si="2"/>
        <v>100</v>
      </c>
      <c r="X11" s="1555"/>
      <c r="Y11" s="3366"/>
      <c r="Z11" s="3202"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908"/>
      <c r="J12" s="253">
        <f>SUMIF(70:70,I12,71:71)-SUMIF(70:70,C12,71:71)+100</f>
        <v>100</v>
      </c>
      <c r="K12" s="863"/>
      <c r="L12" s="2119"/>
      <c r="M12" s="2120"/>
      <c r="N12" s="2120"/>
      <c r="O12" s="2121"/>
      <c r="P12" s="3401"/>
      <c r="Q12" s="3203">
        <f t="shared" si="6"/>
        <v>0</v>
      </c>
      <c r="R12" s="1553" t="s">
        <v>11</v>
      </c>
      <c r="S12" s="1554">
        <f t="shared" si="0"/>
        <v>100</v>
      </c>
      <c r="T12" s="1553" t="s">
        <v>11</v>
      </c>
      <c r="U12" s="1554">
        <f t="shared" si="1"/>
        <v>100</v>
      </c>
      <c r="V12" s="1553" t="s">
        <v>11</v>
      </c>
      <c r="W12" s="1554">
        <f t="shared" si="2"/>
        <v>100</v>
      </c>
      <c r="X12" s="1555"/>
      <c r="Y12" s="3366"/>
      <c r="Z12" s="3202">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910"/>
      <c r="J13" s="538">
        <f>SUMIF(72:72,I13,73:73)-SUMIF(72:72,C13,73:73)+100</f>
        <v>100</v>
      </c>
      <c r="K13" s="863"/>
      <c r="L13" s="2126"/>
      <c r="M13" s="2118"/>
      <c r="N13" s="2118"/>
      <c r="O13" s="2125"/>
      <c r="P13" s="3401"/>
      <c r="Q13" s="3203">
        <f t="shared" si="6"/>
        <v>0</v>
      </c>
      <c r="R13" s="1553" t="s">
        <v>11</v>
      </c>
      <c r="S13" s="1554">
        <f t="shared" si="0"/>
        <v>100</v>
      </c>
      <c r="T13" s="1553" t="s">
        <v>11</v>
      </c>
      <c r="U13" s="1554">
        <f t="shared" si="1"/>
        <v>100</v>
      </c>
      <c r="V13" s="1553" t="s">
        <v>11</v>
      </c>
      <c r="W13" s="1554">
        <f t="shared" si="2"/>
        <v>100</v>
      </c>
      <c r="X13" s="1555"/>
      <c r="Y13" s="3366"/>
      <c r="Z13" s="3202">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913"/>
      <c r="J14" s="544">
        <f>SUMIF(74:74,I14,75:75)-SUMIF(74:74,C14,75:75)+100</f>
        <v>100</v>
      </c>
      <c r="K14" s="863"/>
      <c r="L14" s="2126"/>
      <c r="M14" s="2118"/>
      <c r="N14" s="2118"/>
      <c r="O14" s="2125"/>
      <c r="P14" s="3401"/>
      <c r="Q14" s="3203">
        <f t="shared" si="6"/>
        <v>0</v>
      </c>
      <c r="R14" s="1553" t="s">
        <v>11</v>
      </c>
      <c r="S14" s="1554">
        <f t="shared" si="0"/>
        <v>100</v>
      </c>
      <c r="T14" s="1553" t="s">
        <v>11</v>
      </c>
      <c r="U14" s="1554">
        <f t="shared" si="1"/>
        <v>100</v>
      </c>
      <c r="V14" s="1553" t="s">
        <v>11</v>
      </c>
      <c r="W14" s="1554">
        <f t="shared" si="2"/>
        <v>100</v>
      </c>
      <c r="X14" s="1555"/>
      <c r="Y14" s="3366"/>
      <c r="Z14" s="3202">
        <f t="shared" si="7"/>
        <v>0</v>
      </c>
      <c r="AA14" s="1556">
        <f t="shared" si="3"/>
        <v>1</v>
      </c>
      <c r="AB14" s="1556">
        <f t="shared" si="4"/>
        <v>1</v>
      </c>
      <c r="AC14" s="1556">
        <f t="shared" si="5"/>
        <v>1</v>
      </c>
    </row>
    <row r="15" spans="1:29" ht="99.75">
      <c r="A15" s="2864" t="s">
        <v>2751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103</v>
      </c>
      <c r="G15" s="550"/>
      <c r="H15" s="547">
        <f>SUMIF(76:76,G16,77:77)-SUMIF(76:76,C16,77:77)+100</f>
        <v>103</v>
      </c>
      <c r="I15" s="548"/>
      <c r="J15" s="547">
        <f>SUMIF(76:76,I16,77:77)-SUMIF(76:76,C16,77:77)+100</f>
        <v>103</v>
      </c>
      <c r="K15" s="866">
        <v>3</v>
      </c>
      <c r="L15" s="2126"/>
      <c r="M15" s="2118"/>
      <c r="N15" s="2118"/>
      <c r="O15" s="2125"/>
      <c r="P15" s="3404" t="s">
        <v>540</v>
      </c>
      <c r="Q15" s="3204" t="str">
        <f t="shared" si="6"/>
        <v>居住社区成熟度</v>
      </c>
      <c r="R15" s="1558" t="s">
        <v>11</v>
      </c>
      <c r="S15" s="1559">
        <f t="shared" si="0"/>
        <v>103</v>
      </c>
      <c r="T15" s="1558" t="s">
        <v>11</v>
      </c>
      <c r="U15" s="1559">
        <f t="shared" si="1"/>
        <v>103</v>
      </c>
      <c r="V15" s="1558" t="s">
        <v>11</v>
      </c>
      <c r="W15" s="1559">
        <f t="shared" si="2"/>
        <v>103</v>
      </c>
      <c r="X15" s="3206"/>
      <c r="Y15" s="3404" t="s">
        <v>540</v>
      </c>
      <c r="Z15" s="3205" t="str">
        <f t="shared" si="7"/>
        <v>居住社区成熟度</v>
      </c>
      <c r="AA15" s="3207">
        <f t="shared" si="3"/>
        <v>0.970873786407767</v>
      </c>
      <c r="AB15" s="3207">
        <f t="shared" si="4"/>
        <v>0.970873786407767</v>
      </c>
      <c r="AC15" s="3207">
        <f t="shared" si="5"/>
        <v>0.970873786407767</v>
      </c>
    </row>
    <row r="16" spans="1:29" ht="15">
      <c r="A16" s="530"/>
      <c r="B16" s="867"/>
      <c r="C16" s="574" t="s">
        <v>3245</v>
      </c>
      <c r="D16" s="553"/>
      <c r="E16" s="554" t="s">
        <v>3246</v>
      </c>
      <c r="F16" s="555"/>
      <c r="G16" s="556" t="s">
        <v>3246</v>
      </c>
      <c r="H16" s="557"/>
      <c r="I16" s="556" t="s">
        <v>3246</v>
      </c>
      <c r="J16" s="553"/>
      <c r="K16" s="868"/>
      <c r="L16" s="2126"/>
      <c r="M16" s="2118"/>
      <c r="N16" s="2118"/>
      <c r="O16" s="2125"/>
      <c r="P16" s="3405"/>
      <c r="Q16" s="3204"/>
      <c r="R16" s="1558"/>
      <c r="S16" s="1559"/>
      <c r="T16" s="1558"/>
      <c r="U16" s="1559"/>
      <c r="V16" s="1558"/>
      <c r="W16" s="1559"/>
      <c r="X16" s="3206"/>
      <c r="Y16" s="3405"/>
      <c r="Z16" s="3205"/>
      <c r="AA16" s="3207">
        <v>1</v>
      </c>
      <c r="AB16" s="3207">
        <v>1</v>
      </c>
      <c r="AC16" s="3207">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405"/>
      <c r="Q17" s="3204" t="str">
        <f>B17</f>
        <v>交通便捷度</v>
      </c>
      <c r="R17" s="1558" t="s">
        <v>11</v>
      </c>
      <c r="S17" s="1559">
        <f>F17</f>
        <v>100</v>
      </c>
      <c r="T17" s="1558" t="s">
        <v>11</v>
      </c>
      <c r="U17" s="1559">
        <f>H17</f>
        <v>100</v>
      </c>
      <c r="V17" s="1558" t="s">
        <v>11</v>
      </c>
      <c r="W17" s="1559">
        <f>J17</f>
        <v>100</v>
      </c>
      <c r="X17" s="3206"/>
      <c r="Y17" s="3405"/>
      <c r="Z17" s="3205" t="str">
        <f>Q17</f>
        <v>交通便捷度</v>
      </c>
      <c r="AA17" s="3207">
        <f t="shared" si="3"/>
        <v>1</v>
      </c>
      <c r="AB17" s="3207">
        <f t="shared" si="4"/>
        <v>1</v>
      </c>
      <c r="AC17" s="3207">
        <f t="shared" si="5"/>
        <v>1</v>
      </c>
    </row>
    <row r="18" spans="1:29" ht="15">
      <c r="A18" s="530"/>
      <c r="B18" s="593"/>
      <c r="C18" s="871" t="s">
        <v>3246</v>
      </c>
      <c r="D18" s="557"/>
      <c r="E18" s="566" t="s">
        <v>3246</v>
      </c>
      <c r="F18" s="561"/>
      <c r="G18" s="567" t="s">
        <v>3246</v>
      </c>
      <c r="H18" s="553"/>
      <c r="I18" s="566" t="s">
        <v>3246</v>
      </c>
      <c r="J18" s="553"/>
      <c r="K18" s="868"/>
      <c r="L18" s="2126"/>
      <c r="M18" s="2118"/>
      <c r="N18" s="2118"/>
      <c r="O18" s="2125"/>
      <c r="P18" s="3405"/>
      <c r="Q18" s="3204"/>
      <c r="R18" s="1558"/>
      <c r="S18" s="1559"/>
      <c r="T18" s="1558"/>
      <c r="U18" s="1559"/>
      <c r="V18" s="1558"/>
      <c r="W18" s="1559"/>
      <c r="X18" s="3206"/>
      <c r="Y18" s="3405"/>
      <c r="Z18" s="3205"/>
      <c r="AA18" s="3207">
        <v>1</v>
      </c>
      <c r="AB18" s="3207">
        <v>1</v>
      </c>
      <c r="AC18" s="3207">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26"/>
      <c r="M19" s="2118"/>
      <c r="N19" s="2118"/>
      <c r="O19" s="2125"/>
      <c r="P19" s="3405"/>
      <c r="Q19" s="3204" t="str">
        <f>B19</f>
        <v>公共配套设施</v>
      </c>
      <c r="R19" s="1558" t="s">
        <v>11</v>
      </c>
      <c r="S19" s="1559">
        <f>F19</f>
        <v>100</v>
      </c>
      <c r="T19" s="1558" t="s">
        <v>11</v>
      </c>
      <c r="U19" s="1559">
        <f>H19</f>
        <v>100</v>
      </c>
      <c r="V19" s="1558" t="s">
        <v>11</v>
      </c>
      <c r="W19" s="1559">
        <f>J19</f>
        <v>100</v>
      </c>
      <c r="X19" s="3206"/>
      <c r="Y19" s="3405"/>
      <c r="Z19" s="3205" t="str">
        <f>Q19</f>
        <v>公共配套设施</v>
      </c>
      <c r="AA19" s="3207">
        <f t="shared" si="3"/>
        <v>1</v>
      </c>
      <c r="AB19" s="3207">
        <f t="shared" si="4"/>
        <v>1</v>
      </c>
      <c r="AC19" s="3207">
        <f t="shared" si="5"/>
        <v>1</v>
      </c>
    </row>
    <row r="20" spans="1:29" ht="15">
      <c r="A20" s="530"/>
      <c r="B20" s="593"/>
      <c r="C20" s="574" t="s">
        <v>3245</v>
      </c>
      <c r="D20" s="553"/>
      <c r="E20" s="554" t="s">
        <v>3245</v>
      </c>
      <c r="F20" s="555"/>
      <c r="G20" s="556" t="s">
        <v>3245</v>
      </c>
      <c r="H20" s="553"/>
      <c r="I20" s="554" t="s">
        <v>3245</v>
      </c>
      <c r="J20" s="553"/>
      <c r="K20" s="868"/>
      <c r="L20" s="2126"/>
      <c r="M20" s="2118"/>
      <c r="N20" s="2118"/>
      <c r="O20" s="2125"/>
      <c r="P20" s="3405"/>
      <c r="Q20" s="3204"/>
      <c r="R20" s="1558"/>
      <c r="S20" s="1559"/>
      <c r="T20" s="1558"/>
      <c r="U20" s="1559"/>
      <c r="V20" s="1558"/>
      <c r="W20" s="1559"/>
      <c r="X20" s="3206"/>
      <c r="Y20" s="3405"/>
      <c r="Z20" s="3205"/>
      <c r="AA20" s="3207">
        <v>1</v>
      </c>
      <c r="AB20" s="3207">
        <v>1</v>
      </c>
      <c r="AC20" s="3207">
        <v>1</v>
      </c>
    </row>
    <row r="21" spans="1:29" ht="28.5">
      <c r="A21" s="530"/>
      <c r="B21" s="2556" t="s">
        <v>2545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6"/>
      <c r="M21" s="2118"/>
      <c r="N21" s="2118"/>
      <c r="O21" s="2125"/>
      <c r="P21" s="3405"/>
      <c r="Q21" s="3204" t="str">
        <f>B21</f>
        <v>基础设施水平</v>
      </c>
      <c r="R21" s="1558" t="s">
        <v>11</v>
      </c>
      <c r="S21" s="1559">
        <f>F21</f>
        <v>100</v>
      </c>
      <c r="T21" s="1558" t="s">
        <v>11</v>
      </c>
      <c r="U21" s="1559">
        <f>H21</f>
        <v>100</v>
      </c>
      <c r="V21" s="1558" t="s">
        <v>11</v>
      </c>
      <c r="W21" s="1559">
        <f>J21</f>
        <v>100</v>
      </c>
      <c r="X21" s="3206"/>
      <c r="Y21" s="3405"/>
      <c r="Z21" s="3205" t="str">
        <f>Q21</f>
        <v>基础设施水平</v>
      </c>
      <c r="AA21" s="3207">
        <f t="shared" ref="AA21" si="8">D21/F21</f>
        <v>1</v>
      </c>
      <c r="AB21" s="3207">
        <f t="shared" ref="AB21" si="9">D21/H21</f>
        <v>1</v>
      </c>
      <c r="AC21" s="3207">
        <f t="shared" ref="AC21" si="10">D21/J21</f>
        <v>1</v>
      </c>
    </row>
    <row r="22" spans="1:29" ht="15">
      <c r="A22" s="530"/>
      <c r="B22" s="920"/>
      <c r="C22" s="871" t="s">
        <v>3239</v>
      </c>
      <c r="D22" s="553"/>
      <c r="E22" s="574" t="s">
        <v>3239</v>
      </c>
      <c r="F22" s="555"/>
      <c r="G22" s="574" t="s">
        <v>3239</v>
      </c>
      <c r="H22" s="553"/>
      <c r="I22" s="552" t="s">
        <v>3239</v>
      </c>
      <c r="J22" s="553"/>
      <c r="K22" s="2562"/>
      <c r="L22" s="2126"/>
      <c r="M22" s="2118"/>
      <c r="N22" s="2118"/>
      <c r="O22" s="2125"/>
      <c r="P22" s="3405"/>
      <c r="Q22" s="3204"/>
      <c r="R22" s="1558"/>
      <c r="S22" s="1559"/>
      <c r="T22" s="1558"/>
      <c r="U22" s="1559"/>
      <c r="V22" s="1558"/>
      <c r="W22" s="1559"/>
      <c r="X22" s="3206"/>
      <c r="Y22" s="3405"/>
      <c r="Z22" s="3205"/>
      <c r="AA22" s="3207">
        <v>1</v>
      </c>
      <c r="AB22" s="3207">
        <v>1</v>
      </c>
      <c r="AC22" s="3207">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5</v>
      </c>
      <c r="L23" s="2126"/>
      <c r="M23" s="2118"/>
      <c r="N23" s="2118"/>
      <c r="O23" s="2125"/>
      <c r="P23" s="3405"/>
      <c r="Q23" s="3204" t="str">
        <f>B23</f>
        <v>自然及人文环境</v>
      </c>
      <c r="R23" s="1558" t="s">
        <v>11</v>
      </c>
      <c r="S23" s="1559">
        <f>F23</f>
        <v>100</v>
      </c>
      <c r="T23" s="1558" t="s">
        <v>11</v>
      </c>
      <c r="U23" s="1559">
        <f>H23</f>
        <v>100</v>
      </c>
      <c r="V23" s="1558" t="s">
        <v>11</v>
      </c>
      <c r="W23" s="1559">
        <f>J23</f>
        <v>100</v>
      </c>
      <c r="X23" s="3206"/>
      <c r="Y23" s="3405"/>
      <c r="Z23" s="3205" t="str">
        <f>Q23</f>
        <v>自然及人文环境</v>
      </c>
      <c r="AA23" s="3207">
        <f t="shared" si="3"/>
        <v>1</v>
      </c>
      <c r="AB23" s="3207">
        <f t="shared" si="4"/>
        <v>1</v>
      </c>
      <c r="AC23" s="3207">
        <f t="shared" si="5"/>
        <v>1</v>
      </c>
    </row>
    <row r="24" spans="1:29" ht="15.75" thickBot="1">
      <c r="A24" s="530"/>
      <c r="B24" s="593"/>
      <c r="C24" s="574" t="s">
        <v>3230</v>
      </c>
      <c r="D24" s="553"/>
      <c r="E24" s="554" t="s">
        <v>3230</v>
      </c>
      <c r="F24" s="555"/>
      <c r="G24" s="556" t="s">
        <v>3230</v>
      </c>
      <c r="H24" s="553"/>
      <c r="I24" s="554" t="s">
        <v>3230</v>
      </c>
      <c r="J24" s="553"/>
      <c r="K24" s="868"/>
      <c r="L24" s="2126"/>
      <c r="M24" s="2118"/>
      <c r="N24" s="2118"/>
      <c r="O24" s="2125"/>
      <c r="P24" s="3405"/>
      <c r="Q24" s="3204"/>
      <c r="R24" s="1558"/>
      <c r="S24" s="1559"/>
      <c r="T24" s="1558"/>
      <c r="U24" s="1559"/>
      <c r="V24" s="1558"/>
      <c r="W24" s="1559"/>
      <c r="X24" s="3206"/>
      <c r="Y24" s="3405"/>
      <c r="Z24" s="3205"/>
      <c r="AA24" s="3207">
        <v>1</v>
      </c>
      <c r="AB24" s="3207">
        <v>1</v>
      </c>
      <c r="AC24" s="3207">
        <v>1</v>
      </c>
    </row>
    <row r="25" spans="1:29" ht="15.75" hidden="1" thickBot="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05"/>
      <c r="Q25" s="3204" t="str">
        <f t="shared" ref="Q25:Q46" si="11">B25</f>
        <v>楼层-1</v>
      </c>
      <c r="R25" s="1558" t="s">
        <v>11</v>
      </c>
      <c r="S25" s="1559">
        <f>F25</f>
        <v>100</v>
      </c>
      <c r="T25" s="1558" t="s">
        <v>11</v>
      </c>
      <c r="U25" s="1559">
        <f>H25</f>
        <v>100</v>
      </c>
      <c r="V25" s="1558" t="s">
        <v>11</v>
      </c>
      <c r="W25" s="1559">
        <f>J25</f>
        <v>100</v>
      </c>
      <c r="X25" s="3206"/>
      <c r="Y25" s="3405"/>
      <c r="Z25" s="3205" t="str">
        <f>Q25</f>
        <v>楼层-1</v>
      </c>
      <c r="AA25" s="3207">
        <f t="shared" si="3"/>
        <v>1</v>
      </c>
      <c r="AB25" s="3207">
        <f t="shared" si="4"/>
        <v>1</v>
      </c>
      <c r="AC25" s="3207">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05"/>
      <c r="Q26" s="3204" t="str">
        <f t="shared" si="11"/>
        <v>朝向</v>
      </c>
      <c r="R26" s="1558" t="s">
        <v>11</v>
      </c>
      <c r="S26" s="1559">
        <f>F26</f>
        <v>100</v>
      </c>
      <c r="T26" s="1558" t="s">
        <v>11</v>
      </c>
      <c r="U26" s="1559">
        <f>H26</f>
        <v>100</v>
      </c>
      <c r="V26" s="1558" t="s">
        <v>11</v>
      </c>
      <c r="W26" s="1559">
        <f>J26</f>
        <v>100</v>
      </c>
      <c r="X26" s="3206"/>
      <c r="Y26" s="3405"/>
      <c r="Z26" s="3205" t="str">
        <f>Q26</f>
        <v>朝向</v>
      </c>
      <c r="AA26" s="3207">
        <f t="shared" si="3"/>
        <v>1</v>
      </c>
      <c r="AB26" s="3207">
        <f t="shared" si="4"/>
        <v>1</v>
      </c>
      <c r="AC26" s="3207">
        <f t="shared" si="5"/>
        <v>1</v>
      </c>
    </row>
    <row r="27" spans="1:29" s="1214"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05"/>
      <c r="Q27" s="3203" t="str">
        <f t="shared" si="11"/>
        <v>道路级别</v>
      </c>
      <c r="R27" s="1553" t="s">
        <v>11</v>
      </c>
      <c r="S27" s="1554">
        <f>F27</f>
        <v>100</v>
      </c>
      <c r="T27" s="1553" t="s">
        <v>11</v>
      </c>
      <c r="U27" s="1554">
        <f>H27</f>
        <v>100</v>
      </c>
      <c r="V27" s="1553" t="s">
        <v>11</v>
      </c>
      <c r="W27" s="1554">
        <f>J27</f>
        <v>100</v>
      </c>
      <c r="X27" s="1555"/>
      <c r="Y27" s="3405"/>
      <c r="Z27" s="3202" t="str">
        <f>Q27</f>
        <v>道路级别</v>
      </c>
      <c r="AA27" s="3207">
        <f>D27/F27</f>
        <v>1</v>
      </c>
      <c r="AB27" s="3207">
        <f>D27/H27</f>
        <v>1</v>
      </c>
      <c r="AC27" s="3207">
        <f>D27/J27</f>
        <v>1</v>
      </c>
    </row>
    <row r="28" spans="1:29" ht="15.75" hidden="1" thickBot="1">
      <c r="A28" s="530"/>
      <c r="B28" s="875"/>
      <c r="C28" s="537"/>
      <c r="D28" s="538">
        <v>100</v>
      </c>
      <c r="E28" s="537"/>
      <c r="F28" s="573">
        <f>SUMIF(92:92,E28,93:93)-SUMIF(92:92,C28,93:93)+100</f>
        <v>100</v>
      </c>
      <c r="G28" s="537"/>
      <c r="H28" s="538">
        <f>SUMIF(92:92,G28,93:93)-SUMIF(92:92,C28,93:93)+100</f>
        <v>100</v>
      </c>
      <c r="I28" s="910"/>
      <c r="J28" s="538">
        <f>SUMIF(92:92,I28,93:93)-SUMIF(92:92,C28,93:93)+100</f>
        <v>100</v>
      </c>
      <c r="K28" s="863"/>
      <c r="L28" s="2126"/>
      <c r="M28" s="2118"/>
      <c r="N28" s="2118"/>
      <c r="O28" s="2125"/>
      <c r="P28" s="3405"/>
      <c r="Q28" s="3204">
        <f t="shared" si="11"/>
        <v>0</v>
      </c>
      <c r="R28" s="1558" t="s">
        <v>11</v>
      </c>
      <c r="S28" s="1559">
        <f t="shared" ref="S28:S46" si="12">F28</f>
        <v>100</v>
      </c>
      <c r="T28" s="1558" t="s">
        <v>11</v>
      </c>
      <c r="U28" s="1559">
        <f t="shared" ref="U28:U46" si="13">H28</f>
        <v>100</v>
      </c>
      <c r="V28" s="1558" t="s">
        <v>11</v>
      </c>
      <c r="W28" s="1559">
        <f t="shared" ref="W28:W46" si="14">J28</f>
        <v>100</v>
      </c>
      <c r="X28" s="3206"/>
      <c r="Y28" s="3405"/>
      <c r="Z28" s="3205">
        <f t="shared" ref="Z28:Z46" si="15">Q28</f>
        <v>0</v>
      </c>
      <c r="AA28" s="3207">
        <f t="shared" si="3"/>
        <v>1</v>
      </c>
      <c r="AB28" s="3207">
        <f t="shared" si="4"/>
        <v>1</v>
      </c>
      <c r="AC28" s="3207">
        <f t="shared" si="5"/>
        <v>1</v>
      </c>
    </row>
    <row r="29" spans="1:29" ht="15.75" hidden="1" thickBot="1">
      <c r="A29" s="530"/>
      <c r="B29" s="875"/>
      <c r="C29" s="537"/>
      <c r="D29" s="538">
        <v>100</v>
      </c>
      <c r="E29" s="537"/>
      <c r="F29" s="573">
        <f>SUMIF(94:94,E29,95:95)-SUMIF(94:94,C29,95:95)+100</f>
        <v>100</v>
      </c>
      <c r="G29" s="537"/>
      <c r="H29" s="538">
        <f>SUMIF(94:94,G29,95:95)-SUMIF(94:94,C29,95:95)+100</f>
        <v>100</v>
      </c>
      <c r="I29" s="910"/>
      <c r="J29" s="538">
        <f>SUMIF(94:94,I29,95:95)-SUMIF(94:94,C29,95:95)+100</f>
        <v>100</v>
      </c>
      <c r="K29" s="863"/>
      <c r="L29" s="2126"/>
      <c r="M29" s="2118"/>
      <c r="N29" s="2118"/>
      <c r="O29" s="2125"/>
      <c r="P29" s="3405"/>
      <c r="Q29" s="3204">
        <f t="shared" si="11"/>
        <v>0</v>
      </c>
      <c r="R29" s="1558" t="s">
        <v>11</v>
      </c>
      <c r="S29" s="1559">
        <f t="shared" si="12"/>
        <v>100</v>
      </c>
      <c r="T29" s="1558" t="s">
        <v>11</v>
      </c>
      <c r="U29" s="1559">
        <f t="shared" si="13"/>
        <v>100</v>
      </c>
      <c r="V29" s="1558" t="s">
        <v>11</v>
      </c>
      <c r="W29" s="1559">
        <f t="shared" si="14"/>
        <v>100</v>
      </c>
      <c r="X29" s="3206"/>
      <c r="Y29" s="3405"/>
      <c r="Z29" s="3205">
        <f t="shared" si="15"/>
        <v>0</v>
      </c>
      <c r="AA29" s="3207">
        <f t="shared" si="3"/>
        <v>1</v>
      </c>
      <c r="AB29" s="3207">
        <f t="shared" si="4"/>
        <v>1</v>
      </c>
      <c r="AC29" s="3207">
        <f t="shared" si="5"/>
        <v>1</v>
      </c>
    </row>
    <row r="30" spans="1:29" ht="15.75" hidden="1" thickBot="1">
      <c r="A30" s="530"/>
      <c r="B30" s="875"/>
      <c r="C30" s="537"/>
      <c r="D30" s="538">
        <v>100</v>
      </c>
      <c r="E30" s="537"/>
      <c r="F30" s="573">
        <f>SUMIF(96:96,E30,97:97)-SUMIF(96:96,C30,97:97)+100</f>
        <v>100</v>
      </c>
      <c r="G30" s="537"/>
      <c r="H30" s="538">
        <f>SUMIF(96:96,G30,97:97)-SUMIF(96:96,C30,97:97)+100</f>
        <v>100</v>
      </c>
      <c r="I30" s="910"/>
      <c r="J30" s="538">
        <f>SUMIF(96:96,I30,97:97)-SUMIF(96:96,C30,97:97)+100</f>
        <v>100</v>
      </c>
      <c r="K30" s="863"/>
      <c r="L30" s="2126"/>
      <c r="M30" s="2118"/>
      <c r="N30" s="2118"/>
      <c r="O30" s="2125"/>
      <c r="P30" s="3405"/>
      <c r="Q30" s="3204">
        <f t="shared" si="11"/>
        <v>0</v>
      </c>
      <c r="R30" s="1558" t="s">
        <v>11</v>
      </c>
      <c r="S30" s="1559">
        <f t="shared" si="12"/>
        <v>100</v>
      </c>
      <c r="T30" s="1558" t="s">
        <v>11</v>
      </c>
      <c r="U30" s="1559">
        <f t="shared" si="13"/>
        <v>100</v>
      </c>
      <c r="V30" s="1558" t="s">
        <v>11</v>
      </c>
      <c r="W30" s="1559">
        <f t="shared" si="14"/>
        <v>100</v>
      </c>
      <c r="X30" s="3206"/>
      <c r="Y30" s="3405"/>
      <c r="Z30" s="3205">
        <f t="shared" si="15"/>
        <v>0</v>
      </c>
      <c r="AA30" s="3207">
        <f t="shared" si="3"/>
        <v>1</v>
      </c>
      <c r="AB30" s="3207">
        <f t="shared" si="4"/>
        <v>1</v>
      </c>
      <c r="AC30" s="3207">
        <f t="shared" si="5"/>
        <v>1</v>
      </c>
    </row>
    <row r="31" spans="1:29" ht="15.75" hidden="1" thickBot="1">
      <c r="A31" s="541"/>
      <c r="B31" s="875"/>
      <c r="C31" s="543"/>
      <c r="D31" s="544">
        <v>100</v>
      </c>
      <c r="E31" s="543"/>
      <c r="F31" s="864">
        <f>SUMIF(98:98,E31,99:99)-SUMIF(98:98,C31,99:99)+100</f>
        <v>100</v>
      </c>
      <c r="G31" s="543"/>
      <c r="H31" s="544">
        <f>SUMIF(98:98,G31,99:99)-SUMIF(98:98,C31,99:99)+100</f>
        <v>100</v>
      </c>
      <c r="I31" s="913"/>
      <c r="J31" s="544">
        <f>SUMIF(98:98,I31,99:99)-SUMIF(98:98,C31,99:99)+100</f>
        <v>100</v>
      </c>
      <c r="K31" s="863"/>
      <c r="L31" s="2126"/>
      <c r="M31" s="2118"/>
      <c r="N31" s="2118"/>
      <c r="O31" s="2125"/>
      <c r="P31" s="3405"/>
      <c r="Q31" s="3204">
        <f t="shared" si="11"/>
        <v>0</v>
      </c>
      <c r="R31" s="1558" t="s">
        <v>11</v>
      </c>
      <c r="S31" s="1559">
        <f t="shared" si="12"/>
        <v>100</v>
      </c>
      <c r="T31" s="1558" t="s">
        <v>11</v>
      </c>
      <c r="U31" s="1559">
        <f t="shared" si="13"/>
        <v>100</v>
      </c>
      <c r="V31" s="1558" t="s">
        <v>11</v>
      </c>
      <c r="W31" s="1559">
        <f t="shared" si="14"/>
        <v>100</v>
      </c>
      <c r="X31" s="3206"/>
      <c r="Y31" s="3405"/>
      <c r="Z31" s="3205">
        <f t="shared" si="15"/>
        <v>0</v>
      </c>
      <c r="AA31" s="3207">
        <f t="shared" si="3"/>
        <v>1</v>
      </c>
      <c r="AB31" s="3207">
        <f t="shared" si="4"/>
        <v>1</v>
      </c>
      <c r="AC31" s="3207">
        <f t="shared" si="5"/>
        <v>1</v>
      </c>
    </row>
    <row r="32" spans="1:29" ht="15">
      <c r="A32" s="2861" t="s">
        <v>2752</v>
      </c>
      <c r="B32" s="172" t="s">
        <v>725</v>
      </c>
      <c r="C32" s="876" t="s">
        <v>3243</v>
      </c>
      <c r="D32" s="595">
        <v>100</v>
      </c>
      <c r="E32" s="877" t="s">
        <v>3242</v>
      </c>
      <c r="F32" s="573">
        <f>SUMIF(100:100,E32,101:101)-SUMIF(100:100,C32,101:101)+100</f>
        <v>110</v>
      </c>
      <c r="G32" s="876" t="s">
        <v>3243</v>
      </c>
      <c r="H32" s="595">
        <f>SUMIF(100:100,G32,101:101)-SUMIF(100:100,C32,101:101)+100</f>
        <v>100</v>
      </c>
      <c r="I32" s="877" t="s">
        <v>3244</v>
      </c>
      <c r="J32" s="538">
        <f>SUMIF(100:100,I32,101:101)-SUMIF(100:100,C32,101:101)+100</f>
        <v>90</v>
      </c>
      <c r="K32" s="862">
        <v>10</v>
      </c>
      <c r="L32" s="2126"/>
      <c r="M32" s="2118"/>
      <c r="N32" s="2118"/>
      <c r="O32" s="2125"/>
      <c r="P32" s="3406" t="s">
        <v>550</v>
      </c>
      <c r="Q32" s="3204" t="str">
        <f t="shared" si="11"/>
        <v>建筑类型</v>
      </c>
      <c r="R32" s="1558" t="s">
        <v>11</v>
      </c>
      <c r="S32" s="1559">
        <f t="shared" si="12"/>
        <v>110</v>
      </c>
      <c r="T32" s="1558" t="s">
        <v>11</v>
      </c>
      <c r="U32" s="1559">
        <f t="shared" si="13"/>
        <v>100</v>
      </c>
      <c r="V32" s="1558" t="s">
        <v>11</v>
      </c>
      <c r="W32" s="1559">
        <f t="shared" si="14"/>
        <v>90</v>
      </c>
      <c r="X32" s="3206"/>
      <c r="Y32" s="3407" t="s">
        <v>550</v>
      </c>
      <c r="Z32" s="3205" t="str">
        <f t="shared" si="15"/>
        <v>建筑类型</v>
      </c>
      <c r="AA32" s="3207">
        <f t="shared" si="3"/>
        <v>0.90909090909090906</v>
      </c>
      <c r="AB32" s="3207">
        <f t="shared" si="4"/>
        <v>1</v>
      </c>
      <c r="AC32" s="3207">
        <f t="shared" si="5"/>
        <v>1.1111111111111112</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07"/>
      <c r="Q33" s="1589" t="str">
        <f t="shared" si="11"/>
        <v>项目建筑规模</v>
      </c>
      <c r="R33" s="1562" t="s">
        <v>11</v>
      </c>
      <c r="S33" s="1563">
        <f t="shared" si="12"/>
        <v>100</v>
      </c>
      <c r="T33" s="1562" t="s">
        <v>11</v>
      </c>
      <c r="U33" s="1563">
        <f t="shared" si="13"/>
        <v>100</v>
      </c>
      <c r="V33" s="1562" t="s">
        <v>11</v>
      </c>
      <c r="W33" s="1563">
        <f t="shared" si="14"/>
        <v>100</v>
      </c>
      <c r="X33" s="1564"/>
      <c r="Y33" s="3407"/>
      <c r="Z33" s="1565" t="str">
        <f t="shared" si="15"/>
        <v>项目建筑规模</v>
      </c>
      <c r="AA33" s="3207">
        <f t="shared" si="3"/>
        <v>1</v>
      </c>
      <c r="AB33" s="3207">
        <f t="shared" si="4"/>
        <v>1</v>
      </c>
      <c r="AC33" s="3207">
        <f t="shared" si="5"/>
        <v>1</v>
      </c>
    </row>
    <row r="34" spans="1:29" ht="15">
      <c r="A34" s="592"/>
      <c r="B34" s="525" t="s">
        <v>727</v>
      </c>
      <c r="C34" s="879" t="s">
        <v>3235</v>
      </c>
      <c r="D34" s="538">
        <v>100</v>
      </c>
      <c r="E34" s="879" t="s">
        <v>3235</v>
      </c>
      <c r="F34" s="573">
        <f>SUMIF(105:105,E34,106:106)-SUMIF(105:105,C34,106:106)+100</f>
        <v>100</v>
      </c>
      <c r="G34" s="879" t="s">
        <v>3235</v>
      </c>
      <c r="H34" s="538">
        <f>SUMIF(105:105,G34,106:106)-SUMIF(105:105,C34,106:106)+100</f>
        <v>100</v>
      </c>
      <c r="I34" s="880" t="s">
        <v>3235</v>
      </c>
      <c r="J34" s="538">
        <f>SUMIF(105:105,I34,106:106)-SUMIF(105:105,C34,106:106)+100</f>
        <v>100</v>
      </c>
      <c r="K34" s="862">
        <v>2</v>
      </c>
      <c r="L34" s="2126"/>
      <c r="M34" s="2118"/>
      <c r="N34" s="2118"/>
      <c r="O34" s="2125"/>
      <c r="P34" s="3407"/>
      <c r="Q34" s="3204" t="str">
        <f t="shared" si="11"/>
        <v>建筑结构</v>
      </c>
      <c r="R34" s="1558" t="s">
        <v>11</v>
      </c>
      <c r="S34" s="1559">
        <f t="shared" si="12"/>
        <v>100</v>
      </c>
      <c r="T34" s="1558" t="s">
        <v>11</v>
      </c>
      <c r="U34" s="1559">
        <f t="shared" si="13"/>
        <v>100</v>
      </c>
      <c r="V34" s="1558" t="s">
        <v>11</v>
      </c>
      <c r="W34" s="1559">
        <f t="shared" si="14"/>
        <v>100</v>
      </c>
      <c r="X34" s="3206"/>
      <c r="Y34" s="3407"/>
      <c r="Z34" s="3205" t="str">
        <f t="shared" si="15"/>
        <v>建筑结构</v>
      </c>
      <c r="AA34" s="3207">
        <f t="shared" si="3"/>
        <v>1</v>
      </c>
      <c r="AB34" s="3207">
        <f t="shared" si="4"/>
        <v>1</v>
      </c>
      <c r="AC34" s="3207">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872" t="s">
        <v>3236</v>
      </c>
      <c r="J35" s="538">
        <f>SUMIF(107:107,I35,108:108)-SUMIF(107:107,C35,108:108)+100</f>
        <v>100</v>
      </c>
      <c r="K35" s="862">
        <v>2</v>
      </c>
      <c r="L35" s="2126"/>
      <c r="M35" s="2118"/>
      <c r="N35" s="2118"/>
      <c r="O35" s="2125"/>
      <c r="P35" s="3407"/>
      <c r="Q35" s="3204" t="str">
        <f t="shared" si="11"/>
        <v>建筑品质</v>
      </c>
      <c r="R35" s="1558" t="s">
        <v>11</v>
      </c>
      <c r="S35" s="1559">
        <f t="shared" si="12"/>
        <v>100</v>
      </c>
      <c r="T35" s="1558" t="s">
        <v>11</v>
      </c>
      <c r="U35" s="1559">
        <f t="shared" si="13"/>
        <v>100</v>
      </c>
      <c r="V35" s="1558" t="s">
        <v>11</v>
      </c>
      <c r="W35" s="1559">
        <f t="shared" si="14"/>
        <v>100</v>
      </c>
      <c r="X35" s="3206"/>
      <c r="Y35" s="3407"/>
      <c r="Z35" s="3205" t="str">
        <f t="shared" si="15"/>
        <v>建筑品质</v>
      </c>
      <c r="AA35" s="3207">
        <f t="shared" si="3"/>
        <v>1</v>
      </c>
      <c r="AB35" s="3207">
        <f t="shared" si="4"/>
        <v>1</v>
      </c>
      <c r="AC35" s="3207">
        <f t="shared" si="5"/>
        <v>1</v>
      </c>
    </row>
    <row r="36" spans="1:29" ht="15">
      <c r="A36" s="592"/>
      <c r="B36" s="525" t="s">
        <v>729</v>
      </c>
      <c r="C36" s="597" t="s">
        <v>3237</v>
      </c>
      <c r="D36" s="538">
        <v>100</v>
      </c>
      <c r="E36" s="597" t="s">
        <v>3237</v>
      </c>
      <c r="F36" s="573">
        <f>SUMIF(109:109,E36,110:110)-SUMIF(109:109,C36,110:110)+100</f>
        <v>100</v>
      </c>
      <c r="G36" s="597" t="s">
        <v>3237</v>
      </c>
      <c r="H36" s="538">
        <f>SUMIF(109:109,G36,110:110)-SUMIF(109:109,C36,110:110)+100</f>
        <v>100</v>
      </c>
      <c r="I36" s="872" t="s">
        <v>3237</v>
      </c>
      <c r="J36" s="538">
        <f>SUMIF(109:109,I36,110:110)-SUMIF(109:109,C36,110:110)+100</f>
        <v>100</v>
      </c>
      <c r="K36" s="862">
        <v>2</v>
      </c>
      <c r="L36" s="2126"/>
      <c r="M36" s="2118"/>
      <c r="N36" s="2118"/>
      <c r="O36" s="2125"/>
      <c r="P36" s="3407"/>
      <c r="Q36" s="3204" t="str">
        <f t="shared" si="11"/>
        <v>公共部分装修</v>
      </c>
      <c r="R36" s="1558" t="s">
        <v>11</v>
      </c>
      <c r="S36" s="1559">
        <f t="shared" si="12"/>
        <v>100</v>
      </c>
      <c r="T36" s="1558" t="s">
        <v>11</v>
      </c>
      <c r="U36" s="1559">
        <f t="shared" si="13"/>
        <v>100</v>
      </c>
      <c r="V36" s="1558" t="s">
        <v>11</v>
      </c>
      <c r="W36" s="1559">
        <f t="shared" si="14"/>
        <v>100</v>
      </c>
      <c r="X36" s="3206"/>
      <c r="Y36" s="3407"/>
      <c r="Z36" s="3205" t="str">
        <f t="shared" si="15"/>
        <v>公共部分装修</v>
      </c>
      <c r="AA36" s="3207">
        <f t="shared" si="3"/>
        <v>1</v>
      </c>
      <c r="AB36" s="3207">
        <f t="shared" si="4"/>
        <v>1</v>
      </c>
      <c r="AC36" s="3207">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3219">
        <v>1</v>
      </c>
      <c r="J37" s="253">
        <f>LOOKUP(I37,112:112,113:113)-LOOKUP(C37,112:112,113:113)+100</f>
        <v>100</v>
      </c>
      <c r="K37" s="862">
        <v>2</v>
      </c>
      <c r="L37" s="2119"/>
      <c r="M37" s="2120"/>
      <c r="N37" s="2120"/>
      <c r="O37" s="2121"/>
      <c r="P37" s="3407"/>
      <c r="Q37" s="3203" t="str">
        <f t="shared" si="11"/>
        <v>成新度</v>
      </c>
      <c r="R37" s="1553" t="s">
        <v>11</v>
      </c>
      <c r="S37" s="1554">
        <f t="shared" si="12"/>
        <v>100</v>
      </c>
      <c r="T37" s="1553" t="s">
        <v>11</v>
      </c>
      <c r="U37" s="1554">
        <f t="shared" si="13"/>
        <v>100</v>
      </c>
      <c r="V37" s="1553" t="s">
        <v>11</v>
      </c>
      <c r="W37" s="1554">
        <f t="shared" si="14"/>
        <v>100</v>
      </c>
      <c r="X37" s="1555"/>
      <c r="Y37" s="3407"/>
      <c r="Z37" s="3202" t="str">
        <f t="shared" si="15"/>
        <v>成新度</v>
      </c>
      <c r="AA37" s="1556">
        <f t="shared" si="3"/>
        <v>1</v>
      </c>
      <c r="AB37" s="1556">
        <f t="shared" si="4"/>
        <v>1</v>
      </c>
      <c r="AC37" s="1556">
        <f t="shared" si="5"/>
        <v>1</v>
      </c>
    </row>
    <row r="38" spans="1:29" ht="15">
      <c r="A38" s="592"/>
      <c r="B38" s="525" t="s">
        <v>731</v>
      </c>
      <c r="C38" s="597" t="s">
        <v>3238</v>
      </c>
      <c r="D38" s="538">
        <v>100</v>
      </c>
      <c r="E38" s="597" t="s">
        <v>3238</v>
      </c>
      <c r="F38" s="573">
        <f>SUMIF(114:114,E38,115:115)-SUMIF(114:114,C38,115:115)+100</f>
        <v>100</v>
      </c>
      <c r="G38" s="597" t="s">
        <v>3238</v>
      </c>
      <c r="H38" s="538">
        <f>SUMIF(114:114,G38,115:115)-SUMIF(114:114,C38,115:115)+100</f>
        <v>100</v>
      </c>
      <c r="I38" s="872" t="s">
        <v>3238</v>
      </c>
      <c r="J38" s="538">
        <f>SUMIF(114:114,I38,115:115)-SUMIF(114:114,C38,115:115)+100</f>
        <v>100</v>
      </c>
      <c r="K38" s="862">
        <v>2</v>
      </c>
      <c r="L38" s="2126"/>
      <c r="M38" s="2118"/>
      <c r="N38" s="2118"/>
      <c r="O38" s="2125"/>
      <c r="P38" s="3407" t="s">
        <v>550</v>
      </c>
      <c r="Q38" s="3204" t="str">
        <f t="shared" si="11"/>
        <v>物业管理</v>
      </c>
      <c r="R38" s="1558" t="s">
        <v>11</v>
      </c>
      <c r="S38" s="1559">
        <f t="shared" si="12"/>
        <v>100</v>
      </c>
      <c r="T38" s="1558" t="s">
        <v>11</v>
      </c>
      <c r="U38" s="1559">
        <f t="shared" si="13"/>
        <v>100</v>
      </c>
      <c r="V38" s="1558" t="s">
        <v>11</v>
      </c>
      <c r="W38" s="1559">
        <f t="shared" si="14"/>
        <v>100</v>
      </c>
      <c r="X38" s="3206"/>
      <c r="Y38" s="3407" t="s">
        <v>550</v>
      </c>
      <c r="Z38" s="3205" t="str">
        <f t="shared" si="15"/>
        <v>物业管理</v>
      </c>
      <c r="AA38" s="3207">
        <f t="shared" si="3"/>
        <v>1</v>
      </c>
      <c r="AB38" s="3207">
        <f t="shared" si="4"/>
        <v>1</v>
      </c>
      <c r="AC38" s="3207">
        <f t="shared" si="5"/>
        <v>1</v>
      </c>
    </row>
    <row r="39" spans="1:29" ht="15">
      <c r="A39" s="592"/>
      <c r="B39" s="1879" t="s">
        <v>2562</v>
      </c>
      <c r="C39" s="597" t="s">
        <v>3239</v>
      </c>
      <c r="D39" s="538">
        <v>100</v>
      </c>
      <c r="E39" s="597" t="s">
        <v>3239</v>
      </c>
      <c r="F39" s="573">
        <f>SUMIF(116:116,E39,117:117)-SUMIF(116:116,C39,117:117)+100</f>
        <v>100</v>
      </c>
      <c r="G39" s="597" t="s">
        <v>3239</v>
      </c>
      <c r="H39" s="538">
        <f>SUMIF(116:116,G39,117:117)-SUMIF(116:116,C39,117:117)+100</f>
        <v>100</v>
      </c>
      <c r="I39" s="872" t="s">
        <v>3239</v>
      </c>
      <c r="J39" s="538">
        <f>SUMIF(116:116,I39,117:117)-SUMIF(116:116,C39,117:117)+100</f>
        <v>100</v>
      </c>
      <c r="K39" s="862">
        <v>2</v>
      </c>
      <c r="L39" s="2126"/>
      <c r="M39" s="2118"/>
      <c r="N39" s="2118"/>
      <c r="O39" s="2125"/>
      <c r="P39" s="3407"/>
      <c r="Q39" s="3204" t="str">
        <f t="shared" si="11"/>
        <v>市政基础设施</v>
      </c>
      <c r="R39" s="1558" t="s">
        <v>11</v>
      </c>
      <c r="S39" s="1559">
        <f t="shared" si="12"/>
        <v>100</v>
      </c>
      <c r="T39" s="1558" t="s">
        <v>11</v>
      </c>
      <c r="U39" s="1559">
        <f t="shared" si="13"/>
        <v>100</v>
      </c>
      <c r="V39" s="1558" t="s">
        <v>11</v>
      </c>
      <c r="W39" s="1559">
        <f t="shared" si="14"/>
        <v>100</v>
      </c>
      <c r="X39" s="3206"/>
      <c r="Y39" s="3407"/>
      <c r="Z39" s="3205" t="str">
        <f t="shared" si="15"/>
        <v>市政基础设施</v>
      </c>
      <c r="AA39" s="3207">
        <f t="shared" si="3"/>
        <v>1</v>
      </c>
      <c r="AB39" s="3207">
        <f t="shared" si="4"/>
        <v>1</v>
      </c>
      <c r="AC39" s="3207">
        <f t="shared" si="5"/>
        <v>1</v>
      </c>
    </row>
    <row r="40" spans="1:29" ht="15">
      <c r="A40" s="592"/>
      <c r="B40" s="525" t="s">
        <v>732</v>
      </c>
      <c r="C40" s="597"/>
      <c r="D40" s="538">
        <v>100</v>
      </c>
      <c r="E40" s="597"/>
      <c r="F40" s="573">
        <f>SUMIF(118:118,E40,119:119)-SUMIF(118:118,C40,119:119)+100</f>
        <v>100</v>
      </c>
      <c r="G40" s="597"/>
      <c r="H40" s="538">
        <f>SUMIF(118:118,G40,119:119)-SUMIF(118:118,C40,119:119)+100</f>
        <v>100</v>
      </c>
      <c r="I40" s="872"/>
      <c r="J40" s="538">
        <f>SUMIF(118:118,I40,119:119)-SUMIF(118:118,C40,119:119)+100</f>
        <v>100</v>
      </c>
      <c r="K40" s="862">
        <v>2</v>
      </c>
      <c r="L40" s="2126"/>
      <c r="M40" s="2118"/>
      <c r="N40" s="2118"/>
      <c r="O40" s="2125"/>
      <c r="P40" s="3407"/>
      <c r="Q40" s="3204" t="str">
        <f t="shared" si="11"/>
        <v>房型</v>
      </c>
      <c r="R40" s="1558" t="s">
        <v>11</v>
      </c>
      <c r="S40" s="1559">
        <f t="shared" si="12"/>
        <v>100</v>
      </c>
      <c r="T40" s="1558" t="s">
        <v>11</v>
      </c>
      <c r="U40" s="1559">
        <f t="shared" si="13"/>
        <v>100</v>
      </c>
      <c r="V40" s="1558" t="s">
        <v>11</v>
      </c>
      <c r="W40" s="1559">
        <f t="shared" si="14"/>
        <v>100</v>
      </c>
      <c r="X40" s="3206"/>
      <c r="Y40" s="3407"/>
      <c r="Z40" s="3205" t="str">
        <f t="shared" si="15"/>
        <v>房型</v>
      </c>
      <c r="AA40" s="3207">
        <f t="shared" si="3"/>
        <v>1</v>
      </c>
      <c r="AB40" s="3207">
        <f t="shared" si="4"/>
        <v>1</v>
      </c>
      <c r="AC40" s="3207">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918"/>
      <c r="J41" s="538">
        <f>SUMIF(120:120,I41,121:121)-SUMIF(120:120,C41,121:121)+100</f>
        <v>100</v>
      </c>
      <c r="K41" s="863"/>
      <c r="L41" s="2124"/>
      <c r="M41" s="2155"/>
      <c r="N41" s="2155"/>
      <c r="O41" s="2127"/>
      <c r="P41" s="3407"/>
      <c r="Q41" s="1589" t="str">
        <f t="shared" si="11"/>
        <v>单套/主力户型建筑面积</v>
      </c>
      <c r="R41" s="1562" t="s">
        <v>11</v>
      </c>
      <c r="S41" s="1563">
        <f t="shared" si="12"/>
        <v>100</v>
      </c>
      <c r="T41" s="1562" t="s">
        <v>11</v>
      </c>
      <c r="U41" s="1563">
        <f t="shared" si="13"/>
        <v>100</v>
      </c>
      <c r="V41" s="1562" t="s">
        <v>11</v>
      </c>
      <c r="W41" s="1563">
        <f t="shared" si="14"/>
        <v>100</v>
      </c>
      <c r="X41" s="1564"/>
      <c r="Y41" s="3407"/>
      <c r="Z41" s="1565" t="str">
        <f t="shared" si="15"/>
        <v>单套/主力户型建筑面积</v>
      </c>
      <c r="AA41" s="3207">
        <f t="shared" si="3"/>
        <v>1</v>
      </c>
      <c r="AB41" s="3207">
        <f t="shared" si="4"/>
        <v>1</v>
      </c>
      <c r="AC41" s="3207">
        <f t="shared" si="5"/>
        <v>1</v>
      </c>
    </row>
    <row r="42" spans="1:29" ht="15">
      <c r="A42" s="592"/>
      <c r="B42" s="525" t="s">
        <v>734</v>
      </c>
      <c r="C42" s="597" t="s">
        <v>3241</v>
      </c>
      <c r="D42" s="538">
        <v>100</v>
      </c>
      <c r="E42" s="597" t="s">
        <v>3240</v>
      </c>
      <c r="F42" s="573">
        <f>SUMIF(122:122,E42,123:123)-SUMIF(122:122,C42,123:123)+100</f>
        <v>94</v>
      </c>
      <c r="G42" s="597" t="s">
        <v>3241</v>
      </c>
      <c r="H42" s="538">
        <f>SUMIF(122:122,G42,123:123)-SUMIF(122:122,C42,123:123)+100</f>
        <v>100</v>
      </c>
      <c r="I42" s="872" t="s">
        <v>3241</v>
      </c>
      <c r="J42" s="538">
        <f>SUMIF(122:122,I42,123:123)-SUMIF(122:122,C42,123:123)+100</f>
        <v>100</v>
      </c>
      <c r="K42" s="862">
        <v>3</v>
      </c>
      <c r="L42" s="2126"/>
      <c r="M42" s="2118"/>
      <c r="N42" s="2118"/>
      <c r="O42" s="2125"/>
      <c r="P42" s="3407"/>
      <c r="Q42" s="3204" t="str">
        <f t="shared" si="11"/>
        <v>内部装修</v>
      </c>
      <c r="R42" s="1558" t="s">
        <v>11</v>
      </c>
      <c r="S42" s="1559">
        <f t="shared" si="12"/>
        <v>94</v>
      </c>
      <c r="T42" s="1558" t="s">
        <v>11</v>
      </c>
      <c r="U42" s="1559">
        <f t="shared" si="13"/>
        <v>100</v>
      </c>
      <c r="V42" s="1558" t="s">
        <v>11</v>
      </c>
      <c r="W42" s="1559">
        <f t="shared" si="14"/>
        <v>100</v>
      </c>
      <c r="X42" s="3206"/>
      <c r="Y42" s="3407"/>
      <c r="Z42" s="3205" t="str">
        <f t="shared" si="15"/>
        <v>内部装修</v>
      </c>
      <c r="AA42" s="3207">
        <f t="shared" si="3"/>
        <v>1.0638297872340425</v>
      </c>
      <c r="AB42" s="3207">
        <f t="shared" si="4"/>
        <v>1</v>
      </c>
      <c r="AC42" s="3207">
        <f t="shared" si="5"/>
        <v>1</v>
      </c>
    </row>
    <row r="43" spans="1:29" ht="27.75" thickBot="1">
      <c r="A43" s="592"/>
      <c r="B43" s="525" t="s">
        <v>735</v>
      </c>
      <c r="C43" s="597" t="s">
        <v>3230</v>
      </c>
      <c r="D43" s="538">
        <v>100</v>
      </c>
      <c r="E43" s="597" t="s">
        <v>3230</v>
      </c>
      <c r="F43" s="573">
        <f>SUMIF(124:124,E43,125:125)-SUMIF(124:124,C43,125:125)+100</f>
        <v>100</v>
      </c>
      <c r="G43" s="597" t="s">
        <v>3230</v>
      </c>
      <c r="H43" s="538">
        <f>SUMIF(124:124,G43,125:125)-SUMIF(124:124,C43,125:125)+100</f>
        <v>100</v>
      </c>
      <c r="I43" s="872" t="s">
        <v>3230</v>
      </c>
      <c r="J43" s="538">
        <f>SUMIF(124:124,I43,125:125)-SUMIF(124:124,C43,125:125)+100</f>
        <v>100</v>
      </c>
      <c r="K43" s="862"/>
      <c r="L43" s="2126"/>
      <c r="M43" s="2118"/>
      <c r="N43" s="2118"/>
      <c r="O43" s="2125"/>
      <c r="P43" s="3407"/>
      <c r="Q43" s="3204" t="str">
        <f t="shared" si="11"/>
        <v>内部装修维护情况</v>
      </c>
      <c r="R43" s="1558" t="s">
        <v>11</v>
      </c>
      <c r="S43" s="1559">
        <f t="shared" si="12"/>
        <v>100</v>
      </c>
      <c r="T43" s="1558" t="s">
        <v>11</v>
      </c>
      <c r="U43" s="1559">
        <f t="shared" si="13"/>
        <v>100</v>
      </c>
      <c r="V43" s="1558" t="s">
        <v>11</v>
      </c>
      <c r="W43" s="1559">
        <f t="shared" si="14"/>
        <v>100</v>
      </c>
      <c r="X43" s="3206"/>
      <c r="Y43" s="3407"/>
      <c r="Z43" s="3205" t="str">
        <f t="shared" si="15"/>
        <v>内部装修维护情况</v>
      </c>
      <c r="AA43" s="3207">
        <f t="shared" si="3"/>
        <v>1</v>
      </c>
      <c r="AB43" s="3207">
        <f t="shared" si="4"/>
        <v>1</v>
      </c>
      <c r="AC43" s="3207">
        <f t="shared" si="5"/>
        <v>1</v>
      </c>
    </row>
    <row r="44" spans="1:29" s="1214" customFormat="1" ht="15.75" hidden="1" thickBot="1">
      <c r="A44" s="598"/>
      <c r="B44" s="875"/>
      <c r="C44" s="878"/>
      <c r="D44" s="253">
        <v>100</v>
      </c>
      <c r="E44" s="878"/>
      <c r="F44" s="861">
        <f>SUMIF(126:126,E44,127:127)-SUMIF(126:126,C44,127:127)+100</f>
        <v>100</v>
      </c>
      <c r="G44" s="878"/>
      <c r="H44" s="253">
        <f>SUMIF(126:126,G44,127:127)-SUMIF(126:126,C44,127:127)+100</f>
        <v>100</v>
      </c>
      <c r="I44" s="918"/>
      <c r="J44" s="253">
        <f>SUMIF(126:126,I44,127:127)-SUMIF(126:126,C44,127:127)+100</f>
        <v>100</v>
      </c>
      <c r="K44" s="863"/>
      <c r="L44" s="2119"/>
      <c r="M44" s="2120"/>
      <c r="N44" s="2120"/>
      <c r="O44" s="2121"/>
      <c r="P44" s="3407"/>
      <c r="Q44" s="3203">
        <f t="shared" si="11"/>
        <v>0</v>
      </c>
      <c r="R44" s="1553" t="s">
        <v>11</v>
      </c>
      <c r="S44" s="1554">
        <f t="shared" si="12"/>
        <v>100</v>
      </c>
      <c r="T44" s="1553" t="s">
        <v>11</v>
      </c>
      <c r="U44" s="1554">
        <f t="shared" si="13"/>
        <v>100</v>
      </c>
      <c r="V44" s="1553" t="s">
        <v>11</v>
      </c>
      <c r="W44" s="1554">
        <f t="shared" si="14"/>
        <v>100</v>
      </c>
      <c r="X44" s="1555"/>
      <c r="Y44" s="3407"/>
      <c r="Z44" s="3202">
        <f t="shared" si="15"/>
        <v>0</v>
      </c>
      <c r="AA44" s="1556">
        <f t="shared" si="3"/>
        <v>1</v>
      </c>
      <c r="AB44" s="1556">
        <f t="shared" si="4"/>
        <v>1</v>
      </c>
      <c r="AC44" s="1556">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910"/>
      <c r="J45" s="538">
        <f>SUMIF(128:128,I45,129:129)-SUMIF(128:128,C45,129:129)+100</f>
        <v>100</v>
      </c>
      <c r="K45" s="863"/>
      <c r="L45" s="2126"/>
      <c r="M45" s="2118"/>
      <c r="N45" s="2118"/>
      <c r="O45" s="2125"/>
      <c r="P45" s="3407"/>
      <c r="Q45" s="3204">
        <f t="shared" si="11"/>
        <v>0</v>
      </c>
      <c r="R45" s="1558" t="s">
        <v>11</v>
      </c>
      <c r="S45" s="1559">
        <f t="shared" si="12"/>
        <v>100</v>
      </c>
      <c r="T45" s="1558" t="s">
        <v>11</v>
      </c>
      <c r="U45" s="1559">
        <f t="shared" si="13"/>
        <v>100</v>
      </c>
      <c r="V45" s="1558" t="s">
        <v>11</v>
      </c>
      <c r="W45" s="1559">
        <f t="shared" si="14"/>
        <v>100</v>
      </c>
      <c r="X45" s="3206"/>
      <c r="Y45" s="3407"/>
      <c r="Z45" s="3205">
        <f t="shared" si="15"/>
        <v>0</v>
      </c>
      <c r="AA45" s="3207">
        <f t="shared" si="3"/>
        <v>1</v>
      </c>
      <c r="AB45" s="3207">
        <f t="shared" si="4"/>
        <v>1</v>
      </c>
      <c r="AC45" s="3207">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913"/>
      <c r="J46" s="544">
        <f>SUMIF(130:130,I46,131:131)-SUMIF(130:130,C46,131:131)+100</f>
        <v>100</v>
      </c>
      <c r="K46" s="863"/>
      <c r="L46" s="2126"/>
      <c r="M46" s="2118"/>
      <c r="N46" s="2118"/>
      <c r="O46" s="2125"/>
      <c r="P46" s="3516"/>
      <c r="Q46" s="3204">
        <f t="shared" si="11"/>
        <v>0</v>
      </c>
      <c r="R46" s="1558" t="s">
        <v>10</v>
      </c>
      <c r="S46" s="1559">
        <f t="shared" si="12"/>
        <v>100</v>
      </c>
      <c r="T46" s="1558" t="s">
        <v>10</v>
      </c>
      <c r="U46" s="1559">
        <f t="shared" si="13"/>
        <v>100</v>
      </c>
      <c r="V46" s="1558" t="s">
        <v>10</v>
      </c>
      <c r="W46" s="1559">
        <f t="shared" si="14"/>
        <v>100</v>
      </c>
      <c r="X46" s="3206"/>
      <c r="Y46" s="3516"/>
      <c r="Z46" s="3205">
        <f t="shared" si="15"/>
        <v>0</v>
      </c>
      <c r="AA46" s="3207">
        <f t="shared" si="3"/>
        <v>1</v>
      </c>
      <c r="AB46" s="3207">
        <f t="shared" si="4"/>
        <v>1</v>
      </c>
      <c r="AC46" s="3207">
        <f t="shared" si="5"/>
        <v>1</v>
      </c>
    </row>
    <row r="47" spans="1:29" ht="15">
      <c r="A47" s="605" t="s">
        <v>736</v>
      </c>
      <c r="B47" s="885"/>
      <c r="C47" s="2590" t="s">
        <v>9</v>
      </c>
      <c r="D47" s="2591"/>
      <c r="E47" s="2592">
        <f>ROUND(180/112*10000*$F$50,0)</f>
        <v>14464</v>
      </c>
      <c r="F47" s="2593"/>
      <c r="G47" s="2594">
        <f>ROUND(120/73*10000*$F$50,0)</f>
        <v>14795</v>
      </c>
      <c r="H47" s="2595"/>
      <c r="I47" s="2592">
        <f>ROUND(13000*$F$50,0)</f>
        <v>11700</v>
      </c>
      <c r="J47" s="2595"/>
      <c r="K47" s="1590"/>
      <c r="L47" s="2128"/>
      <c r="M47" s="2129"/>
      <c r="N47" s="2118"/>
      <c r="O47" s="2129"/>
      <c r="P47" s="3401" t="str">
        <f>A47</f>
        <v>成交单价（元/平方米）</v>
      </c>
      <c r="Q47" s="3401"/>
      <c r="R47" s="3515">
        <f>E47</f>
        <v>14464</v>
      </c>
      <c r="S47" s="3515"/>
      <c r="T47" s="3515">
        <f>G47</f>
        <v>14795</v>
      </c>
      <c r="U47" s="3515"/>
      <c r="V47" s="3515">
        <f>I47</f>
        <v>11700</v>
      </c>
      <c r="W47" s="3515"/>
      <c r="X47" s="1544"/>
      <c r="Y47" s="1566"/>
      <c r="Z47" s="1544"/>
      <c r="AA47" s="1544"/>
      <c r="AB47" s="1544"/>
      <c r="AC47" s="1544"/>
    </row>
    <row r="48" spans="1:29" ht="15.75" thickBot="1">
      <c r="A48" s="613" t="s">
        <v>2690</v>
      </c>
      <c r="B48" s="886"/>
      <c r="C48" s="2596">
        <f>R49</f>
        <v>13522</v>
      </c>
      <c r="D48" s="2597"/>
      <c r="E48" s="2598">
        <f>R48</f>
        <v>13581</v>
      </c>
      <c r="F48" s="2598"/>
      <c r="G48" s="2596">
        <f>T48</f>
        <v>14364</v>
      </c>
      <c r="H48" s="2597"/>
      <c r="I48" s="2598">
        <f>V48</f>
        <v>12621</v>
      </c>
      <c r="J48" s="2597"/>
      <c r="K48" s="1591"/>
      <c r="L48" s="2128"/>
      <c r="M48" s="2129"/>
      <c r="N48" s="2129"/>
      <c r="O48" s="2129"/>
      <c r="P48" s="3401" t="str">
        <f>A48</f>
        <v>比较价格（元/平方米）</v>
      </c>
      <c r="Q48" s="3401"/>
      <c r="R48" s="3515">
        <f>IF(F1="售价",ROUND(PRODUCT(R47,AA7:AA46),0),ROUND(PRODUCT(R47,AA7:AA46),1))</f>
        <v>13581</v>
      </c>
      <c r="S48" s="3515"/>
      <c r="T48" s="3515">
        <f>IF(F1="售价",ROUND(PRODUCT(T47,AB7:AB46),0),ROUND(PRODUCT(T47,AB7:AB46),1))</f>
        <v>14364</v>
      </c>
      <c r="U48" s="3515"/>
      <c r="V48" s="3515">
        <f>IF(F1="售价",ROUND(PRODUCT(V47,AC7:AC46),0),ROUND(PRODUCT(V47,AC7:AC46),1))</f>
        <v>12621</v>
      </c>
      <c r="W48" s="3515"/>
      <c r="X48" s="1544"/>
      <c r="Y48" s="1544"/>
      <c r="Z48" s="1544"/>
      <c r="AA48" s="1544"/>
      <c r="AB48" s="1544"/>
      <c r="AC48" s="1544"/>
    </row>
    <row r="49" spans="1:29" ht="15.75" thickBot="1">
      <c r="A49" s="619" t="s">
        <v>2930</v>
      </c>
      <c r="B49" s="620"/>
      <c r="C49" s="2599">
        <f>R49</f>
        <v>13522</v>
      </c>
      <c r="D49" s="2599"/>
      <c r="E49" s="2599"/>
      <c r="F49" s="2599"/>
      <c r="G49" s="2599"/>
      <c r="H49" s="2599"/>
      <c r="I49" s="2599"/>
      <c r="J49" s="2599"/>
      <c r="K49" s="1592"/>
      <c r="L49" s="2128"/>
      <c r="M49" s="2129"/>
      <c r="N49" s="2129"/>
      <c r="O49" s="2129"/>
      <c r="P49" s="3398" t="str">
        <f>A49</f>
        <v>估价对象XX用房的比较价格（楼面单价，元/平方米）</v>
      </c>
      <c r="Q49" s="3399"/>
      <c r="R49" s="3514">
        <f>IF(F1="售价",ROUND(AVERAGE(R48:V48),0),ROUND(AVERAGE(R48:V48),1))</f>
        <v>13522</v>
      </c>
      <c r="S49" s="3514"/>
      <c r="T49" s="3514"/>
      <c r="U49" s="3514"/>
      <c r="V49" s="3514"/>
      <c r="W49" s="3514"/>
      <c r="X49" s="1544"/>
      <c r="Y49" s="1544"/>
      <c r="Z49" s="1544"/>
      <c r="AA49" s="1544"/>
      <c r="AB49" s="1544"/>
      <c r="AC49" s="1544"/>
    </row>
    <row r="50" spans="1:29">
      <c r="A50" s="2129"/>
      <c r="B50" s="2129"/>
      <c r="C50" s="2129"/>
      <c r="D50" s="2129"/>
      <c r="E50" s="3195" t="s">
        <v>3234</v>
      </c>
      <c r="F50" s="2129">
        <v>0.9</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6.5017303585892083E-2</v>
      </c>
      <c r="F52" s="625" t="str">
        <f>IF(OR(E52&gt;=0.3,E52&lt;=-0.3),"超过30%","")</f>
        <v/>
      </c>
      <c r="G52" s="624">
        <f>IF(G47&lt;G48,G48/G47-1,G47/G48-1)</f>
        <v>3.0005569479253591E-2</v>
      </c>
      <c r="H52" s="625" t="str">
        <f>IF(OR(G52&gt;=0.3,G52&lt;=-0.3),"超过30%","")</f>
        <v/>
      </c>
      <c r="I52" s="624">
        <f>IF(I47&lt;I48,I48/I47-1,I47/I48-1)</f>
        <v>7.8717948717948794E-2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5.7654075546719641E-2</v>
      </c>
      <c r="F53" s="625" t="str">
        <f>IF(OR(E53&gt;=0.2,E53&lt;=-0.2),"超过20%","")</f>
        <v/>
      </c>
      <c r="G53" s="624">
        <f>IF(G48&lt;I48,I48/G48-1,G48/I48-1)</f>
        <v>0.13810316139767065</v>
      </c>
      <c r="H53" s="625" t="str">
        <f>IF(OR(G53&gt;=0.2,G53&lt;=-0.2),"超过20%","")</f>
        <v/>
      </c>
      <c r="I53" s="624">
        <f>IF(I48&lt;E48,E48/I48-1,I48/E48-1)</f>
        <v>7.6063703351556988E-2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2.2884402654867353E-2</v>
      </c>
      <c r="F54" s="625" t="str">
        <f>IF(OR(E54&gt;=0.3,E54&lt;=-0.3),"超过30%","")</f>
        <v/>
      </c>
      <c r="G54" s="624">
        <f>IF(G47&lt;I47,I47/G47-1,G47/I47-1)</f>
        <v>0.26452991452991448</v>
      </c>
      <c r="H54" s="625" t="str">
        <f>IF(OR(G54&gt;=0.3,G54&lt;=-0.3),"超过30%","")</f>
        <v/>
      </c>
      <c r="I54" s="624">
        <f>IF(I47&lt;E47,E47/I47-1,I47/E47-1)</f>
        <v>0.23623931623931615</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97</v>
      </c>
      <c r="E77" s="677">
        <f>D77-$K15</f>
        <v>94</v>
      </c>
      <c r="F77" s="677">
        <f>E77-$K15</f>
        <v>91</v>
      </c>
      <c r="G77" s="677">
        <f>F77-$K15</f>
        <v>88</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2315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97</v>
      </c>
      <c r="E81" s="677">
        <f>D81-$K19</f>
        <v>94</v>
      </c>
      <c r="F81" s="677">
        <f>E81-$K19</f>
        <v>91</v>
      </c>
      <c r="G81" s="677">
        <f>F81-$K19</f>
        <v>88</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2545</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98</v>
      </c>
      <c r="E83" s="677">
        <f>D83-$K21</f>
        <v>96</v>
      </c>
      <c r="F83" s="677">
        <f>E83-$K21</f>
        <v>94</v>
      </c>
      <c r="G83" s="677">
        <f>F83-$K21</f>
        <v>92</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95</v>
      </c>
      <c r="E85" s="677">
        <f>D85-$K23</f>
        <v>90</v>
      </c>
      <c r="F85" s="677">
        <f>E85-$K23</f>
        <v>85</v>
      </c>
      <c r="G85" s="677">
        <f>F85-$K23</f>
        <v>80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3003</v>
      </c>
      <c r="D100" s="3184" t="s">
        <v>3004</v>
      </c>
      <c r="E100" s="3184" t="s">
        <v>3005</v>
      </c>
      <c r="F100" s="3184" t="s">
        <v>3006</v>
      </c>
      <c r="G100" s="3184" t="s">
        <v>3007</v>
      </c>
      <c r="H100" s="3184" t="s">
        <v>3008</v>
      </c>
      <c r="I100" s="3184" t="s">
        <v>3009</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3010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3011</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3012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3013</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2554</v>
      </c>
      <c r="C116" s="3185" t="s">
        <v>2558</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3015</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3016</v>
      </c>
      <c r="D122" s="3185" t="s">
        <v>3017</v>
      </c>
      <c r="E122" s="3185" t="s">
        <v>3018</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3" t="s">
        <v>2036</v>
      </c>
      <c r="B1" s="3223"/>
      <c r="C1" s="3223"/>
      <c r="D1" s="3223"/>
      <c r="E1" s="3223"/>
      <c r="F1" s="3223"/>
      <c r="G1" s="3223"/>
      <c r="H1" s="3223"/>
      <c r="I1" s="3223"/>
      <c r="J1" s="3223"/>
      <c r="K1" s="3223"/>
      <c r="L1" s="3223"/>
      <c r="M1" s="3223"/>
      <c r="N1" s="3223"/>
      <c r="O1" s="3223"/>
      <c r="P1" s="3223"/>
      <c r="Q1" s="3223"/>
      <c r="R1" s="3223"/>
    </row>
    <row r="2" spans="1:18">
      <c r="A2" s="1791" t="s">
        <v>2038</v>
      </c>
      <c r="B2" s="1791"/>
      <c r="C2" s="1791"/>
      <c r="D2" s="1791"/>
      <c r="E2" s="1791"/>
      <c r="F2" s="1791"/>
      <c r="G2" s="1791"/>
      <c r="H2" s="1791"/>
      <c r="I2" s="1792"/>
      <c r="J2" s="1792"/>
      <c r="K2" s="1793" t="str">
        <f>"估价期日："&amp;TEXT(项目基本情况!D3,"yyyy年m月d日;;")</f>
        <v>估价期日：2019年4月16日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4" t="s">
        <v>2027</v>
      </c>
      <c r="B3" s="3224" t="s">
        <v>2728</v>
      </c>
      <c r="C3" s="3225" t="s">
        <v>2028</v>
      </c>
      <c r="D3" s="3224" t="s">
        <v>2732</v>
      </c>
      <c r="E3" s="3227" t="s">
        <v>2029</v>
      </c>
      <c r="F3" s="3227"/>
      <c r="G3" s="3227"/>
      <c r="H3" s="3227" t="s">
        <v>2030</v>
      </c>
      <c r="I3" s="3227"/>
      <c r="J3" s="3227"/>
      <c r="K3" s="3225" t="s">
        <v>2031</v>
      </c>
      <c r="L3" s="3225" t="s">
        <v>2032</v>
      </c>
      <c r="M3" s="3224" t="s">
        <v>2729</v>
      </c>
      <c r="N3" s="3226" t="str">
        <f>"（分摊）"&amp;项目基本情况!B16&amp;"国有建设用地使用权面积/㎡"</f>
        <v>（分摊）出让国有建设用地使用权面积/㎡</v>
      </c>
      <c r="O3" s="3224" t="s">
        <v>2061</v>
      </c>
      <c r="P3" s="3225" t="s">
        <v>2041</v>
      </c>
      <c r="Q3" s="3225" t="s">
        <v>2062</v>
      </c>
      <c r="R3" s="3225" t="s">
        <v>2033</v>
      </c>
    </row>
    <row r="4" spans="1:18" ht="36.75" customHeight="1">
      <c r="A4" s="3224"/>
      <c r="B4" s="3224"/>
      <c r="C4" s="3225"/>
      <c r="D4" s="3224"/>
      <c r="E4" s="2612" t="s">
        <v>2040</v>
      </c>
      <c r="F4" s="2612" t="s">
        <v>2741</v>
      </c>
      <c r="G4" s="2612" t="s">
        <v>2034</v>
      </c>
      <c r="H4" s="2612" t="s">
        <v>2035</v>
      </c>
      <c r="I4" s="2612" t="s">
        <v>2742</v>
      </c>
      <c r="J4" s="2612" t="s">
        <v>2034</v>
      </c>
      <c r="K4" s="3225"/>
      <c r="L4" s="3225"/>
      <c r="M4" s="3224"/>
      <c r="N4" s="3226"/>
      <c r="O4" s="3224"/>
      <c r="P4" s="3225"/>
      <c r="Q4" s="3225"/>
      <c r="R4" s="3225"/>
    </row>
    <row r="5" spans="1:18" ht="135" customHeight="1">
      <c r="A5" s="1927" t="s">
        <v>2652</v>
      </c>
      <c r="B5" s="2821" t="s">
        <v>2650</v>
      </c>
      <c r="C5" s="2611">
        <v>22</v>
      </c>
      <c r="D5" s="2610" t="s">
        <v>2651</v>
      </c>
      <c r="E5" s="1794" t="str">
        <f>项目基本情况!B12</f>
        <v>城镇住宅用地</v>
      </c>
      <c r="F5" s="2610">
        <v>258</v>
      </c>
      <c r="G5" s="1794" t="str">
        <f>项目基本情况!B13</f>
        <v>城镇住宅用地</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f>IF(项目基本情况!B16="出让",项目基本情况!D20,"——")</f>
        <v>0</v>
      </c>
      <c r="N5" s="1794">
        <f>项目基本情况!C22</f>
        <v>37003</v>
      </c>
      <c r="O5" s="1794">
        <f>项目基本情况!C21</f>
        <v>37003</v>
      </c>
      <c r="P5" s="1794">
        <f ca="1">结果表!E42</f>
        <v>1765</v>
      </c>
      <c r="Q5" s="1794">
        <f ca="1">结果表!D42</f>
        <v>1765</v>
      </c>
      <c r="R5" s="1795">
        <f ca="1">结果表!C42</f>
        <v>6532</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796">
        <f ca="1">结果表!O39</f>
        <v>6532</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796"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31" t="s">
        <v>2063</v>
      </c>
      <c r="B1" s="3231"/>
      <c r="C1" s="3231"/>
      <c r="D1" s="3231"/>
    </row>
    <row r="2" spans="1:4" ht="47.25" customHeight="1">
      <c r="A2" s="3235" t="str">
        <f>"1.权利限制："&amp;项目基本情况!L24&amp;"未设定租赁等其他他项权利。"</f>
        <v>1.权利限制：根据估价对象《不动产权证书》复印件，截至估价期日，估价对象抵押权未见登记。未设定租赁等其他他项权利。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2064</v>
      </c>
      <c r="B5" s="3234"/>
      <c r="C5" s="3234"/>
      <c r="D5" s="3234"/>
    </row>
    <row r="6" spans="1:4">
      <c r="A6" s="3231" t="s">
        <v>2042</v>
      </c>
      <c r="B6" s="3231"/>
      <c r="C6" s="3231"/>
      <c r="D6" s="3231"/>
    </row>
    <row r="7" spans="1:4" ht="33" customHeight="1">
      <c r="A7" s="3231" t="s">
        <v>2573</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4" t="s">
        <v>2066</v>
      </c>
      <c r="B12" s="3234"/>
      <c r="C12" s="3234"/>
      <c r="D12" s="3234"/>
    </row>
    <row r="13" spans="1:4">
      <c r="A13" s="3232" t="s">
        <v>2743</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2699</v>
      </c>
      <c r="B17" s="3231"/>
      <c r="C17" s="3231"/>
      <c r="D17" s="3231"/>
    </row>
    <row r="18" spans="1:4">
      <c r="A18" s="3231" t="s">
        <v>2691</v>
      </c>
      <c r="B18" s="3231"/>
      <c r="C18" s="3231"/>
      <c r="D18" s="3231"/>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31" t="s">
        <v>2696</v>
      </c>
      <c r="B23" s="3231"/>
      <c r="C23" s="3231"/>
      <c r="D23" s="3231"/>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43" t="s">
        <v>53</v>
      </c>
      <c r="B15" s="3244" t="s">
        <v>846</v>
      </c>
      <c r="C15" s="3240"/>
    </row>
    <row r="16" spans="1:7" ht="14.25">
      <c r="A16" s="3243"/>
      <c r="B16" s="3241" t="s">
        <v>54</v>
      </c>
      <c r="C16" s="1166" t="s">
        <v>53</v>
      </c>
    </row>
    <row r="17" spans="1:3" ht="14.25">
      <c r="A17" s="3243"/>
      <c r="B17" s="3241"/>
      <c r="C17" s="1166" t="s">
        <v>55</v>
      </c>
    </row>
    <row r="18" spans="1:3" ht="14.25">
      <c r="A18" s="3243"/>
      <c r="B18" s="3241"/>
      <c r="C18" s="1166" t="s">
        <v>56</v>
      </c>
    </row>
    <row r="19" spans="1:3" ht="14.25">
      <c r="A19" s="3243"/>
      <c r="B19" s="3239" t="s">
        <v>57</v>
      </c>
      <c r="C19" s="3240"/>
    </row>
    <row r="20" spans="1:3" ht="14.25">
      <c r="A20" s="1167" t="s">
        <v>58</v>
      </c>
      <c r="B20" s="1168"/>
      <c r="C20" s="1169"/>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0" t="s">
        <v>837</v>
      </c>
    </row>
    <row r="25" spans="1:3" ht="14.25">
      <c r="A25" s="3242"/>
      <c r="B25" s="3246"/>
      <c r="C25" s="1170" t="s">
        <v>838</v>
      </c>
    </row>
    <row r="26" spans="1:3" ht="14.25">
      <c r="A26" s="3242"/>
      <c r="B26" s="3246"/>
      <c r="C26" s="1170" t="s">
        <v>839</v>
      </c>
    </row>
    <row r="27" spans="1:3" ht="14.25">
      <c r="A27" s="3242"/>
      <c r="B27" s="3246"/>
      <c r="C27" s="1170" t="s">
        <v>840</v>
      </c>
    </row>
    <row r="28" spans="1:3" ht="14.25">
      <c r="A28" s="3242"/>
      <c r="B28" s="3246"/>
      <c r="C28" s="1170" t="s">
        <v>841</v>
      </c>
    </row>
    <row r="29" spans="1:3" ht="14.25">
      <c r="A29" s="3242"/>
      <c r="B29" s="3246"/>
      <c r="C29" s="1170" t="s">
        <v>842</v>
      </c>
    </row>
    <row r="30" spans="1:3" ht="14.25">
      <c r="A30" s="3242"/>
      <c r="B30" s="3246"/>
      <c r="C30" s="1170" t="s">
        <v>843</v>
      </c>
    </row>
    <row r="31" spans="1:3" ht="14.25">
      <c r="A31" s="3242"/>
      <c r="B31" s="3246"/>
      <c r="C31" s="1170" t="s">
        <v>844</v>
      </c>
    </row>
    <row r="32" spans="1:3" ht="14.25">
      <c r="A32" s="3242"/>
      <c r="B32" s="3246"/>
      <c r="C32" s="1170" t="s">
        <v>1646</v>
      </c>
    </row>
    <row r="33" spans="1:3" ht="14.25">
      <c r="A33" s="3242"/>
      <c r="B33" s="3236" t="s">
        <v>1652</v>
      </c>
      <c r="C33" s="1170" t="s">
        <v>1647</v>
      </c>
    </row>
    <row r="34" spans="1:3" ht="14.25">
      <c r="A34" s="3242"/>
      <c r="B34" s="3237"/>
      <c r="C34" s="1175" t="s">
        <v>1648</v>
      </c>
    </row>
    <row r="35" spans="1:3" ht="14.25">
      <c r="A35" s="3242"/>
      <c r="B35" s="3237"/>
      <c r="C35" s="1176" t="s">
        <v>1649</v>
      </c>
    </row>
    <row r="36" spans="1:3" ht="14.25">
      <c r="A36" s="3242"/>
      <c r="B36" s="3237"/>
      <c r="C36" s="1176" t="s">
        <v>1650</v>
      </c>
    </row>
    <row r="37" spans="1:3" ht="14.25">
      <c r="A37" s="3242"/>
      <c r="B37" s="3238"/>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875" style="3129" customWidth="1"/>
    <col min="2" max="5" width="22.625" style="3129"/>
    <col min="6" max="6" width="25.625" style="3129" customWidth="1"/>
    <col min="7" max="16384" width="22.625" style="3129"/>
  </cols>
  <sheetData>
    <row r="2" spans="1:6" ht="20.25" customHeight="1">
      <c r="A2" s="3126" t="s">
        <v>1907</v>
      </c>
      <c r="B2" s="3127">
        <f ca="1">TODAY()</f>
        <v>43579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f ca="1">IF(C11&lt;B2,"已过期",1120100036)</f>
        <v>1120100036</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2572</v>
      </c>
      <c r="B15" s="3131">
        <f ca="1">IF(C15&lt;B2,"已过期",1120070085)</f>
        <v>1120070085</v>
      </c>
      <c r="C15" s="3135">
        <v>43814</v>
      </c>
      <c r="D15" s="3131" t="s">
        <v>2978</v>
      </c>
      <c r="E15" s="3131">
        <f ca="1">IF(F15&lt;B2,"已过期",2004110128)</f>
        <v>2004110128</v>
      </c>
      <c r="F15" s="3137">
        <v>47118</v>
      </c>
    </row>
    <row r="16" spans="1:6" ht="20.25" customHeight="1">
      <c r="A16" s="3131" t="s">
        <v>1923</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47" t="s">
        <v>1926</v>
      </c>
      <c r="B25" s="3247"/>
      <c r="C25" s="3247"/>
      <c r="D25" s="3247"/>
      <c r="E25" s="3247"/>
      <c r="F25" s="3247"/>
      <c r="G25" s="3247"/>
    </row>
    <row r="26" spans="1:7" ht="20.25" customHeight="1">
      <c r="A26" s="3248" t="s">
        <v>1927</v>
      </c>
      <c r="B26" s="3248"/>
      <c r="C26" s="3248"/>
      <c r="D26" s="3248" t="s">
        <v>1928</v>
      </c>
      <c r="E26" s="3248"/>
      <c r="F26" s="324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2938</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2950</v>
      </c>
      <c r="C18" s="1539"/>
    </row>
    <row r="19" spans="1:3">
      <c r="A19" s="8" t="s">
        <v>120</v>
      </c>
      <c r="B19" s="3063" t="s">
        <v>2958</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9"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c r="D53" s="1751"/>
      <c r="E53" s="1751"/>
    </row>
    <row r="54" spans="1:5">
      <c r="A54" s="3249"/>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9"/>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9"/>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9"/>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vt:lpstr>
      <vt:lpstr>数据-汇总表</vt:lpstr>
      <vt:lpstr>数据-取费表</vt:lpstr>
      <vt:lpstr>估价对象房地状况</vt:lpstr>
      <vt:lpstr>系统读取表</vt:lpstr>
      <vt:lpstr>典型户型修正</vt:lpstr>
      <vt:lpstr>结果表</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比较法-住宅、综合</vt:lpstr>
      <vt:lpstr>土地案例（住宅）</vt:lpstr>
      <vt:lpstr>案例位置</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不动产比较法-住宅 (2)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2019-04-24T07:51:17Z</dcterms:modified>
</cp:coreProperties>
</file>