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523华澳信托-丹阳\询价函及测算\"/>
    </mc:Choice>
  </mc:AlternateContent>
  <bookViews>
    <workbookView xWindow="480" yWindow="216"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年期修正表" sheetId="71" r:id="rId15"/>
    <sheet name="估价对象房地状况" sheetId="20" r:id="rId16"/>
    <sheet name="系统读取表" sheetId="66" r:id="rId17"/>
    <sheet name="土地案例" sheetId="68" state="hidden"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新" sheetId="69" r:id="rId43"/>
    <sheet name="Sheet2" sheetId="70" r:id="rId44"/>
  </sheets>
  <externalReferences>
    <externalReference r:id="rId45"/>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土地案例!$A$1:$AR$51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39" l="1"/>
  <c r="I9" i="39"/>
  <c r="I40" i="39"/>
  <c r="I48" i="39"/>
  <c r="F10" i="71"/>
  <c r="H12" i="71"/>
  <c r="J12" i="71"/>
  <c r="L12" i="71"/>
  <c r="B12" i="71"/>
  <c r="B15" i="71" s="1"/>
  <c r="C5" i="71"/>
  <c r="C4" i="71"/>
  <c r="D10" i="71"/>
  <c r="B3" i="71"/>
  <c r="C3" i="71" s="1"/>
  <c r="D3" i="71" s="1"/>
  <c r="C13" i="71" l="1"/>
  <c r="D9" i="71"/>
  <c r="F9" i="71" s="1"/>
  <c r="D4" i="71"/>
  <c r="D5" i="71"/>
  <c r="G7" i="39"/>
  <c r="E7" i="39"/>
  <c r="C16" i="71" l="1"/>
  <c r="B16" i="71"/>
  <c r="B13" i="71"/>
  <c r="G48" i="39"/>
  <c r="E48" i="39"/>
  <c r="I13" i="3" l="1"/>
  <c r="C15" i="66"/>
  <c r="B15" i="66"/>
  <c r="G9" i="39"/>
  <c r="E9" i="39"/>
  <c r="G40" i="39"/>
  <c r="E40" i="39"/>
  <c r="L7" i="1" l="1"/>
  <c r="C19" i="6"/>
  <c r="A6" i="1"/>
  <c r="A7" i="1"/>
  <c r="E20" i="6"/>
  <c r="K7" i="1"/>
  <c r="D3" i="4"/>
  <c r="C1" i="65"/>
  <c r="N1" i="65" s="1"/>
  <c r="B43" i="1"/>
  <c r="B41" i="1" s="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F5" i="3" s="1"/>
  <c r="BG273" i="3"/>
  <c r="BH273" i="3"/>
  <c r="BI273" i="3"/>
  <c r="BJ273" i="3"/>
  <c r="BJ5" i="3" s="1"/>
  <c r="BK273" i="3"/>
  <c r="BA273" i="3"/>
  <c r="BM273" i="3"/>
  <c r="BN273" i="3"/>
  <c r="BO273" i="3"/>
  <c r="BP273" i="3"/>
  <c r="BQ273" i="3"/>
  <c r="BR273" i="3"/>
  <c r="BS273" i="3"/>
  <c r="BT273" i="3"/>
  <c r="BT5" i="3" s="1"/>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Q5" i="3" s="1"/>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F19" i="6"/>
  <c r="E19" i="6" s="1"/>
  <c r="D3" i="21" s="1"/>
  <c r="E21" i="6"/>
  <c r="E22" i="6"/>
  <c r="E23" i="6"/>
  <c r="E24" i="6"/>
  <c r="E25" i="6"/>
  <c r="E26" i="6"/>
  <c r="L20" i="6"/>
  <c r="R7" i="1"/>
  <c r="B52" i="1"/>
  <c r="F34" i="15"/>
  <c r="M7" i="1"/>
  <c r="O7" i="1" s="1"/>
  <c r="P7" i="1" s="1"/>
  <c r="S7" i="1"/>
  <c r="A8" i="1"/>
  <c r="A9" i="1"/>
  <c r="A10" i="1"/>
  <c r="S10" i="1" s="1"/>
  <c r="A11" i="1"/>
  <c r="A12" i="1"/>
  <c r="S12" i="1" s="1"/>
  <c r="A13" i="1"/>
  <c r="T4" i="1"/>
  <c r="F15" i="15"/>
  <c r="F17" i="15"/>
  <c r="F18" i="15"/>
  <c r="F20" i="15"/>
  <c r="H1" i="65"/>
  <c r="B22" i="1"/>
  <c r="C2" i="65" s="1"/>
  <c r="I1" i="65" s="1"/>
  <c r="F23" i="15"/>
  <c r="F21" i="15"/>
  <c r="F28" i="15"/>
  <c r="B2" i="1"/>
  <c r="C42" i="1" s="1"/>
  <c r="C28" i="15"/>
  <c r="E19" i="4"/>
  <c r="F7" i="1"/>
  <c r="M47" i="15"/>
  <c r="J50" i="15"/>
  <c r="J51" i="15" s="1"/>
  <c r="L46" i="15"/>
  <c r="BB10" i="3"/>
  <c r="BC10" i="3"/>
  <c r="BD10" i="3"/>
  <c r="BE10" i="3"/>
  <c r="BF10" i="3"/>
  <c r="BG10" i="3"/>
  <c r="BH10" i="3"/>
  <c r="BI10" i="3"/>
  <c r="BJ10" i="3"/>
  <c r="BK10" i="3"/>
  <c r="BD5" i="3"/>
  <c r="BH5" i="3"/>
  <c r="BM5" i="3"/>
  <c r="BN5" i="3"/>
  <c r="D69" i="21"/>
  <c r="E69" i="21" s="1"/>
  <c r="F69" i="21" s="1"/>
  <c r="G69" i="21" s="1"/>
  <c r="H69" i="21" s="1"/>
  <c r="I69" i="21" s="1"/>
  <c r="J69" i="21" s="1"/>
  <c r="K69" i="21" s="1"/>
  <c r="L69" i="21" s="1"/>
  <c r="M69" i="21" s="1"/>
  <c r="D104" i="21"/>
  <c r="E104" i="21"/>
  <c r="F104" i="21" s="1"/>
  <c r="R47" i="21"/>
  <c r="C7" i="21"/>
  <c r="C58" i="21" s="1"/>
  <c r="F8" i="21"/>
  <c r="AA8" i="21" s="1"/>
  <c r="C63" i="21"/>
  <c r="F10" i="21"/>
  <c r="AA10" i="21"/>
  <c r="B70" i="21"/>
  <c r="F12" i="21"/>
  <c r="AA12" i="21" s="1"/>
  <c r="B72" i="21"/>
  <c r="B74" i="21"/>
  <c r="F14" i="21"/>
  <c r="AA14" i="21" s="1"/>
  <c r="D77" i="21"/>
  <c r="E77" i="21" s="1"/>
  <c r="D79" i="21"/>
  <c r="E79" i="21"/>
  <c r="D81" i="21"/>
  <c r="E81" i="21"/>
  <c r="D83" i="21"/>
  <c r="F21" i="21"/>
  <c r="AA21" i="21" s="1"/>
  <c r="D85" i="21"/>
  <c r="F25" i="21"/>
  <c r="AA25" i="21" s="1"/>
  <c r="F26" i="21"/>
  <c r="AA26" i="21" s="1"/>
  <c r="B90" i="21"/>
  <c r="B92" i="21"/>
  <c r="F28" i="21"/>
  <c r="AA28" i="21" s="1"/>
  <c r="B94" i="21"/>
  <c r="B96" i="21"/>
  <c r="F30" i="21"/>
  <c r="AA30" i="21" s="1"/>
  <c r="B98" i="21"/>
  <c r="F32" i="21"/>
  <c r="AA32" i="21"/>
  <c r="F34" i="21"/>
  <c r="AA34" i="21"/>
  <c r="D108" i="21"/>
  <c r="F35" i="21"/>
  <c r="AA35" i="21" s="1"/>
  <c r="F36" i="21"/>
  <c r="AA36" i="21" s="1"/>
  <c r="D113" i="21"/>
  <c r="E113" i="21" s="1"/>
  <c r="F113" i="21"/>
  <c r="G113" i="21" s="1"/>
  <c r="J37" i="21" s="1"/>
  <c r="D115" i="21"/>
  <c r="F39" i="21"/>
  <c r="AA39" i="21"/>
  <c r="F40" i="21"/>
  <c r="AA40" i="21"/>
  <c r="F41" i="21"/>
  <c r="AA41" i="21"/>
  <c r="D123" i="21"/>
  <c r="E123" i="21"/>
  <c r="F123" i="21" s="1"/>
  <c r="J42" i="21" s="1"/>
  <c r="F42" i="21"/>
  <c r="AA42" i="21" s="1"/>
  <c r="F43" i="21"/>
  <c r="AA43" i="21" s="1"/>
  <c r="B126" i="21"/>
  <c r="B128" i="21"/>
  <c r="F45" i="21"/>
  <c r="AA45" i="21" s="1"/>
  <c r="B130" i="21"/>
  <c r="G104" i="21"/>
  <c r="T47" i="21"/>
  <c r="H8" i="21"/>
  <c r="AB8" i="21" s="1"/>
  <c r="H9" i="21"/>
  <c r="AB9" i="21" s="1"/>
  <c r="H10" i="21"/>
  <c r="AB10" i="21" s="1"/>
  <c r="H12" i="21"/>
  <c r="AB12" i="21" s="1"/>
  <c r="H13" i="21"/>
  <c r="AB13" i="21" s="1"/>
  <c r="H14" i="21"/>
  <c r="AB14" i="21" s="1"/>
  <c r="H17" i="21"/>
  <c r="AB17" i="21" s="1"/>
  <c r="H19" i="21"/>
  <c r="AB19" i="21" s="1"/>
  <c r="H21" i="21"/>
  <c r="AB21" i="21" s="1"/>
  <c r="H25" i="21"/>
  <c r="AB25" i="21" s="1"/>
  <c r="H26" i="21"/>
  <c r="AB26" i="21" s="1"/>
  <c r="H28" i="21"/>
  <c r="AB28" i="21" s="1"/>
  <c r="H30" i="21"/>
  <c r="AB30" i="21" s="1"/>
  <c r="H32" i="21"/>
  <c r="AB32" i="21" s="1"/>
  <c r="H34" i="21"/>
  <c r="AB34" i="21" s="1"/>
  <c r="H35" i="21"/>
  <c r="AB35" i="21" s="1"/>
  <c r="H36" i="21"/>
  <c r="AB36" i="21" s="1"/>
  <c r="H37" i="21"/>
  <c r="AB37" i="21" s="1"/>
  <c r="H39" i="21"/>
  <c r="AB39" i="21" s="1"/>
  <c r="H40" i="21"/>
  <c r="AB40" i="21" s="1"/>
  <c r="H41" i="21"/>
  <c r="AB41" i="21" s="1"/>
  <c r="H42" i="21"/>
  <c r="AB42" i="21" s="1"/>
  <c r="H43" i="21"/>
  <c r="AB43" i="21" s="1"/>
  <c r="H45" i="21"/>
  <c r="AB45" i="21" s="1"/>
  <c r="V47" i="21"/>
  <c r="J8" i="21"/>
  <c r="AC8" i="21"/>
  <c r="J10" i="21"/>
  <c r="AC10" i="21"/>
  <c r="J12" i="21"/>
  <c r="AC12" i="21"/>
  <c r="J14" i="21"/>
  <c r="AC14" i="21"/>
  <c r="J21" i="21"/>
  <c r="AC21" i="21"/>
  <c r="J25" i="21"/>
  <c r="AC25" i="21"/>
  <c r="J26" i="21"/>
  <c r="AC26" i="21"/>
  <c r="J28" i="21"/>
  <c r="AC28" i="21"/>
  <c r="J30" i="21"/>
  <c r="AC30" i="21"/>
  <c r="J32" i="21"/>
  <c r="AC32" i="21"/>
  <c r="J34" i="21"/>
  <c r="AC34" i="21"/>
  <c r="J35" i="21"/>
  <c r="AC35" i="21"/>
  <c r="J36" i="21"/>
  <c r="AC36" i="21"/>
  <c r="AC37" i="21"/>
  <c r="J39" i="21"/>
  <c r="AC39" i="21"/>
  <c r="J40" i="21"/>
  <c r="AC40" i="21"/>
  <c r="J41" i="21"/>
  <c r="AC41" i="21"/>
  <c r="AC42" i="21"/>
  <c r="J43" i="21"/>
  <c r="AC43" i="21"/>
  <c r="J45" i="21"/>
  <c r="AC45" i="21"/>
  <c r="K6" i="1"/>
  <c r="K8" i="1"/>
  <c r="M8" i="1" s="1"/>
  <c r="O8" i="1" s="1"/>
  <c r="K12" i="1"/>
  <c r="M12" i="1" s="1"/>
  <c r="O12"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E21" i="12"/>
  <c r="E22" i="12"/>
  <c r="F23" i="12"/>
  <c r="F24" i="12"/>
  <c r="B24" i="1"/>
  <c r="F29" i="12"/>
  <c r="F25" i="12"/>
  <c r="C25" i="12"/>
  <c r="D73" i="39"/>
  <c r="E73" i="39"/>
  <c r="F73" i="39" s="1"/>
  <c r="G73" i="39" s="1"/>
  <c r="H73" i="39" s="1"/>
  <c r="I73" i="39" s="1"/>
  <c r="J73" i="39" s="1"/>
  <c r="K73" i="39" s="1"/>
  <c r="L73" i="39" s="1"/>
  <c r="M73" i="39" s="1"/>
  <c r="N73" i="39" s="1"/>
  <c r="D19" i="4"/>
  <c r="C12" i="39" s="1"/>
  <c r="H104" i="21"/>
  <c r="C9" i="12"/>
  <c r="D9" i="12"/>
  <c r="C17" i="9"/>
  <c r="D17" i="9"/>
  <c r="C18" i="9" s="1"/>
  <c r="D18" i="9" s="1"/>
  <c r="M44" i="9" s="1"/>
  <c r="C106" i="9"/>
  <c r="C40" i="39"/>
  <c r="AH5" i="59"/>
  <c r="AG5" i="59"/>
  <c r="AE5" i="59"/>
  <c r="AF5" i="59" s="1"/>
  <c r="AD5" i="59"/>
  <c r="Q6" i="59"/>
  <c r="Q5" i="59"/>
  <c r="Q7" i="59"/>
  <c r="Q8" i="59"/>
  <c r="AB6" i="59" s="1"/>
  <c r="Q9" i="59"/>
  <c r="Q10" i="59"/>
  <c r="F10" i="59" s="1"/>
  <c r="F9" i="59" s="1"/>
  <c r="Q11" i="59"/>
  <c r="Q12" i="59"/>
  <c r="F13" i="59" s="1"/>
  <c r="Q13" i="59"/>
  <c r="Q14" i="59"/>
  <c r="AB13" i="59" s="1"/>
  <c r="Q15" i="59"/>
  <c r="Q16" i="59"/>
  <c r="F17" i="59" s="1"/>
  <c r="Q17" i="59"/>
  <c r="Q18" i="59"/>
  <c r="AB17" i="59" s="1"/>
  <c r="Q19" i="59"/>
  <c r="Q20" i="59"/>
  <c r="AB19" i="59" s="1"/>
  <c r="Q21" i="59"/>
  <c r="Q22" i="59"/>
  <c r="AB21" i="59" s="1"/>
  <c r="P6" i="59"/>
  <c r="P5" i="59"/>
  <c r="P7" i="59"/>
  <c r="E7" i="59" s="1"/>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N6" i="59"/>
  <c r="N5" i="59"/>
  <c r="N7" i="59"/>
  <c r="N8" i="59"/>
  <c r="X6" i="59" s="1"/>
  <c r="N9" i="59"/>
  <c r="N10" i="59"/>
  <c r="B10" i="59" s="1"/>
  <c r="B9" i="59" s="1"/>
  <c r="N11" i="59"/>
  <c r="N12" i="59"/>
  <c r="B13" i="59" s="1"/>
  <c r="N13" i="59"/>
  <c r="N14" i="59"/>
  <c r="X13" i="59" s="1"/>
  <c r="N15" i="59"/>
  <c r="N16" i="59"/>
  <c r="B17" i="59" s="1"/>
  <c r="N17" i="59"/>
  <c r="N18" i="59"/>
  <c r="X17" i="59" s="1"/>
  <c r="N19" i="59"/>
  <c r="N20" i="59"/>
  <c r="X19" i="59" s="1"/>
  <c r="N21" i="59"/>
  <c r="N22" i="59"/>
  <c r="X22" i="59" s="1"/>
  <c r="F7" i="59"/>
  <c r="F6" i="59" s="1"/>
  <c r="F5" i="59"/>
  <c r="E6" i="59"/>
  <c r="E5" i="59" s="1"/>
  <c r="C7" i="59"/>
  <c r="B7" i="59"/>
  <c r="B6" i="59" s="1"/>
  <c r="B5" i="59" s="1"/>
  <c r="G19" i="46"/>
  <c r="D8" i="59"/>
  <c r="B11" i="59"/>
  <c r="C11" i="59"/>
  <c r="E11" i="59"/>
  <c r="E10" i="59" s="1"/>
  <c r="E9" i="59" s="1"/>
  <c r="F11" i="59"/>
  <c r="D12" i="59"/>
  <c r="C13" i="59"/>
  <c r="E13" i="59"/>
  <c r="E14" i="59" s="1"/>
  <c r="B14" i="59"/>
  <c r="B15" i="59" s="1"/>
  <c r="S15" i="59" s="1"/>
  <c r="F14" i="59"/>
  <c r="F15" i="59" s="1"/>
  <c r="E15" i="59"/>
  <c r="D16" i="59"/>
  <c r="C17" i="59"/>
  <c r="E17" i="59"/>
  <c r="E18" i="59" s="1"/>
  <c r="B18" i="59"/>
  <c r="B19" i="59" s="1"/>
  <c r="S19" i="59" s="1"/>
  <c r="F18" i="59"/>
  <c r="E19" i="59"/>
  <c r="F19" i="59"/>
  <c r="V19" i="59" s="1"/>
  <c r="D20" i="59"/>
  <c r="B21" i="59"/>
  <c r="B22" i="59" s="1"/>
  <c r="B23" i="59" s="1"/>
  <c r="S23" i="59" s="1"/>
  <c r="C21" i="59"/>
  <c r="D21" i="59"/>
  <c r="E21" i="59"/>
  <c r="F21" i="59"/>
  <c r="F22" i="59" s="1"/>
  <c r="F23" i="59" s="1"/>
  <c r="V23" i="59" s="1"/>
  <c r="C22" i="59"/>
  <c r="D22" i="59" s="1"/>
  <c r="E22" i="59"/>
  <c r="E23" i="59" s="1"/>
  <c r="U23" i="59" s="1"/>
  <c r="M19" i="46"/>
  <c r="G2" i="46"/>
  <c r="C6" i="46" s="1"/>
  <c r="G17" i="46"/>
  <c r="I17" i="46"/>
  <c r="C17" i="46"/>
  <c r="G20" i="46"/>
  <c r="J20" i="46"/>
  <c r="I20" i="46"/>
  <c r="C20" i="46"/>
  <c r="C24" i="46"/>
  <c r="F39" i="46"/>
  <c r="F37" i="46"/>
  <c r="D5" i="46"/>
  <c r="F36" i="46"/>
  <c r="F34" i="46"/>
  <c r="F6" i="1"/>
  <c r="G19" i="4"/>
  <c r="F8" i="1"/>
  <c r="G1" i="44"/>
  <c r="M48" i="44"/>
  <c r="J51" i="44"/>
  <c r="J52" i="44" s="1"/>
  <c r="C18" i="46"/>
  <c r="C10" i="46"/>
  <c r="C11" i="46" s="1"/>
  <c r="E15"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H81" i="46" s="1"/>
  <c r="F99" i="46"/>
  <c r="F100" i="46"/>
  <c r="F108" i="46"/>
  <c r="F113" i="46"/>
  <c r="H33" i="46"/>
  <c r="D1" i="46"/>
  <c r="C9" i="46"/>
  <c r="C15" i="46"/>
  <c r="D15" i="46"/>
  <c r="C12" i="46" s="1"/>
  <c r="C99" i="46"/>
  <c r="C100" i="46" s="1"/>
  <c r="C108" i="46"/>
  <c r="D99" i="46"/>
  <c r="D100" i="46"/>
  <c r="D108" i="46"/>
  <c r="H113" i="46"/>
  <c r="AH6" i="59"/>
  <c r="AG6" i="59"/>
  <c r="AE6" i="59"/>
  <c r="AF6" i="59"/>
  <c r="AD6" i="59"/>
  <c r="I3" i="59"/>
  <c r="AD3" i="59" s="1"/>
  <c r="L3" i="59"/>
  <c r="K3" i="59"/>
  <c r="J3" i="59"/>
  <c r="AE7" i="59"/>
  <c r="AF7" i="59" s="1"/>
  <c r="AG7" i="59"/>
  <c r="AH7" i="59"/>
  <c r="AD7" i="59"/>
  <c r="AA6" i="59"/>
  <c r="Y6" i="59"/>
  <c r="Z6" i="59"/>
  <c r="L4" i="9"/>
  <c r="A30" i="51" s="1"/>
  <c r="M4" i="9"/>
  <c r="A30" i="64"/>
  <c r="K59" i="15"/>
  <c r="P62" i="15" s="1"/>
  <c r="P75" i="15"/>
  <c r="Q74" i="44"/>
  <c r="Q61" i="44"/>
  <c r="Q60" i="44"/>
  <c r="Q53" i="44"/>
  <c r="A16" i="55"/>
  <c r="A15" i="55"/>
  <c r="C43" i="9"/>
  <c r="K47" i="9"/>
  <c r="A14" i="55" s="1"/>
  <c r="B65" i="63" s="1"/>
  <c r="L24" i="4"/>
  <c r="A11" i="55" s="1"/>
  <c r="B62" i="63" s="1"/>
  <c r="L25" i="4"/>
  <c r="L26" i="4"/>
  <c r="A10" i="55"/>
  <c r="B61" i="63" s="1"/>
  <c r="A9" i="55"/>
  <c r="A8" i="55"/>
  <c r="B59" i="63" s="1"/>
  <c r="A6" i="54"/>
  <c r="A8" i="54"/>
  <c r="A7" i="54"/>
  <c r="C57" i="10"/>
  <c r="A28" i="51"/>
  <c r="A27" i="51"/>
  <c r="Y7" i="59"/>
  <c r="Z7" i="59" s="1"/>
  <c r="X7" i="59"/>
  <c r="AA7" i="59"/>
  <c r="K75" i="9"/>
  <c r="K77" i="9" s="1"/>
  <c r="K79" i="9" s="1"/>
  <c r="K81" i="9" s="1"/>
  <c r="K6" i="4"/>
  <c r="O76" i="9"/>
  <c r="L76" i="9"/>
  <c r="K76" i="9"/>
  <c r="B22" i="31"/>
  <c r="E16" i="66"/>
  <c r="F16" i="66"/>
  <c r="E17" i="66"/>
  <c r="F17" i="66"/>
  <c r="E18" i="66"/>
  <c r="F18" i="66"/>
  <c r="E19" i="66"/>
  <c r="F19" i="66"/>
  <c r="E20" i="66"/>
  <c r="F20" i="66"/>
  <c r="E21" i="66"/>
  <c r="F21" i="66"/>
  <c r="E22" i="66"/>
  <c r="F22" i="66"/>
  <c r="E23" i="66"/>
  <c r="F23" i="66"/>
  <c r="B3" i="66"/>
  <c r="V11" i="59"/>
  <c r="T11" i="59"/>
  <c r="S11" i="59"/>
  <c r="V7" i="59"/>
  <c r="U7" i="59"/>
  <c r="S7"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X12" i="59"/>
  <c r="Y12" i="59"/>
  <c r="Z12" i="59"/>
  <c r="AA12" i="59"/>
  <c r="AB12" i="59"/>
  <c r="Y13" i="59"/>
  <c r="Z13" i="59" s="1"/>
  <c r="AA13" i="59"/>
  <c r="X14" i="59"/>
  <c r="Y14" i="59"/>
  <c r="Z14" i="59"/>
  <c r="AA14" i="59"/>
  <c r="AB14" i="59"/>
  <c r="Y15" i="59"/>
  <c r="Z15" i="59" s="1"/>
  <c r="AA15" i="59"/>
  <c r="X16" i="59"/>
  <c r="Y16" i="59"/>
  <c r="Z16" i="59"/>
  <c r="AA16" i="59"/>
  <c r="AB16" i="59"/>
  <c r="Y17" i="59"/>
  <c r="Z17" i="59" s="1"/>
  <c r="AA17" i="59"/>
  <c r="X18" i="59"/>
  <c r="Y18" i="59"/>
  <c r="Z18" i="59"/>
  <c r="AA18" i="59"/>
  <c r="AB18" i="59"/>
  <c r="Y19" i="59"/>
  <c r="Z19" i="59" s="1"/>
  <c r="AA19" i="59"/>
  <c r="X20" i="59"/>
  <c r="Y20" i="59"/>
  <c r="Z20" i="59"/>
  <c r="AA20" i="59"/>
  <c r="AB20" i="59"/>
  <c r="AA21" i="59"/>
  <c r="Y21" i="59"/>
  <c r="X21" i="59"/>
  <c r="S2" i="31"/>
  <c r="M2" i="31"/>
  <c r="N2" i="31"/>
  <c r="O2" i="31"/>
  <c r="P2" i="31"/>
  <c r="Q2" i="31"/>
  <c r="R2" i="31"/>
  <c r="C3" i="65"/>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A21" i="64"/>
  <c r="B75" i="63" s="1"/>
  <c r="B73" i="63"/>
  <c r="A28" i="64"/>
  <c r="A27" i="64"/>
  <c r="A15" i="64"/>
  <c r="A14" i="64"/>
  <c r="A11" i="64"/>
  <c r="A3" i="64"/>
  <c r="A45" i="9"/>
  <c r="A44" i="9"/>
  <c r="K39" i="9" s="1"/>
  <c r="C56" i="10"/>
  <c r="C55" i="10"/>
  <c r="C54" i="10"/>
  <c r="B49" i="63"/>
  <c r="B44" i="63"/>
  <c r="B40" i="63"/>
  <c r="B30" i="63"/>
  <c r="B27" i="63"/>
  <c r="B25" i="63"/>
  <c r="A11" i="51"/>
  <c r="A26" i="64"/>
  <c r="A26" i="51"/>
  <c r="K40" i="9"/>
  <c r="B58" i="63"/>
  <c r="B53" i="63"/>
  <c r="B51" i="63"/>
  <c r="A46" i="9"/>
  <c r="K41" i="9" s="1"/>
  <c r="B8" i="63"/>
  <c r="A21" i="55"/>
  <c r="B71" i="63"/>
  <c r="A20" i="55"/>
  <c r="B69" i="63"/>
  <c r="B26" i="63"/>
  <c r="B28" i="63"/>
  <c r="B29" i="63"/>
  <c r="B31" i="63"/>
  <c r="B33" i="63"/>
  <c r="B35" i="63"/>
  <c r="B36" i="63"/>
  <c r="B37" i="63"/>
  <c r="B63" i="63"/>
  <c r="B64" i="63"/>
  <c r="B68" i="63"/>
  <c r="D51" i="10"/>
  <c r="B60" i="63"/>
  <c r="B10" i="63"/>
  <c r="B51" i="10"/>
  <c r="B20" i="63"/>
  <c r="A15" i="51"/>
  <c r="B12" i="63" s="1"/>
  <c r="A14" i="51"/>
  <c r="B11" i="63" s="1"/>
  <c r="B66" i="63"/>
  <c r="A4" i="55"/>
  <c r="B57" i="63"/>
  <c r="B41" i="63"/>
  <c r="G5" i="54"/>
  <c r="B34" i="63" s="1"/>
  <c r="E5" i="54"/>
  <c r="B32" i="63" s="1"/>
  <c r="R2" i="54"/>
  <c r="B24" i="63" s="1"/>
  <c r="B19" i="63"/>
  <c r="B49" i="50"/>
  <c r="B5" i="63"/>
  <c r="B40" i="50"/>
  <c r="B3" i="63"/>
  <c r="N4" i="63"/>
  <c r="B21" i="63"/>
  <c r="B67" i="63"/>
  <c r="I19" i="46"/>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T51" i="59" s="1"/>
  <c r="B51" i="59"/>
  <c r="N51" i="59"/>
  <c r="F50" i="59"/>
  <c r="F49" i="59"/>
  <c r="Q49" i="59" s="1"/>
  <c r="B50" i="59"/>
  <c r="B49" i="59" s="1"/>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C34"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F26" i="59" s="1"/>
  <c r="F27" i="59" s="1"/>
  <c r="V27" i="59" s="1"/>
  <c r="P24" i="59"/>
  <c r="E25" i="59"/>
  <c r="E26" i="59" s="1"/>
  <c r="E27" i="59" s="1"/>
  <c r="U27" i="59" s="1"/>
  <c r="O24" i="59"/>
  <c r="C25" i="59" s="1"/>
  <c r="N24" i="59"/>
  <c r="B25" i="59" s="1"/>
  <c r="B26" i="59" s="1"/>
  <c r="B27" i="59" s="1"/>
  <c r="S27" i="59" s="1"/>
  <c r="D24" i="59"/>
  <c r="Q23" i="59"/>
  <c r="P23" i="59"/>
  <c r="O23" i="59"/>
  <c r="N23" i="59"/>
  <c r="AB22" i="59"/>
  <c r="Y22" i="59"/>
  <c r="Z22" i="59"/>
  <c r="U19" i="59"/>
  <c r="X3" i="59"/>
  <c r="X9" i="59"/>
  <c r="X11" i="59"/>
  <c r="AA3" i="59"/>
  <c r="AA8" i="59"/>
  <c r="AA9" i="59"/>
  <c r="AA10" i="59"/>
  <c r="AA11" i="59"/>
  <c r="Y8" i="59"/>
  <c r="Z8" i="59" s="1"/>
  <c r="Y9" i="59"/>
  <c r="Z9" i="59" s="1"/>
  <c r="Y10" i="59"/>
  <c r="Z10" i="59" s="1"/>
  <c r="Y11" i="59"/>
  <c r="Z11" i="59" s="1"/>
  <c r="Y3" i="59"/>
  <c r="Z3" i="59" s="1"/>
  <c r="AB11" i="59"/>
  <c r="AB8" i="59"/>
  <c r="AB10" i="59"/>
  <c r="U15" i="59"/>
  <c r="E34" i="59"/>
  <c r="E35" i="59" s="1"/>
  <c r="U35" i="59" s="1"/>
  <c r="S51" i="59"/>
  <c r="Z21" i="59"/>
  <c r="AA22" i="59"/>
  <c r="V15" i="59"/>
  <c r="C30" i="59"/>
  <c r="D30" i="59" s="1"/>
  <c r="D29" i="59"/>
  <c r="D33" i="59"/>
  <c r="D41" i="59"/>
  <c r="N50" i="59"/>
  <c r="Q50" i="59"/>
  <c r="O51" i="59"/>
  <c r="C50" i="59"/>
  <c r="C49" i="59" s="1"/>
  <c r="P51" i="59"/>
  <c r="U51" i="59"/>
  <c r="Q51" i="59"/>
  <c r="C54" i="59"/>
  <c r="C53" i="59" s="1"/>
  <c r="D53" i="59" s="1"/>
  <c r="C58" i="59"/>
  <c r="D58" i="59" s="1"/>
  <c r="E58" i="59"/>
  <c r="E57" i="59"/>
  <c r="D59" i="59"/>
  <c r="C62" i="59"/>
  <c r="D62" i="59" s="1"/>
  <c r="C66" i="59"/>
  <c r="C65" i="59" s="1"/>
  <c r="D65" i="59" s="1"/>
  <c r="U16" i="4"/>
  <c r="T16" i="4" s="1"/>
  <c r="S16" i="4"/>
  <c r="Q16" i="4"/>
  <c r="O16" i="4"/>
  <c r="M16" i="4"/>
  <c r="L16" i="4" s="1"/>
  <c r="K16" i="4"/>
  <c r="C61" i="59"/>
  <c r="D61" i="59" s="1"/>
  <c r="D54" i="59"/>
  <c r="O50" i="59"/>
  <c r="D66" i="59"/>
  <c r="C57" i="59"/>
  <c r="D57" i="59" s="1"/>
  <c r="N16" i="4"/>
  <c r="O27" i="6"/>
  <c r="N27" i="6"/>
  <c r="P26" i="6"/>
  <c r="L26" i="6"/>
  <c r="P25" i="6"/>
  <c r="L25" i="6"/>
  <c r="P24" i="6"/>
  <c r="L24" i="6"/>
  <c r="P23" i="6"/>
  <c r="L23" i="6"/>
  <c r="P22" i="6"/>
  <c r="L22" i="6"/>
  <c r="P21" i="6"/>
  <c r="L21" i="6"/>
  <c r="P20" i="6"/>
  <c r="P19" i="6"/>
  <c r="P27" i="6"/>
  <c r="Q18" i="36"/>
  <c r="Z18" i="36"/>
  <c r="C18" i="36"/>
  <c r="D66" i="36"/>
  <c r="E66" i="36" s="1"/>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F21" i="34"/>
  <c r="AA21" i="34"/>
  <c r="Q21" i="33"/>
  <c r="Z21" i="33"/>
  <c r="C21" i="33"/>
  <c r="D83" i="33"/>
  <c r="E83" i="33" s="1"/>
  <c r="F83" i="33" s="1"/>
  <c r="G83" i="33" s="1"/>
  <c r="Q21" i="21"/>
  <c r="Z21" i="21" s="1"/>
  <c r="E83" i="2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34"/>
  <c r="S21" i="21"/>
  <c r="S31" i="39"/>
  <c r="C31" i="39"/>
  <c r="B74" i="46"/>
  <c r="H18" i="35"/>
  <c r="J18" i="35"/>
  <c r="H21" i="37"/>
  <c r="J21" i="37"/>
  <c r="E84" i="34"/>
  <c r="F84" i="34" s="1"/>
  <c r="G84" i="34" s="1"/>
  <c r="J21" i="34"/>
  <c r="H21" i="34"/>
  <c r="F21" i="33"/>
  <c r="H21" i="33"/>
  <c r="J21" i="33"/>
  <c r="F83" i="21"/>
  <c r="G83" i="21" s="1"/>
  <c r="H27" i="40"/>
  <c r="D22" i="15"/>
  <c r="G17" i="11"/>
  <c r="D23" i="15"/>
  <c r="F60" i="15"/>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86" i="46"/>
  <c r="N73" i="46"/>
  <c r="J66" i="46"/>
  <c r="J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c r="D10" i="1"/>
  <c r="R12" i="1"/>
  <c r="B13" i="1"/>
  <c r="E13"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N3" i="54"/>
  <c r="B42" i="63"/>
  <c r="D14" i="4"/>
  <c r="G36" i="4"/>
  <c r="K2" i="54"/>
  <c r="B23" i="63" s="1"/>
  <c r="A3" i="51"/>
  <c r="R41" i="4"/>
  <c r="Q41" i="4"/>
  <c r="P41" i="4"/>
  <c r="O41" i="4"/>
  <c r="N41" i="4"/>
  <c r="M41" i="4"/>
  <c r="L41" i="4"/>
  <c r="K40" i="4"/>
  <c r="T40" i="4" s="1"/>
  <c r="F23" i="4"/>
  <c r="I19" i="4"/>
  <c r="H19" i="4"/>
  <c r="F9" i="1"/>
  <c r="F19" i="4"/>
  <c r="B2" i="52"/>
  <c r="E22" i="52" s="1"/>
  <c r="I2" i="46"/>
  <c r="N12" i="46" s="1"/>
  <c r="A7" i="46"/>
  <c r="F41" i="4"/>
  <c r="J52" i="40" s="1"/>
  <c r="H61" i="49"/>
  <c r="H39" i="46"/>
  <c r="H38" i="46"/>
  <c r="H37" i="46"/>
  <c r="H36" i="46"/>
  <c r="H35" i="46"/>
  <c r="H34" i="46"/>
  <c r="D38" i="4"/>
  <c r="C39" i="4"/>
  <c r="C35" i="4"/>
  <c r="I73" i="9"/>
  <c r="F73" i="9"/>
  <c r="P73" i="9" s="1"/>
  <c r="D107" i="9"/>
  <c r="C107" i="9" s="1"/>
  <c r="C105" i="9" s="1"/>
  <c r="C110"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c r="J11" i="39"/>
  <c r="AC11" i="39"/>
  <c r="J36" i="39"/>
  <c r="AC36" i="39"/>
  <c r="J40" i="39"/>
  <c r="AC40" i="39" s="1"/>
  <c r="J42" i="39"/>
  <c r="AC42" i="39" s="1"/>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c r="B23" i="1"/>
  <c r="C11" i="11"/>
  <c r="C10" i="11" s="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H35" i="40" s="1"/>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B110" i="37"/>
  <c r="J39" i="37"/>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AB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W16" i="36" s="1"/>
  <c r="D62" i="36"/>
  <c r="E62" i="36"/>
  <c r="F62" i="36" s="1"/>
  <c r="B59" i="36"/>
  <c r="B57" i="36"/>
  <c r="J12" i="36" s="1"/>
  <c r="AC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J34" i="35" s="1"/>
  <c r="AC34" i="35" s="1"/>
  <c r="B77" i="35"/>
  <c r="B75" i="35"/>
  <c r="J24" i="35" s="1"/>
  <c r="B73" i="35"/>
  <c r="B57" i="35"/>
  <c r="J11" i="35" s="1"/>
  <c r="AC11" i="35" s="1"/>
  <c r="B61" i="35"/>
  <c r="B59" i="35"/>
  <c r="H12" i="35" s="1"/>
  <c r="AB12" i="35" s="1"/>
  <c r="B131" i="34"/>
  <c r="H47" i="34" s="1"/>
  <c r="U47" i="34" s="1"/>
  <c r="B129" i="34"/>
  <c r="B127" i="34"/>
  <c r="H45" i="34" s="1"/>
  <c r="B99" i="34"/>
  <c r="B97" i="34"/>
  <c r="J31" i="34" s="1"/>
  <c r="B95" i="34"/>
  <c r="B93" i="34"/>
  <c r="J29" i="34" s="1"/>
  <c r="AC29" i="34" s="1"/>
  <c r="B75" i="34"/>
  <c r="B73" i="34"/>
  <c r="H13" i="34" s="1"/>
  <c r="B71" i="34"/>
  <c r="B130" i="33"/>
  <c r="J46" i="33" s="1"/>
  <c r="B128" i="33"/>
  <c r="H45" i="33"/>
  <c r="U45" i="33" s="1"/>
  <c r="B126" i="33"/>
  <c r="H44" i="33" s="1"/>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F87" i="33" s="1"/>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AB8" i="33" s="1"/>
  <c r="F8" i="33"/>
  <c r="C7" i="33"/>
  <c r="C58" i="33" s="1"/>
  <c r="M102" i="21"/>
  <c r="D102" i="21"/>
  <c r="E102" i="21"/>
  <c r="F102" i="21"/>
  <c r="G102" i="21"/>
  <c r="H102" i="21"/>
  <c r="I102" i="21"/>
  <c r="J102" i="21"/>
  <c r="K102" i="21"/>
  <c r="L102" i="21"/>
  <c r="C102"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s="1"/>
  <c r="J123" i="21" s="1"/>
  <c r="K123" i="21" s="1"/>
  <c r="L123" i="21" s="1"/>
  <c r="M123" i="21" s="1"/>
  <c r="D119" i="21"/>
  <c r="E119" i="21" s="1"/>
  <c r="F119" i="21" s="1"/>
  <c r="G119" i="21" s="1"/>
  <c r="H119" i="21" s="1"/>
  <c r="I119" i="21" s="1"/>
  <c r="J119" i="21" s="1"/>
  <c r="K119" i="21" s="1"/>
  <c r="L119" i="21" s="1"/>
  <c r="M119" i="21" s="1"/>
  <c r="D117" i="21"/>
  <c r="E117" i="21"/>
  <c r="F117" i="21" s="1"/>
  <c r="G117" i="21" s="1"/>
  <c r="E115" i="21"/>
  <c r="F115" i="21"/>
  <c r="G115" i="21" s="1"/>
  <c r="H115" i="21" s="1"/>
  <c r="I115" i="21" s="1"/>
  <c r="J115" i="21" s="1"/>
  <c r="K115" i="21" s="1"/>
  <c r="L115" i="21" s="1"/>
  <c r="M115" i="21" s="1"/>
  <c r="H113" i="21"/>
  <c r="D110" i="21"/>
  <c r="E110" i="21"/>
  <c r="F110" i="21" s="1"/>
  <c r="G110" i="21" s="1"/>
  <c r="H110" i="21" s="1"/>
  <c r="I110" i="21" s="1"/>
  <c r="J110" i="21" s="1"/>
  <c r="K110" i="21" s="1"/>
  <c r="L110" i="21" s="1"/>
  <c r="M110" i="21" s="1"/>
  <c r="W36"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6" i="21"/>
  <c r="E66" i="21" s="1"/>
  <c r="F66" i="21" s="1"/>
  <c r="G66" i="21" s="1"/>
  <c r="H66" i="21" s="1"/>
  <c r="I66" i="21" s="1"/>
  <c r="D111" i="21"/>
  <c r="E111" i="21"/>
  <c r="F111" i="21"/>
  <c r="C111" i="21"/>
  <c r="F79" i="21"/>
  <c r="G79" i="21" s="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6" i="21"/>
  <c r="W40" i="21"/>
  <c r="U10" i="21"/>
  <c r="W34" i="21"/>
  <c r="U36" i="21"/>
  <c r="U12" i="21"/>
  <c r="W26" i="21"/>
  <c r="S41" i="21"/>
  <c r="W41" i="21"/>
  <c r="S10" i="39"/>
  <c r="U30" i="37"/>
  <c r="E103" i="37"/>
  <c r="F103" i="37"/>
  <c r="F39" i="37"/>
  <c r="S39" i="37"/>
  <c r="W39" i="37"/>
  <c r="F29" i="36"/>
  <c r="AA29" i="36" s="1"/>
  <c r="F16" i="36"/>
  <c r="AA16" i="36" s="1"/>
  <c r="U22" i="36"/>
  <c r="W22" i="36"/>
  <c r="AC31" i="36"/>
  <c r="J33" i="36"/>
  <c r="W33" i="36"/>
  <c r="AC27" i="35"/>
  <c r="U31" i="35"/>
  <c r="W36" i="35"/>
  <c r="S31" i="35"/>
  <c r="W31" i="35"/>
  <c r="F36" i="34"/>
  <c r="S36" i="34"/>
  <c r="W9" i="34"/>
  <c r="S34" i="34"/>
  <c r="H39" i="33"/>
  <c r="AB39" i="33" s="1"/>
  <c r="F26" i="33"/>
  <c r="AA26" i="33" s="1"/>
  <c r="U9" i="33"/>
  <c r="W38" i="33"/>
  <c r="S40" i="33"/>
  <c r="S33" i="33"/>
  <c r="U38" i="33"/>
  <c r="S8" i="21"/>
  <c r="W8" i="21"/>
  <c r="H39" i="37"/>
  <c r="AB39" i="37"/>
  <c r="AB27" i="35"/>
  <c r="S10" i="40"/>
  <c r="W10" i="40"/>
  <c r="S11" i="40"/>
  <c r="U11" i="40"/>
  <c r="S36" i="40"/>
  <c r="U36" i="40"/>
  <c r="S40" i="39"/>
  <c r="S36" i="39"/>
  <c r="C29" i="39"/>
  <c r="C23" i="39"/>
  <c r="U36" i="39"/>
  <c r="S42" i="39"/>
  <c r="H32" i="33"/>
  <c r="AB32" i="33" s="1"/>
  <c r="F100" i="40"/>
  <c r="G100" i="40" s="1"/>
  <c r="H100" i="40" s="1"/>
  <c r="I100" i="40" s="1"/>
  <c r="J100" i="40" s="1"/>
  <c r="K100" i="40" s="1"/>
  <c r="L100" i="40" s="1"/>
  <c r="M100" i="40" s="1"/>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G86" i="40"/>
  <c r="AB30" i="36"/>
  <c r="AC34" i="36"/>
  <c r="H29" i="35"/>
  <c r="U29" i="35" s="1"/>
  <c r="S34" i="37"/>
  <c r="AA34" i="37"/>
  <c r="AC43" i="34"/>
  <c r="AB40"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4" i="34"/>
  <c r="AC44" i="34" s="1"/>
  <c r="F44" i="34"/>
  <c r="S44" i="34" s="1"/>
  <c r="J10" i="35"/>
  <c r="W10" i="35" s="1"/>
  <c r="U14" i="21"/>
  <c r="U30" i="21"/>
  <c r="S30"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U13" i="21"/>
  <c r="W45" i="21"/>
  <c r="U45" i="21"/>
  <c r="F13" i="33"/>
  <c r="S13" i="33"/>
  <c r="J29" i="33"/>
  <c r="W29" i="33"/>
  <c r="J31" i="33"/>
  <c r="AC31" i="33"/>
  <c r="H31" i="33"/>
  <c r="U31" i="33"/>
  <c r="J45" i="33"/>
  <c r="W45" i="33" s="1"/>
  <c r="F45" i="33"/>
  <c r="S45" i="33" s="1"/>
  <c r="F11" i="35"/>
  <c r="S11" i="35" s="1"/>
  <c r="H28" i="36"/>
  <c r="U28" i="36" s="1"/>
  <c r="H32" i="36"/>
  <c r="AB32" i="36" s="1"/>
  <c r="J32" i="36"/>
  <c r="AC32" i="36" s="1"/>
  <c r="J11" i="36"/>
  <c r="W11" i="36"/>
  <c r="H13" i="36"/>
  <c r="AB13" i="36"/>
  <c r="J13" i="36"/>
  <c r="W13" i="36"/>
  <c r="F13" i="36"/>
  <c r="S13" i="36"/>
  <c r="J29" i="37"/>
  <c r="W29" i="37" s="1"/>
  <c r="F29" i="37"/>
  <c r="AA29" i="37" s="1"/>
  <c r="F105" i="37"/>
  <c r="G105" i="37" s="1"/>
  <c r="F107" i="37"/>
  <c r="J37" i="37"/>
  <c r="AC37" i="37"/>
  <c r="H37" i="37"/>
  <c r="U37" i="37"/>
  <c r="H40" i="37"/>
  <c r="U40" i="37"/>
  <c r="J40" i="37"/>
  <c r="F40" i="37"/>
  <c r="AA40" i="37" s="1"/>
  <c r="H14" i="33"/>
  <c r="U14" i="33" s="1"/>
  <c r="F14" i="33"/>
  <c r="AA14" i="33" s="1"/>
  <c r="J14" i="33"/>
  <c r="AC14" i="33" s="1"/>
  <c r="H30" i="33"/>
  <c r="AB30" i="33" s="1"/>
  <c r="F30" i="33"/>
  <c r="S30" i="33" s="1"/>
  <c r="J30" i="33"/>
  <c r="AC30" i="33" s="1"/>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AB40" i="37"/>
  <c r="J36" i="37"/>
  <c r="AC36" i="37"/>
  <c r="AB28" i="36"/>
  <c r="W30" i="21"/>
  <c r="S28" i="21"/>
  <c r="W14" i="21"/>
  <c r="W42" i="21"/>
  <c r="AC13" i="36"/>
  <c r="AB31" i="33"/>
  <c r="S45" i="21"/>
  <c r="AC28" i="33"/>
  <c r="U28" i="21"/>
  <c r="S505" i="31"/>
  <c r="S503" i="31"/>
  <c r="S501" i="31"/>
  <c r="S499" i="31"/>
  <c r="S22" i="31" s="1"/>
  <c r="R22" i="31" s="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AB43" i="33"/>
  <c r="AC33" i="36"/>
  <c r="W23" i="35"/>
  <c r="AC23" i="37"/>
  <c r="U39" i="37"/>
  <c r="AC8" i="37"/>
  <c r="AC36" i="34"/>
  <c r="AB8" i="34"/>
  <c r="AC37" i="33"/>
  <c r="AA13" i="33"/>
  <c r="AC45" i="33"/>
  <c r="U19" i="21"/>
  <c r="S39" i="33"/>
  <c r="F43" i="33"/>
  <c r="AA43" i="33"/>
  <c r="AA23" i="37"/>
  <c r="S10" i="35"/>
  <c r="G107" i="37"/>
  <c r="H107" i="37" s="1"/>
  <c r="I107" i="37" s="1"/>
  <c r="J107" i="37" s="1"/>
  <c r="K107" i="37" s="1"/>
  <c r="L107" i="37" s="1"/>
  <c r="M107" i="37" s="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U31" i="37"/>
  <c r="E90" i="40"/>
  <c r="F21" i="40"/>
  <c r="S21" i="40" s="1"/>
  <c r="W36" i="40"/>
  <c r="F90" i="40"/>
  <c r="J21" i="40"/>
  <c r="AC21" i="40" s="1"/>
  <c r="G90" i="40"/>
  <c r="S27" i="31"/>
  <c r="H13" i="40"/>
  <c r="U13" i="40" s="1"/>
  <c r="H12" i="48"/>
  <c r="I4" i="4"/>
  <c r="K141" i="21"/>
  <c r="K143" i="21"/>
  <c r="K144" i="21"/>
  <c r="I59" i="40"/>
  <c r="C59" i="40"/>
  <c r="I60" i="40"/>
  <c r="C60" i="40"/>
  <c r="H7" i="48"/>
  <c r="H16" i="48"/>
  <c r="H9" i="48"/>
  <c r="H8" i="48"/>
  <c r="AB16" i="35"/>
  <c r="AB15" i="37"/>
  <c r="U43" i="21"/>
  <c r="AA13" i="40"/>
  <c r="E78" i="40"/>
  <c r="F78" i="40" s="1"/>
  <c r="G78" i="40" s="1"/>
  <c r="H78" i="40" s="1"/>
  <c r="I78" i="40" s="1"/>
  <c r="J78" i="40" s="1"/>
  <c r="K78" i="40" s="1"/>
  <c r="L78" i="40" s="1"/>
  <c r="M78" i="40" s="1"/>
  <c r="R16" i="4"/>
  <c r="P16" i="4"/>
  <c r="K17" i="4" s="1"/>
  <c r="D3" i="35"/>
  <c r="G4" i="4"/>
  <c r="J16" i="35"/>
  <c r="W16" i="35" s="1"/>
  <c r="U42" i="21"/>
  <c r="W25" i="35"/>
  <c r="AA36" i="35"/>
  <c r="H11" i="37"/>
  <c r="AB11" i="37" s="1"/>
  <c r="W37" i="37"/>
  <c r="AA36" i="37"/>
  <c r="U32" i="33"/>
  <c r="AB17" i="37"/>
  <c r="AC29" i="33"/>
  <c r="AC11" i="36"/>
  <c r="AC10" i="36"/>
  <c r="AC14" i="37"/>
  <c r="AB35" i="35"/>
  <c r="S25" i="35"/>
  <c r="W30" i="33"/>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U32" i="21"/>
  <c r="U26" i="21"/>
  <c r="U39" i="21"/>
  <c r="U37" i="21"/>
  <c r="S40" i="21"/>
  <c r="AA8" i="33"/>
  <c r="S8" i="33"/>
  <c r="AC8" i="33"/>
  <c r="F10" i="33"/>
  <c r="AA10" i="33" s="1"/>
  <c r="F11" i="33"/>
  <c r="S11" i="33" s="1"/>
  <c r="J15" i="33"/>
  <c r="W15" i="33" s="1"/>
  <c r="H19" i="33"/>
  <c r="AB19" i="33" s="1"/>
  <c r="F32" i="33"/>
  <c r="AA32" i="33" s="1"/>
  <c r="J32" i="33"/>
  <c r="AC32" i="33" s="1"/>
  <c r="F35" i="33"/>
  <c r="AA35" i="33" s="1"/>
  <c r="AB39" i="34"/>
  <c r="F11" i="34"/>
  <c r="S11" i="34"/>
  <c r="H17" i="34"/>
  <c r="AB1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H43" i="39"/>
  <c r="U43" i="39" s="1"/>
  <c r="J43" i="39"/>
  <c r="AC43" i="39" s="1"/>
  <c r="F99" i="37"/>
  <c r="U25" i="35"/>
  <c r="AC40" i="37"/>
  <c r="W40" i="37"/>
  <c r="S14" i="21"/>
  <c r="AB29" i="35"/>
  <c r="AC19" i="33"/>
  <c r="W19" i="33"/>
  <c r="U43" i="34"/>
  <c r="AB43" i="34"/>
  <c r="AC34" i="37"/>
  <c r="AA35" i="37"/>
  <c r="S32" i="21"/>
  <c r="AB40" i="33"/>
  <c r="AA35" i="34"/>
  <c r="S35" i="34"/>
  <c r="E90" i="34"/>
  <c r="F90" i="34" s="1"/>
  <c r="G90" i="34" s="1"/>
  <c r="H90" i="34" s="1"/>
  <c r="I90" i="34" s="1"/>
  <c r="J90" i="34" s="1"/>
  <c r="K90" i="34" s="1"/>
  <c r="L90" i="34" s="1"/>
  <c r="M90" i="34" s="1"/>
  <c r="AB8" i="35"/>
  <c r="U8" i="35"/>
  <c r="J14" i="35"/>
  <c r="AC14" i="35" s="1"/>
  <c r="F14" i="35"/>
  <c r="AA14" i="35" s="1"/>
  <c r="H14" i="35"/>
  <c r="U14" i="35"/>
  <c r="E94" i="35"/>
  <c r="F94" i="35" s="1"/>
  <c r="G94" i="35" s="1"/>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21" i="39"/>
  <c r="S21" i="39"/>
  <c r="H21" i="39"/>
  <c r="J21" i="39"/>
  <c r="W21" i="39" s="1"/>
  <c r="F33" i="39"/>
  <c r="AA33" i="39" s="1"/>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J29" i="35"/>
  <c r="AC29" i="35" s="1"/>
  <c r="F29" i="35"/>
  <c r="S29" i="35" s="1"/>
  <c r="W30" i="36"/>
  <c r="AC30" i="36"/>
  <c r="F37" i="39"/>
  <c r="S37" i="39" s="1"/>
  <c r="H37" i="39"/>
  <c r="U37" i="39" s="1"/>
  <c r="J37" i="39"/>
  <c r="W37" i="39" s="1"/>
  <c r="F36" i="44"/>
  <c r="H38" i="34"/>
  <c r="U38" i="34"/>
  <c r="H30" i="40"/>
  <c r="AB30" i="40"/>
  <c r="J30" i="40"/>
  <c r="AC30" i="40" s="1"/>
  <c r="F38" i="40"/>
  <c r="AA38" i="40" s="1"/>
  <c r="AA36" i="34"/>
  <c r="W12" i="21"/>
  <c r="S35" i="21"/>
  <c r="U8" i="21"/>
  <c r="S34" i="21"/>
  <c r="U8" i="33"/>
  <c r="E106"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J20" i="35"/>
  <c r="AC20" i="35" s="1"/>
  <c r="E72" i="35"/>
  <c r="F72" i="35" s="1"/>
  <c r="G72" i="35" s="1"/>
  <c r="H22" i="35"/>
  <c r="AB22" i="35"/>
  <c r="H23" i="35"/>
  <c r="F23" i="35"/>
  <c r="AA23" i="35" s="1"/>
  <c r="AB36" i="35"/>
  <c r="W12" i="36"/>
  <c r="U31" i="36"/>
  <c r="S8" i="37"/>
  <c r="AA8" i="37"/>
  <c r="F14" i="39"/>
  <c r="AA14" i="39" s="1"/>
  <c r="H14" i="39"/>
  <c r="AB14" i="39" s="1"/>
  <c r="J14" i="39"/>
  <c r="AC14" i="39" s="1"/>
  <c r="F16" i="39"/>
  <c r="AA16" i="39" s="1"/>
  <c r="H16" i="39"/>
  <c r="U16" i="39" s="1"/>
  <c r="J16" i="39"/>
  <c r="AC16" i="39" s="1"/>
  <c r="E97" i="39"/>
  <c r="F23" i="39"/>
  <c r="AA23"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J38" i="39"/>
  <c r="W38" i="39" s="1"/>
  <c r="H38" i="39"/>
  <c r="U38" i="39" s="1"/>
  <c r="J16" i="40"/>
  <c r="W16" i="40"/>
  <c r="H42" i="40"/>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C27" i="43" s="1"/>
  <c r="F66" i="9"/>
  <c r="P72" i="9"/>
  <c r="F71" i="9"/>
  <c r="F72" i="9"/>
  <c r="S33" i="40"/>
  <c r="AB32" i="40"/>
  <c r="S47" i="39"/>
  <c r="U37" i="34"/>
  <c r="AB37" i="34"/>
  <c r="W41" i="40"/>
  <c r="J23" i="40"/>
  <c r="AC23" i="40" s="1"/>
  <c r="F23" i="40"/>
  <c r="S23" i="40"/>
  <c r="AC15" i="40"/>
  <c r="W15" i="40"/>
  <c r="S23" i="39"/>
  <c r="AB16" i="39"/>
  <c r="U23" i="35"/>
  <c r="AB23" i="35"/>
  <c r="H20" i="35"/>
  <c r="F20" i="35"/>
  <c r="S20" i="35" s="1"/>
  <c r="H15" i="34"/>
  <c r="AB15" i="34" s="1"/>
  <c r="F78" i="34"/>
  <c r="G78" i="34" s="1"/>
  <c r="J15" i="34"/>
  <c r="AC15" i="34" s="1"/>
  <c r="H41" i="33"/>
  <c r="U41" i="33"/>
  <c r="F30" i="40"/>
  <c r="AA30" i="40"/>
  <c r="AB38" i="34"/>
  <c r="AB37" i="39"/>
  <c r="J29" i="39"/>
  <c r="AC29" i="39"/>
  <c r="AB21" i="39"/>
  <c r="U21" i="39"/>
  <c r="AA11" i="36"/>
  <c r="S14" i="35"/>
  <c r="G99" i="37"/>
  <c r="F33" i="37"/>
  <c r="S33" i="37" s="1"/>
  <c r="AC30" i="34"/>
  <c r="W12" i="34"/>
  <c r="AC13" i="33"/>
  <c r="U17" i="34"/>
  <c r="AA11" i="34"/>
  <c r="H15" i="33"/>
  <c r="U15" i="33" s="1"/>
  <c r="AA11" i="33"/>
  <c r="U17" i="21"/>
  <c r="U16" i="40"/>
  <c r="AB34" i="40"/>
  <c r="AB42" i="40"/>
  <c r="U42" i="40"/>
  <c r="AC16" i="40"/>
  <c r="W32" i="40"/>
  <c r="H25" i="40"/>
  <c r="AB25" i="40"/>
  <c r="J37" i="34"/>
  <c r="AC37" i="34"/>
  <c r="J36" i="33"/>
  <c r="W36" i="33"/>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W29" i="35"/>
  <c r="S39" i="39"/>
  <c r="AB29" i="39"/>
  <c r="AB46" i="39"/>
  <c r="AB44" i="39"/>
  <c r="AC33" i="39"/>
  <c r="W33" i="39"/>
  <c r="S33" i="39"/>
  <c r="U11" i="36"/>
  <c r="W14" i="35"/>
  <c r="W43" i="39"/>
  <c r="AA43" i="39"/>
  <c r="S43" i="39"/>
  <c r="G96" i="37"/>
  <c r="H96" i="37"/>
  <c r="I96" i="37" s="1"/>
  <c r="J96" i="37" s="1"/>
  <c r="K96" i="37" s="1"/>
  <c r="L96" i="37" s="1"/>
  <c r="M96" i="37" s="1"/>
  <c r="F32" i="37"/>
  <c r="S32" i="37" s="1"/>
  <c r="U11" i="35"/>
  <c r="S46" i="34"/>
  <c r="U14" i="34"/>
  <c r="U12" i="34"/>
  <c r="F17" i="34"/>
  <c r="AA17" i="34"/>
  <c r="J17" i="34"/>
  <c r="AC17" i="34"/>
  <c r="H11" i="34"/>
  <c r="AB11" i="34"/>
  <c r="J35" i="33"/>
  <c r="W35" i="33"/>
  <c r="AC15" i="33"/>
  <c r="H11" i="33"/>
  <c r="U11" i="33"/>
  <c r="H10" i="33"/>
  <c r="U10" i="33"/>
  <c r="J10" i="33"/>
  <c r="U40" i="21"/>
  <c r="AC16" i="35"/>
  <c r="AC13" i="40"/>
  <c r="J11" i="34"/>
  <c r="W11" i="34" s="1"/>
  <c r="S17" i="34"/>
  <c r="AC36" i="33"/>
  <c r="F25" i="40"/>
  <c r="AA25" i="40" s="1"/>
  <c r="J11" i="33"/>
  <c r="W11" i="33" s="1"/>
  <c r="H33" i="37"/>
  <c r="AB33" i="37" s="1"/>
  <c r="W15" i="34"/>
  <c r="U20" i="35"/>
  <c r="AB20" i="35"/>
  <c r="W23" i="40"/>
  <c r="D73" i="9"/>
  <c r="N73" i="9"/>
  <c r="AP11" i="1"/>
  <c r="B11" i="1"/>
  <c r="E11" i="1" s="1"/>
  <c r="B9" i="1"/>
  <c r="E9" i="1" s="1"/>
  <c r="B7" i="1"/>
  <c r="E7" i="1" s="1"/>
  <c r="C20" i="43"/>
  <c r="AP6" i="1"/>
  <c r="G11" i="1"/>
  <c r="M22" i="44"/>
  <c r="F59" i="15"/>
  <c r="F70" i="9"/>
  <c r="D86" i="9"/>
  <c r="M20" i="44"/>
  <c r="F31" i="43"/>
  <c r="F30" i="44"/>
  <c r="C30" i="44"/>
  <c r="C31" i="43"/>
  <c r="AC25" i="36"/>
  <c r="S23" i="36"/>
  <c r="AA26" i="36"/>
  <c r="AA28" i="36"/>
  <c r="U25" i="36"/>
  <c r="H20" i="36"/>
  <c r="U20" i="36"/>
  <c r="F68" i="36"/>
  <c r="G68" i="36"/>
  <c r="J20" i="36"/>
  <c r="AC20" i="36"/>
  <c r="F20" i="36"/>
  <c r="S20" i="36"/>
  <c r="G62" i="36"/>
  <c r="J14" i="36"/>
  <c r="H14" i="36"/>
  <c r="AB14" i="36" s="1"/>
  <c r="F14" i="36"/>
  <c r="AA14" i="36"/>
  <c r="W20" i="36"/>
  <c r="U27" i="36"/>
  <c r="AB12" i="36"/>
  <c r="S33" i="36"/>
  <c r="AA27" i="36"/>
  <c r="S16" i="36"/>
  <c r="AC33" i="35"/>
  <c r="U22" i="35"/>
  <c r="AA13" i="35"/>
  <c r="S8" i="35"/>
  <c r="AA20" i="35"/>
  <c r="S23" i="35"/>
  <c r="S16" i="35"/>
  <c r="AB14" i="35"/>
  <c r="U9" i="35"/>
  <c r="W13" i="35"/>
  <c r="AC18" i="35"/>
  <c r="W18" i="35"/>
  <c r="U18" i="35"/>
  <c r="AB18" i="35"/>
  <c r="S30" i="35"/>
  <c r="AA35" i="35"/>
  <c r="AB30" i="35"/>
  <c r="S27" i="35"/>
  <c r="S28" i="35"/>
  <c r="J26" i="35"/>
  <c r="F26" i="35"/>
  <c r="S26" i="35" s="1"/>
  <c r="H26" i="35"/>
  <c r="AB9" i="37"/>
  <c r="W12" i="37"/>
  <c r="AA9" i="37"/>
  <c r="S17" i="37"/>
  <c r="W28" i="37"/>
  <c r="AB37" i="37"/>
  <c r="AA31" i="37"/>
  <c r="AA33" i="37"/>
  <c r="AA32" i="37"/>
  <c r="J33" i="37"/>
  <c r="W33" i="37"/>
  <c r="H99" i="37"/>
  <c r="I99" i="37"/>
  <c r="J99" i="37" s="1"/>
  <c r="K99" i="37"/>
  <c r="L99" i="37" s="1"/>
  <c r="M99" i="37" s="1"/>
  <c r="J19" i="37"/>
  <c r="G75" i="37"/>
  <c r="F19" i="37"/>
  <c r="AA19" i="37"/>
  <c r="H19" i="37"/>
  <c r="J17" i="37"/>
  <c r="W17" i="37" s="1"/>
  <c r="S15" i="37"/>
  <c r="AC10" i="37"/>
  <c r="AC21" i="37"/>
  <c r="W21" i="37"/>
  <c r="AC9" i="37"/>
  <c r="U35" i="37"/>
  <c r="U8" i="37"/>
  <c r="AB21" i="37"/>
  <c r="U21" i="37"/>
  <c r="S40" i="37"/>
  <c r="AA11" i="37"/>
  <c r="S10" i="37"/>
  <c r="W33" i="34"/>
  <c r="S32" i="34"/>
  <c r="AB33" i="34"/>
  <c r="AA12" i="34"/>
  <c r="AC35" i="34"/>
  <c r="AA30" i="34"/>
  <c r="AA33" i="34"/>
  <c r="U34" i="34"/>
  <c r="J25" i="34"/>
  <c r="H25" i="34"/>
  <c r="AB25" i="34" s="1"/>
  <c r="F25" i="34"/>
  <c r="J23" i="34"/>
  <c r="W23" i="34" s="1"/>
  <c r="G86" i="34"/>
  <c r="F23" i="34"/>
  <c r="H23" i="34"/>
  <c r="AB23" i="34" s="1"/>
  <c r="W17" i="34"/>
  <c r="AC11" i="34"/>
  <c r="U11" i="34"/>
  <c r="W10" i="34"/>
  <c r="U10" i="34"/>
  <c r="W37" i="34"/>
  <c r="AC40" i="34"/>
  <c r="W44" i="34"/>
  <c r="W29" i="34"/>
  <c r="AC21" i="34"/>
  <c r="W21" i="34"/>
  <c r="AB21" i="34"/>
  <c r="U21" i="34"/>
  <c r="U19" i="34"/>
  <c r="AB41" i="34"/>
  <c r="AA41" i="34"/>
  <c r="S9" i="34"/>
  <c r="S10" i="34"/>
  <c r="U37" i="33"/>
  <c r="W34" i="33"/>
  <c r="AB11" i="33"/>
  <c r="AB41" i="33"/>
  <c r="U36" i="33"/>
  <c r="AC35" i="33"/>
  <c r="S29" i="33"/>
  <c r="W31" i="33"/>
  <c r="W43" i="33"/>
  <c r="W39" i="33"/>
  <c r="AB34" i="33"/>
  <c r="AB26" i="33"/>
  <c r="H25" i="33"/>
  <c r="AB25" i="33"/>
  <c r="J25" i="33"/>
  <c r="W25" i="33"/>
  <c r="G87" i="33"/>
  <c r="H87" i="33" s="1"/>
  <c r="I87" i="33"/>
  <c r="J87" i="33" s="1"/>
  <c r="K87" i="33" s="1"/>
  <c r="L87" i="33" s="1"/>
  <c r="M87" i="33" s="1"/>
  <c r="F25" i="33"/>
  <c r="F85" i="33"/>
  <c r="G85" i="33" s="1"/>
  <c r="J23" i="33"/>
  <c r="AC23" i="33" s="1"/>
  <c r="F23" i="33"/>
  <c r="H23" i="33"/>
  <c r="AB23" i="33" s="1"/>
  <c r="F79" i="33"/>
  <c r="G79" i="33" s="1"/>
  <c r="F17" i="33"/>
  <c r="S17" i="33" s="1"/>
  <c r="H17" i="33"/>
  <c r="J17" i="33"/>
  <c r="AC17" i="33" s="1"/>
  <c r="AC11" i="33"/>
  <c r="S14" i="33"/>
  <c r="AC21" i="33"/>
  <c r="W21" i="33"/>
  <c r="W14" i="33"/>
  <c r="AB10" i="33"/>
  <c r="U25" i="33"/>
  <c r="AB21" i="33"/>
  <c r="U21" i="33"/>
  <c r="AA21" i="33"/>
  <c r="S21" i="33"/>
  <c r="AA36" i="33"/>
  <c r="W39" i="21"/>
  <c r="W32" i="21"/>
  <c r="U35" i="21"/>
  <c r="W43" i="21"/>
  <c r="S42" i="21"/>
  <c r="W28" i="21"/>
  <c r="W21" i="21"/>
  <c r="W10" i="21"/>
  <c r="U21" i="21"/>
  <c r="W33" i="40"/>
  <c r="U33" i="40"/>
  <c r="U15" i="40"/>
  <c r="S14" i="40"/>
  <c r="S15" i="40"/>
  <c r="S16" i="40"/>
  <c r="W11" i="40"/>
  <c r="AA21" i="40"/>
  <c r="U21" i="40"/>
  <c r="W25" i="40"/>
  <c r="U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AB40" i="40"/>
  <c r="U10" i="40"/>
  <c r="U27" i="40"/>
  <c r="AB27" i="40"/>
  <c r="AC44" i="39"/>
  <c r="S11" i="39"/>
  <c r="AB45" i="39"/>
  <c r="AA21" i="39"/>
  <c r="AC38" i="39"/>
  <c r="W29" i="39"/>
  <c r="AB15" i="39"/>
  <c r="U11" i="39"/>
  <c r="U41" i="39"/>
  <c r="AB38" i="39"/>
  <c r="S38" i="39"/>
  <c r="M43" i="9"/>
  <c r="B22" i="63"/>
  <c r="M20" i="15"/>
  <c r="D96" i="9"/>
  <c r="M18" i="15"/>
  <c r="A18" i="64"/>
  <c r="B74" i="63"/>
  <c r="C53" i="10"/>
  <c r="A25" i="64"/>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51"/>
  <c r="B6" i="63" s="1"/>
  <c r="H58" i="46"/>
  <c r="H61" i="46"/>
  <c r="H62" i="46"/>
  <c r="H71" i="46"/>
  <c r="H75" i="46"/>
  <c r="H76" i="46"/>
  <c r="I100" i="46"/>
  <c r="B56" i="46"/>
  <c r="N100" i="46"/>
  <c r="H100" i="46"/>
  <c r="H80" i="46"/>
  <c r="B45" i="46"/>
  <c r="G100" i="46"/>
  <c r="H84" i="46"/>
  <c r="H65" i="46"/>
  <c r="H66" i="46"/>
  <c r="J100" i="46"/>
  <c r="M100" i="46"/>
  <c r="U12" i="35"/>
  <c r="W11" i="35"/>
  <c r="S14" i="37"/>
  <c r="C24" i="9"/>
  <c r="C25" i="9"/>
  <c r="AP7" i="1"/>
  <c r="G7" i="1"/>
  <c r="AP9" i="1"/>
  <c r="G9" i="1"/>
  <c r="AP8" i="1"/>
  <c r="G8" i="1"/>
  <c r="L5" i="54"/>
  <c r="B39" i="63"/>
  <c r="K5" i="54"/>
  <c r="B38" i="63"/>
  <c r="T41" i="4"/>
  <c r="A17" i="64"/>
  <c r="B46" i="50"/>
  <c r="B4" i="63"/>
  <c r="C46" i="36"/>
  <c r="D46" i="36"/>
  <c r="C59" i="34"/>
  <c r="D59" i="34"/>
  <c r="C48" i="35"/>
  <c r="C52" i="37"/>
  <c r="C67" i="40"/>
  <c r="D65" i="40"/>
  <c r="P24" i="46"/>
  <c r="B68" i="40" s="1"/>
  <c r="P25" i="46"/>
  <c r="B73" i="39" s="1"/>
  <c r="P23" i="46"/>
  <c r="P21" i="46"/>
  <c r="P22" i="46"/>
  <c r="C72" i="39"/>
  <c r="D70" i="39"/>
  <c r="O19" i="46"/>
  <c r="A22" i="51"/>
  <c r="B16" i="63" s="1"/>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U16" i="36"/>
  <c r="S25" i="36"/>
  <c r="AA34" i="36"/>
  <c r="U23" i="36"/>
  <c r="AC27" i="36"/>
  <c r="W28" i="36"/>
  <c r="AA32" i="36"/>
  <c r="U13" i="36"/>
  <c r="AA22" i="36"/>
  <c r="U10" i="36"/>
  <c r="AA13" i="36"/>
  <c r="W9" i="36"/>
  <c r="S9" i="36"/>
  <c r="W8" i="36"/>
  <c r="AC30" i="35"/>
  <c r="U24" i="35"/>
  <c r="W32" i="35"/>
  <c r="S24" i="35"/>
  <c r="U32" i="35"/>
  <c r="W22" i="35"/>
  <c r="W34" i="35"/>
  <c r="S32" i="35"/>
  <c r="W35" i="37"/>
  <c r="AC33" i="37"/>
  <c r="U33" i="37"/>
  <c r="S12" i="37"/>
  <c r="W36" i="37"/>
  <c r="U26" i="37"/>
  <c r="AB28" i="37"/>
  <c r="S28" i="37"/>
  <c r="U38" i="37"/>
  <c r="S26" i="37"/>
  <c r="AB47" i="34"/>
  <c r="S19" i="34"/>
  <c r="S8" i="34"/>
  <c r="AA19" i="33"/>
  <c r="AC25" i="33"/>
  <c r="S43" i="33"/>
  <c r="AB42" i="33"/>
  <c r="S26" i="33"/>
  <c r="AB12" i="33"/>
  <c r="S15" i="33"/>
  <c r="S9" i="33"/>
  <c r="S39" i="21"/>
  <c r="W25" i="21"/>
  <c r="G96" i="40"/>
  <c r="J27" i="40"/>
  <c r="W37" i="40"/>
  <c r="S17" i="40"/>
  <c r="W30" i="40"/>
  <c r="S34" i="40"/>
  <c r="U17" i="40"/>
  <c r="U38" i="40"/>
  <c r="S40" i="40"/>
  <c r="S42" i="40"/>
  <c r="G105" i="39"/>
  <c r="J31" i="39"/>
  <c r="S45" i="39"/>
  <c r="AB43" i="39"/>
  <c r="AB33" i="39"/>
  <c r="AC46" i="39"/>
  <c r="W42" i="39"/>
  <c r="W36" i="39"/>
  <c r="AC37" i="39"/>
  <c r="W16" i="39"/>
  <c r="W45" i="39"/>
  <c r="AA44" i="39"/>
  <c r="AA46" i="39"/>
  <c r="W34" i="39"/>
  <c r="W10" i="39"/>
  <c r="W11" i="39"/>
  <c r="W40" i="39"/>
  <c r="C27" i="39"/>
  <c r="C17" i="40"/>
  <c r="C19" i="40"/>
  <c r="C17" i="39"/>
  <c r="C19" i="39"/>
  <c r="C21" i="39"/>
  <c r="C23" i="40"/>
  <c r="B48" i="46"/>
  <c r="B51" i="46"/>
  <c r="B55" i="46"/>
  <c r="B59" i="46"/>
  <c r="B62" i="46"/>
  <c r="B66" i="46"/>
  <c r="B53" i="46"/>
  <c r="B64" i="46"/>
  <c r="D24" i="15"/>
  <c r="AG6" i="1"/>
  <c r="G6" i="1"/>
  <c r="S14" i="36"/>
  <c r="AB20" i="36"/>
  <c r="AA20" i="36"/>
  <c r="AC14" i="36"/>
  <c r="W14" i="36"/>
  <c r="U14" i="36"/>
  <c r="U18" i="36"/>
  <c r="AB18" i="36"/>
  <c r="AA26" i="35"/>
  <c r="U26" i="35"/>
  <c r="AB26" i="35"/>
  <c r="W26" i="35"/>
  <c r="AC26" i="35"/>
  <c r="S19" i="37"/>
  <c r="AB19" i="37"/>
  <c r="U19" i="37"/>
  <c r="AC17" i="37"/>
  <c r="U25" i="34"/>
  <c r="AA25" i="34"/>
  <c r="S25" i="34"/>
  <c r="W25" i="34"/>
  <c r="AC25" i="34"/>
  <c r="U23" i="34"/>
  <c r="AA23" i="34"/>
  <c r="S23" i="34"/>
  <c r="AC23" i="34"/>
  <c r="AA25" i="33"/>
  <c r="S25" i="33"/>
  <c r="U23" i="33"/>
  <c r="W23" i="33"/>
  <c r="S23" i="33"/>
  <c r="AA23" i="33"/>
  <c r="W17" i="33"/>
  <c r="AA17" i="33"/>
  <c r="U17" i="33"/>
  <c r="AB17" i="33"/>
  <c r="AB39" i="40"/>
  <c r="U39" i="40"/>
  <c r="AC39" i="40"/>
  <c r="AA39" i="40"/>
  <c r="S39" i="40"/>
  <c r="U37" i="40"/>
  <c r="AB37" i="40"/>
  <c r="AA37" i="40"/>
  <c r="U29" i="40"/>
  <c r="AB29" i="40"/>
  <c r="AC29" i="40"/>
  <c r="AA29" i="40"/>
  <c r="W19" i="40"/>
  <c r="AA19" i="40"/>
  <c r="AB19" i="40"/>
  <c r="U19" i="40"/>
  <c r="AC27" i="40"/>
  <c r="W27" i="40"/>
  <c r="W31" i="39"/>
  <c r="AC31" i="39"/>
  <c r="B20" i="31"/>
  <c r="B21" i="31"/>
  <c r="A17" i="51"/>
  <c r="B13" i="63"/>
  <c r="AT6" i="3"/>
  <c r="H70" i="46"/>
  <c r="H72" i="46"/>
  <c r="A25" i="51"/>
  <c r="B18" i="63" s="1"/>
  <c r="A3" i="55"/>
  <c r="B56" i="63" s="1"/>
  <c r="D72" i="39"/>
  <c r="E70" i="39"/>
  <c r="E72" i="39" s="1"/>
  <c r="D67" i="40"/>
  <c r="E65" i="40"/>
  <c r="E67" i="40" s="1"/>
  <c r="G66" i="36"/>
  <c r="J18" i="36"/>
  <c r="AE8" i="1"/>
  <c r="AE6" i="1"/>
  <c r="F33" i="44"/>
  <c r="F31" i="15"/>
  <c r="F58" i="15"/>
  <c r="M17" i="15"/>
  <c r="M19" i="44"/>
  <c r="W18" i="36"/>
  <c r="AC18" i="36"/>
  <c r="F70" i="39"/>
  <c r="F72" i="39" s="1"/>
  <c r="G70" i="39"/>
  <c r="H70" i="39" s="1"/>
  <c r="I70" i="39" s="1"/>
  <c r="I72" i="39" s="1"/>
  <c r="R9" i="1"/>
  <c r="R8" i="1"/>
  <c r="C45" i="9"/>
  <c r="H14" i="66"/>
  <c r="B7" i="66" s="1"/>
  <c r="O40" i="9"/>
  <c r="R7" i="54" s="1"/>
  <c r="B52" i="63" s="1"/>
  <c r="K31" i="9"/>
  <c r="K32" i="9"/>
  <c r="N76" i="9"/>
  <c r="C46" i="9"/>
  <c r="I14" i="66" s="1"/>
  <c r="K33" i="9"/>
  <c r="O41" i="9"/>
  <c r="B8" i="66"/>
  <c r="K34" i="9"/>
  <c r="R8" i="54"/>
  <c r="B54" i="63" s="1"/>
  <c r="I4" i="65"/>
  <c r="B14" i="67"/>
  <c r="M28" i="44"/>
  <c r="F40" i="44"/>
  <c r="J5" i="65"/>
  <c r="M26" i="44"/>
  <c r="F14" i="67"/>
  <c r="B12" i="67"/>
  <c r="F10" i="67"/>
  <c r="B8" i="67"/>
  <c r="F11" i="67"/>
  <c r="M24" i="44"/>
  <c r="N7" i="65"/>
  <c r="J3" i="65"/>
  <c r="E9" i="67"/>
  <c r="M29" i="44"/>
  <c r="F39" i="44"/>
  <c r="F8" i="67"/>
  <c r="F8" i="44"/>
  <c r="E12" i="67"/>
  <c r="J7" i="65"/>
  <c r="E14" i="67"/>
  <c r="I3" i="65"/>
  <c r="F10" i="44"/>
  <c r="J17" i="44"/>
  <c r="M25" i="44"/>
  <c r="F11" i="44"/>
  <c r="E13" i="67"/>
  <c r="F38" i="44"/>
  <c r="B11" i="67"/>
  <c r="F9" i="44"/>
  <c r="C19" i="44"/>
  <c r="F13" i="67"/>
  <c r="I7" i="65"/>
  <c r="M23" i="44"/>
  <c r="B13" i="67"/>
  <c r="F37" i="44"/>
  <c r="M30" i="44"/>
  <c r="L48" i="44"/>
  <c r="F18" i="44"/>
  <c r="B9" i="67"/>
  <c r="B10" i="67"/>
  <c r="N3" i="65"/>
  <c r="J4" i="65"/>
  <c r="J6" i="65"/>
  <c r="I6" i="65"/>
  <c r="N4" i="65"/>
  <c r="F9" i="67"/>
  <c r="E8" i="67"/>
  <c r="F15" i="44"/>
  <c r="E10" i="67"/>
  <c r="F12" i="67"/>
  <c r="M10" i="44"/>
  <c r="E11" i="67"/>
  <c r="N6" i="65"/>
  <c r="F43" i="44"/>
  <c r="M31" i="44"/>
  <c r="M11" i="44"/>
  <c r="F45" i="44"/>
  <c r="F28" i="44"/>
  <c r="L49" i="44"/>
  <c r="I5" i="65"/>
  <c r="N5" i="65"/>
  <c r="M8" i="44"/>
  <c r="U14" i="39" l="1"/>
  <c r="S14" i="39"/>
  <c r="W15" i="39"/>
  <c r="W14" i="39"/>
  <c r="AC21" i="39"/>
  <c r="U42" i="39"/>
  <c r="D48" i="35"/>
  <c r="AC19" i="37"/>
  <c r="W19" i="37"/>
  <c r="U44" i="33"/>
  <c r="AB44" i="33"/>
  <c r="AC24" i="35"/>
  <c r="W24" i="35"/>
  <c r="U35" i="40"/>
  <c r="AB35" i="40"/>
  <c r="J70" i="39"/>
  <c r="H72" i="39"/>
  <c r="G72" i="39"/>
  <c r="F65" i="40"/>
  <c r="D52" i="37"/>
  <c r="E59" i="34"/>
  <c r="E46" i="36"/>
  <c r="AC10" i="33"/>
  <c r="W10" i="33"/>
  <c r="D58" i="33"/>
  <c r="U27" i="33"/>
  <c r="AB27" i="33"/>
  <c r="AC27" i="34"/>
  <c r="W27" i="34"/>
  <c r="AC46" i="33"/>
  <c r="W46" i="33"/>
  <c r="U13" i="34"/>
  <c r="AB13" i="34"/>
  <c r="AC31" i="34"/>
  <c r="W31" i="34"/>
  <c r="U45" i="34"/>
  <c r="AB45" i="34"/>
  <c r="AB13" i="37"/>
  <c r="U13" i="37"/>
  <c r="AB39" i="39"/>
  <c r="U39" i="39"/>
  <c r="S32" i="40"/>
  <c r="S41" i="39"/>
  <c r="S15" i="39"/>
  <c r="S34" i="39"/>
  <c r="W41" i="39"/>
  <c r="AB14" i="33"/>
  <c r="AB35" i="34"/>
  <c r="AC15" i="37"/>
  <c r="AA33" i="35"/>
  <c r="W29" i="36"/>
  <c r="AA11" i="35"/>
  <c r="AA12" i="36"/>
  <c r="S29" i="39"/>
  <c r="W21" i="40"/>
  <c r="AB13" i="40"/>
  <c r="S10" i="33"/>
  <c r="AB15" i="33"/>
  <c r="U19" i="33"/>
  <c r="W26" i="33"/>
  <c r="U35" i="33"/>
  <c r="AC12" i="33"/>
  <c r="S35" i="33"/>
  <c r="U39" i="33"/>
  <c r="U15" i="34"/>
  <c r="W19" i="34"/>
  <c r="U28" i="34"/>
  <c r="U44" i="34"/>
  <c r="AC32" i="34"/>
  <c r="U30" i="34"/>
  <c r="AA40" i="34"/>
  <c r="W46" i="34"/>
  <c r="S37" i="37"/>
  <c r="W32" i="37"/>
  <c r="AC11" i="37"/>
  <c r="S29" i="37"/>
  <c r="U32" i="37"/>
  <c r="AC10" i="35"/>
  <c r="W20" i="35"/>
  <c r="U33" i="35"/>
  <c r="AC9" i="35"/>
  <c r="S29" i="36"/>
  <c r="U9" i="36"/>
  <c r="U32" i="36"/>
  <c r="S8" i="36"/>
  <c r="U11" i="37"/>
  <c r="S32" i="33"/>
  <c r="AB13" i="33"/>
  <c r="AC14" i="34"/>
  <c r="U32" i="34"/>
  <c r="F27" i="34"/>
  <c r="U34" i="39"/>
  <c r="AA37" i="39"/>
  <c r="AA34" i="33"/>
  <c r="S41" i="40"/>
  <c r="U47" i="39"/>
  <c r="W34" i="40"/>
  <c r="W32" i="33"/>
  <c r="U29" i="33"/>
  <c r="AA14" i="34"/>
  <c r="U46" i="34"/>
  <c r="AB33" i="36"/>
  <c r="AA29" i="35"/>
  <c r="U41" i="40"/>
  <c r="AC47" i="39"/>
  <c r="AB14" i="40"/>
  <c r="J14" i="40"/>
  <c r="J35" i="40"/>
  <c r="F35" i="40"/>
  <c r="J27" i="39"/>
  <c r="H27" i="39"/>
  <c r="F27" i="39"/>
  <c r="S43" i="34"/>
  <c r="J39" i="39"/>
  <c r="S9" i="35"/>
  <c r="H27" i="34"/>
  <c r="AB10" i="35"/>
  <c r="AA44" i="34"/>
  <c r="S28" i="33"/>
  <c r="S12" i="35"/>
  <c r="S24" i="36"/>
  <c r="AC29" i="37"/>
  <c r="AA45" i="33"/>
  <c r="S42" i="33"/>
  <c r="AA30" i="33"/>
  <c r="AC26" i="36"/>
  <c r="S37" i="34"/>
  <c r="W9" i="33"/>
  <c r="AC12" i="35"/>
  <c r="AC41" i="34"/>
  <c r="AB45" i="33"/>
  <c r="U36" i="37"/>
  <c r="U30" i="33"/>
  <c r="J27" i="37"/>
  <c r="F27" i="37"/>
  <c r="F38" i="37"/>
  <c r="J38" i="37"/>
  <c r="J13" i="37"/>
  <c r="F13" i="37"/>
  <c r="J47" i="34"/>
  <c r="F47" i="34"/>
  <c r="F45" i="34"/>
  <c r="J45" i="34"/>
  <c r="F31" i="34"/>
  <c r="H31" i="34"/>
  <c r="H29" i="34"/>
  <c r="F29" i="34"/>
  <c r="F13" i="34"/>
  <c r="J13" i="34"/>
  <c r="H46" i="33"/>
  <c r="F46" i="33"/>
  <c r="F44" i="33"/>
  <c r="J44" i="33"/>
  <c r="S31" i="33"/>
  <c r="F27" i="33"/>
  <c r="J27" i="33"/>
  <c r="U34" i="37"/>
  <c r="S22" i="35"/>
  <c r="W40" i="33"/>
  <c r="S38" i="33"/>
  <c r="AB8" i="36"/>
  <c r="W33" i="33"/>
  <c r="U33" i="33"/>
  <c r="W39" i="34"/>
  <c r="U26" i="36"/>
  <c r="W23" i="36"/>
  <c r="F34" i="35"/>
  <c r="H34" i="35"/>
  <c r="I21" i="57"/>
  <c r="D1" i="57" s="1"/>
  <c r="E10" i="57" s="1"/>
  <c r="D34" i="59"/>
  <c r="C35" i="59"/>
  <c r="H25" i="37"/>
  <c r="J25" i="37"/>
  <c r="F25" i="37"/>
  <c r="O49" i="59"/>
  <c r="O48" i="59"/>
  <c r="D49" i="59"/>
  <c r="D25" i="59"/>
  <c r="C26" i="59"/>
  <c r="C38" i="59"/>
  <c r="D37" i="59"/>
  <c r="C43" i="59"/>
  <c r="D42" i="59"/>
  <c r="C46" i="59"/>
  <c r="D45" i="59"/>
  <c r="N49" i="59"/>
  <c r="N48" i="59"/>
  <c r="E9" i="46"/>
  <c r="E11" i="46"/>
  <c r="E8" i="46"/>
  <c r="C7" i="46" s="1"/>
  <c r="E10" i="46"/>
  <c r="F28" i="6"/>
  <c r="D17" i="59"/>
  <c r="C18" i="59"/>
  <c r="D13" i="59"/>
  <c r="C14" i="59"/>
  <c r="C10" i="59"/>
  <c r="D11" i="59"/>
  <c r="C6" i="59"/>
  <c r="D7" i="59"/>
  <c r="X5" i="59"/>
  <c r="AB5" i="59"/>
  <c r="F46" i="21"/>
  <c r="J46" i="21"/>
  <c r="F44" i="21"/>
  <c r="J44" i="21"/>
  <c r="F38" i="21"/>
  <c r="J38" i="21"/>
  <c r="F31" i="21"/>
  <c r="J31" i="21"/>
  <c r="F29" i="21"/>
  <c r="J29" i="21"/>
  <c r="F27" i="21"/>
  <c r="J27" i="21"/>
  <c r="E85" i="21"/>
  <c r="J23" i="21"/>
  <c r="F19" i="21"/>
  <c r="J19" i="21"/>
  <c r="G1" i="15"/>
  <c r="S8" i="1"/>
  <c r="BL553" i="3"/>
  <c r="AZ553" i="3" s="1"/>
  <c r="BA552" i="3"/>
  <c r="AZ552" i="3" s="1"/>
  <c r="BL521" i="3"/>
  <c r="AZ521" i="3"/>
  <c r="BA520" i="3"/>
  <c r="AZ520" i="3" s="1"/>
  <c r="BL489" i="3"/>
  <c r="AZ489" i="3" s="1"/>
  <c r="BA488" i="3"/>
  <c r="AZ488" i="3" s="1"/>
  <c r="BL457" i="3"/>
  <c r="AZ457" i="3"/>
  <c r="BA456" i="3"/>
  <c r="AZ456" i="3" s="1"/>
  <c r="BL425" i="3"/>
  <c r="AZ425" i="3" s="1"/>
  <c r="BA424" i="3"/>
  <c r="AZ424" i="3" s="1"/>
  <c r="BL393" i="3"/>
  <c r="AZ393" i="3"/>
  <c r="BA392" i="3"/>
  <c r="AZ392" i="3" s="1"/>
  <c r="BL361" i="3"/>
  <c r="AZ361" i="3" s="1"/>
  <c r="BA360" i="3"/>
  <c r="AZ360" i="3" s="1"/>
  <c r="BL329" i="3"/>
  <c r="AZ329" i="3"/>
  <c r="BA328" i="3"/>
  <c r="AZ328" i="3" s="1"/>
  <c r="BR5" i="3"/>
  <c r="G28" i="6" s="1"/>
  <c r="BP5" i="3"/>
  <c r="G29" i="6" s="1"/>
  <c r="BL273" i="3"/>
  <c r="AZ273" i="3" s="1"/>
  <c r="BK5" i="3"/>
  <c r="BI5" i="3"/>
  <c r="BG5" i="3"/>
  <c r="BE5" i="3"/>
  <c r="BA272" i="3"/>
  <c r="AZ272" i="3" s="1"/>
  <c r="BC5" i="3"/>
  <c r="A2" i="55"/>
  <c r="B55" i="63" s="1"/>
  <c r="R10" i="1"/>
  <c r="L100" i="46"/>
  <c r="H31" i="39"/>
  <c r="B54" i="46"/>
  <c r="C27" i="40"/>
  <c r="S27" i="40"/>
  <c r="D50" i="59"/>
  <c r="C70" i="59"/>
  <c r="D63" i="59"/>
  <c r="E62" i="59"/>
  <c r="E61" i="59" s="1"/>
  <c r="D55" i="59"/>
  <c r="E54" i="59"/>
  <c r="E53" i="59" s="1"/>
  <c r="D51" i="59"/>
  <c r="E49" i="59"/>
  <c r="AB9" i="59"/>
  <c r="AB3" i="59"/>
  <c r="X10" i="59"/>
  <c r="X8" i="59"/>
  <c r="Q48" i="59"/>
  <c r="AA12" i="46"/>
  <c r="AE12" i="46"/>
  <c r="AI12" i="46"/>
  <c r="T7" i="59"/>
  <c r="AB15" i="59"/>
  <c r="X15" i="59"/>
  <c r="U11" i="59"/>
  <c r="AB7" i="59"/>
  <c r="E17" i="46"/>
  <c r="F33" i="46"/>
  <c r="F35" i="46"/>
  <c r="F38" i="46"/>
  <c r="J17" i="46"/>
  <c r="H17" i="46"/>
  <c r="C16" i="46" s="1"/>
  <c r="C5" i="46" s="1"/>
  <c r="C23" i="59"/>
  <c r="Y5" i="59"/>
  <c r="Z5" i="59" s="1"/>
  <c r="K10" i="1"/>
  <c r="M10" i="1" s="1"/>
  <c r="O10" i="1" s="1"/>
  <c r="H46" i="21"/>
  <c r="H44" i="21"/>
  <c r="H38" i="21"/>
  <c r="H31" i="21"/>
  <c r="H29" i="21"/>
  <c r="H27" i="21"/>
  <c r="F37" i="21"/>
  <c r="F23" i="21"/>
  <c r="F17" i="21"/>
  <c r="J17" i="21"/>
  <c r="F13" i="21"/>
  <c r="J13" i="21"/>
  <c r="F9" i="21"/>
  <c r="J9" i="21"/>
  <c r="D58" i="21"/>
  <c r="S13" i="1"/>
  <c r="K13" i="1"/>
  <c r="M13" i="1" s="1"/>
  <c r="O13" i="1" s="1"/>
  <c r="S11" i="1"/>
  <c r="K11" i="1"/>
  <c r="M11" i="1" s="1"/>
  <c r="O11" i="1" s="1"/>
  <c r="S9" i="1"/>
  <c r="K9" i="1"/>
  <c r="G266" i="3"/>
  <c r="AC5" i="3"/>
  <c r="BL569" i="3"/>
  <c r="AZ569" i="3" s="1"/>
  <c r="BA568" i="3"/>
  <c r="AZ568" i="3" s="1"/>
  <c r="BL537" i="3"/>
  <c r="AZ537" i="3"/>
  <c r="BA536" i="3"/>
  <c r="AZ536" i="3" s="1"/>
  <c r="BL505" i="3"/>
  <c r="AZ505" i="3" s="1"/>
  <c r="BA504" i="3"/>
  <c r="AZ504" i="3" s="1"/>
  <c r="BL473" i="3"/>
  <c r="AZ473" i="3"/>
  <c r="BA472" i="3"/>
  <c r="AZ472" i="3" s="1"/>
  <c r="BL441" i="3"/>
  <c r="AZ441" i="3" s="1"/>
  <c r="BA440" i="3"/>
  <c r="AZ440" i="3" s="1"/>
  <c r="BL409" i="3"/>
  <c r="AZ409" i="3"/>
  <c r="BA408" i="3"/>
  <c r="AZ408" i="3" s="1"/>
  <c r="BL377" i="3"/>
  <c r="AZ377" i="3" s="1"/>
  <c r="BA376" i="3"/>
  <c r="AZ376" i="3" s="1"/>
  <c r="BL345" i="3"/>
  <c r="AZ345" i="3"/>
  <c r="BA344" i="3"/>
  <c r="AZ344" i="3" s="1"/>
  <c r="BL305" i="3"/>
  <c r="AZ305" i="3" s="1"/>
  <c r="BA304" i="3"/>
  <c r="AZ304" i="3" s="1"/>
  <c r="BS5" i="3"/>
  <c r="BO5" i="3"/>
  <c r="F29" i="6" s="1"/>
  <c r="E29" i="6" s="1"/>
  <c r="K15" i="1" s="1"/>
  <c r="G16" i="1"/>
  <c r="BL561" i="3"/>
  <c r="AZ561" i="3" s="1"/>
  <c r="BA560" i="3"/>
  <c r="AZ560" i="3" s="1"/>
  <c r="BL545" i="3"/>
  <c r="AZ545" i="3"/>
  <c r="BA544" i="3"/>
  <c r="AZ544" i="3" s="1"/>
  <c r="BL529" i="3"/>
  <c r="AZ529" i="3" s="1"/>
  <c r="BA528" i="3"/>
  <c r="AZ528" i="3" s="1"/>
  <c r="BL513" i="3"/>
  <c r="AZ513" i="3"/>
  <c r="BA512" i="3"/>
  <c r="AZ512" i="3" s="1"/>
  <c r="BL497" i="3"/>
  <c r="AZ497" i="3" s="1"/>
  <c r="BA496" i="3"/>
  <c r="AZ496" i="3" s="1"/>
  <c r="BL481" i="3"/>
  <c r="AZ481" i="3"/>
  <c r="BA480" i="3"/>
  <c r="AZ480" i="3" s="1"/>
  <c r="BL465" i="3"/>
  <c r="AZ465" i="3" s="1"/>
  <c r="BA464" i="3"/>
  <c r="AZ464" i="3" s="1"/>
  <c r="BL449" i="3"/>
  <c r="AZ449" i="3"/>
  <c r="BA448" i="3"/>
  <c r="AZ448" i="3" s="1"/>
  <c r="BL433" i="3"/>
  <c r="AZ433" i="3" s="1"/>
  <c r="BA432" i="3"/>
  <c r="AZ432" i="3" s="1"/>
  <c r="BL417" i="3"/>
  <c r="AZ417" i="3"/>
  <c r="BA416" i="3"/>
  <c r="AZ416" i="3" s="1"/>
  <c r="BL401" i="3"/>
  <c r="AZ401" i="3" s="1"/>
  <c r="BA400" i="3"/>
  <c r="AZ400" i="3" s="1"/>
  <c r="BL385" i="3"/>
  <c r="AZ385" i="3"/>
  <c r="BA384" i="3"/>
  <c r="AZ384" i="3" s="1"/>
  <c r="BL369" i="3"/>
  <c r="AZ369" i="3" s="1"/>
  <c r="BA368" i="3"/>
  <c r="AZ368" i="3" s="1"/>
  <c r="BL353" i="3"/>
  <c r="AZ353" i="3"/>
  <c r="BA352" i="3"/>
  <c r="AZ352" i="3" s="1"/>
  <c r="BL337" i="3"/>
  <c r="AZ337" i="3" s="1"/>
  <c r="BA336" i="3"/>
  <c r="AZ336" i="3" s="1"/>
  <c r="BL321" i="3"/>
  <c r="AZ321" i="3"/>
  <c r="BA320" i="3"/>
  <c r="AZ320" i="3" s="1"/>
  <c r="BL289" i="3"/>
  <c r="AZ289" i="3" s="1"/>
  <c r="BA288" i="3"/>
  <c r="AZ288" i="3" s="1"/>
  <c r="H5" i="3"/>
  <c r="BA572" i="3"/>
  <c r="AZ572" i="3" s="1"/>
  <c r="BL565" i="3"/>
  <c r="AZ565" i="3"/>
  <c r="BA564" i="3"/>
  <c r="AZ564" i="3" s="1"/>
  <c r="BL557" i="3"/>
  <c r="AZ557" i="3" s="1"/>
  <c r="BA556" i="3"/>
  <c r="AZ556" i="3" s="1"/>
  <c r="BL549" i="3"/>
  <c r="AZ549" i="3"/>
  <c r="BA548" i="3"/>
  <c r="AZ548" i="3" s="1"/>
  <c r="BL541" i="3"/>
  <c r="AZ541" i="3" s="1"/>
  <c r="BA540" i="3"/>
  <c r="AZ540" i="3" s="1"/>
  <c r="BL533" i="3"/>
  <c r="AZ533" i="3"/>
  <c r="BA532" i="3"/>
  <c r="AZ532" i="3" s="1"/>
  <c r="BL525" i="3"/>
  <c r="AZ525" i="3" s="1"/>
  <c r="BA524" i="3"/>
  <c r="AZ524" i="3" s="1"/>
  <c r="BL517" i="3"/>
  <c r="AZ517" i="3"/>
  <c r="BA516" i="3"/>
  <c r="AZ516" i="3" s="1"/>
  <c r="BL509" i="3"/>
  <c r="AZ509" i="3" s="1"/>
  <c r="BA508" i="3"/>
  <c r="AZ508" i="3" s="1"/>
  <c r="BL501" i="3"/>
  <c r="AZ501" i="3"/>
  <c r="BA500" i="3"/>
  <c r="AZ500" i="3" s="1"/>
  <c r="BL493" i="3"/>
  <c r="AZ493" i="3" s="1"/>
  <c r="BA492" i="3"/>
  <c r="AZ492" i="3" s="1"/>
  <c r="BL485" i="3"/>
  <c r="AZ485" i="3"/>
  <c r="BA484" i="3"/>
  <c r="AZ484" i="3" s="1"/>
  <c r="BL477" i="3"/>
  <c r="AZ477" i="3" s="1"/>
  <c r="BA476" i="3"/>
  <c r="AZ476" i="3" s="1"/>
  <c r="BL469" i="3"/>
  <c r="AZ469" i="3"/>
  <c r="BA468" i="3"/>
  <c r="AZ468" i="3" s="1"/>
  <c r="BL461" i="3"/>
  <c r="AZ461" i="3" s="1"/>
  <c r="BA460" i="3"/>
  <c r="AZ460" i="3" s="1"/>
  <c r="BL453" i="3"/>
  <c r="AZ453" i="3"/>
  <c r="BA452" i="3"/>
  <c r="AZ452" i="3" s="1"/>
  <c r="BL445" i="3"/>
  <c r="AZ445" i="3" s="1"/>
  <c r="BA444" i="3"/>
  <c r="AZ444" i="3" s="1"/>
  <c r="BL437" i="3"/>
  <c r="AZ437" i="3"/>
  <c r="BA436" i="3"/>
  <c r="AZ436" i="3" s="1"/>
  <c r="BL429" i="3"/>
  <c r="AZ429" i="3" s="1"/>
  <c r="BA428" i="3"/>
  <c r="AZ428" i="3" s="1"/>
  <c r="BL421" i="3"/>
  <c r="AZ421" i="3"/>
  <c r="BA420" i="3"/>
  <c r="AZ420" i="3" s="1"/>
  <c r="BL413" i="3"/>
  <c r="AZ413" i="3" s="1"/>
  <c r="BA412" i="3"/>
  <c r="AZ412" i="3" s="1"/>
  <c r="BL405" i="3"/>
  <c r="AZ405" i="3"/>
  <c r="BA404" i="3"/>
  <c r="AZ404" i="3" s="1"/>
  <c r="BL397" i="3"/>
  <c r="AZ397" i="3" s="1"/>
  <c r="BA396" i="3"/>
  <c r="AZ396" i="3" s="1"/>
  <c r="BL389" i="3"/>
  <c r="AZ389" i="3"/>
  <c r="BA388" i="3"/>
  <c r="AZ388" i="3" s="1"/>
  <c r="BL381" i="3"/>
  <c r="AZ381" i="3" s="1"/>
  <c r="BA380" i="3"/>
  <c r="AZ380" i="3" s="1"/>
  <c r="BL373" i="3"/>
  <c r="AZ373" i="3"/>
  <c r="BA372" i="3"/>
  <c r="AZ372" i="3" s="1"/>
  <c r="BL365" i="3"/>
  <c r="AZ365" i="3" s="1"/>
  <c r="BA364" i="3"/>
  <c r="AZ364" i="3" s="1"/>
  <c r="BL357" i="3"/>
  <c r="AZ357" i="3"/>
  <c r="BA356" i="3"/>
  <c r="AZ356" i="3" s="1"/>
  <c r="BL349" i="3"/>
  <c r="AZ349" i="3" s="1"/>
  <c r="BA348" i="3"/>
  <c r="AZ348" i="3" s="1"/>
  <c r="BL341" i="3"/>
  <c r="AZ341" i="3"/>
  <c r="BA340" i="3"/>
  <c r="AZ340" i="3" s="1"/>
  <c r="BL333" i="3"/>
  <c r="AZ333" i="3" s="1"/>
  <c r="BA332" i="3"/>
  <c r="AZ332" i="3" s="1"/>
  <c r="BL325" i="3"/>
  <c r="AZ325" i="3"/>
  <c r="BA324" i="3"/>
  <c r="AZ324" i="3" s="1"/>
  <c r="BL313" i="3"/>
  <c r="AZ313" i="3" s="1"/>
  <c r="BA312" i="3"/>
  <c r="AZ312" i="3" s="1"/>
  <c r="BL297" i="3"/>
  <c r="AZ297" i="3"/>
  <c r="BA296" i="3"/>
  <c r="AZ296" i="3" s="1"/>
  <c r="BL281" i="3"/>
  <c r="AZ281" i="3" s="1"/>
  <c r="BA280" i="3"/>
  <c r="AZ280"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7" i="3"/>
  <c r="AZ317" i="3"/>
  <c r="BA316" i="3"/>
  <c r="AZ316" i="3" s="1"/>
  <c r="BL309" i="3"/>
  <c r="AZ309" i="3" s="1"/>
  <c r="BA308" i="3"/>
  <c r="AZ308" i="3" s="1"/>
  <c r="BL301" i="3"/>
  <c r="AZ301" i="3"/>
  <c r="BA300" i="3"/>
  <c r="AZ300" i="3" s="1"/>
  <c r="BL293" i="3"/>
  <c r="AZ293" i="3" s="1"/>
  <c r="BA292" i="3"/>
  <c r="AZ292" i="3" s="1"/>
  <c r="BL285" i="3"/>
  <c r="AZ285" i="3"/>
  <c r="BA284" i="3"/>
  <c r="AZ284" i="3" s="1"/>
  <c r="BL277" i="3"/>
  <c r="AZ277" i="3" s="1"/>
  <c r="BA276" i="3"/>
  <c r="AZ276" i="3" s="1"/>
  <c r="BL269" i="3"/>
  <c r="AZ269" i="3"/>
  <c r="BA268" i="3"/>
  <c r="AZ268" i="3" s="1"/>
  <c r="BL261" i="3"/>
  <c r="AZ261" i="3" s="1"/>
  <c r="BA260" i="3"/>
  <c r="AZ260" i="3" s="1"/>
  <c r="BL253" i="3"/>
  <c r="AZ253" i="3"/>
  <c r="BA252" i="3"/>
  <c r="AZ252" i="3" s="1"/>
  <c r="BL245" i="3"/>
  <c r="AZ245" i="3" s="1"/>
  <c r="BA244" i="3"/>
  <c r="AZ244" i="3" s="1"/>
  <c r="BL237" i="3"/>
  <c r="AZ237" i="3"/>
  <c r="BA236" i="3"/>
  <c r="AZ236" i="3" s="1"/>
  <c r="BL229" i="3"/>
  <c r="AZ229" i="3" s="1"/>
  <c r="BA228" i="3"/>
  <c r="AZ228" i="3" s="1"/>
  <c r="BL221" i="3"/>
  <c r="AZ221" i="3"/>
  <c r="BA220" i="3"/>
  <c r="AZ220" i="3" s="1"/>
  <c r="BL213" i="3"/>
  <c r="AZ213" i="3" s="1"/>
  <c r="BA212" i="3"/>
  <c r="AZ212" i="3" s="1"/>
  <c r="BL205" i="3"/>
  <c r="AZ205" i="3"/>
  <c r="BA204" i="3"/>
  <c r="AZ204" i="3" s="1"/>
  <c r="BL197" i="3"/>
  <c r="AZ197" i="3" s="1"/>
  <c r="BA196" i="3"/>
  <c r="AZ196" i="3" s="1"/>
  <c r="BL189" i="3"/>
  <c r="AZ189" i="3"/>
  <c r="BA188" i="3"/>
  <c r="AZ188" i="3" s="1"/>
  <c r="BL181" i="3"/>
  <c r="AZ181" i="3" s="1"/>
  <c r="BA180" i="3"/>
  <c r="AZ180" i="3" s="1"/>
  <c r="BL173" i="3"/>
  <c r="AZ173" i="3"/>
  <c r="BA172" i="3"/>
  <c r="AZ172" i="3" s="1"/>
  <c r="BL165" i="3"/>
  <c r="AZ165" i="3" s="1"/>
  <c r="BA164" i="3"/>
  <c r="AZ164" i="3" s="1"/>
  <c r="BL157" i="3"/>
  <c r="AZ157" i="3"/>
  <c r="BA156" i="3"/>
  <c r="AZ156" i="3" s="1"/>
  <c r="BL154" i="3"/>
  <c r="AZ154" i="3" s="1"/>
  <c r="BA153" i="3"/>
  <c r="AZ153" i="3" s="1"/>
  <c r="BL138" i="3"/>
  <c r="AZ138" i="3"/>
  <c r="BA137" i="3"/>
  <c r="AZ137" i="3" s="1"/>
  <c r="BL122" i="3"/>
  <c r="AZ122" i="3" s="1"/>
  <c r="BA121" i="3"/>
  <c r="AZ121" i="3" s="1"/>
  <c r="BL106" i="3"/>
  <c r="AZ106" i="3"/>
  <c r="BA105" i="3"/>
  <c r="AZ105" i="3" s="1"/>
  <c r="BL90" i="3"/>
  <c r="AZ90" i="3" s="1"/>
  <c r="BA89" i="3"/>
  <c r="AZ89" i="3" s="1"/>
  <c r="BL74" i="3"/>
  <c r="AZ74" i="3"/>
  <c r="BA73" i="3"/>
  <c r="AZ73" i="3" s="1"/>
  <c r="BL63" i="3"/>
  <c r="AZ63" i="3" s="1"/>
  <c r="BA62" i="3"/>
  <c r="AZ62" i="3" s="1"/>
  <c r="BL31" i="3"/>
  <c r="AZ31" i="3"/>
  <c r="BA30" i="3"/>
  <c r="AZ30" i="3" s="1"/>
  <c r="BL265" i="3"/>
  <c r="AZ265" i="3" s="1"/>
  <c r="BA264" i="3"/>
  <c r="AZ264" i="3" s="1"/>
  <c r="BL257" i="3"/>
  <c r="AZ257" i="3"/>
  <c r="BA256" i="3"/>
  <c r="AZ256" i="3" s="1"/>
  <c r="BL249" i="3"/>
  <c r="AZ249" i="3" s="1"/>
  <c r="BA248" i="3"/>
  <c r="AZ248" i="3" s="1"/>
  <c r="BL241" i="3"/>
  <c r="AZ241" i="3"/>
  <c r="BA240" i="3"/>
  <c r="AZ240" i="3" s="1"/>
  <c r="BL233" i="3"/>
  <c r="AZ233" i="3" s="1"/>
  <c r="BA232" i="3"/>
  <c r="AZ232" i="3" s="1"/>
  <c r="BL225" i="3"/>
  <c r="AZ225" i="3"/>
  <c r="BA224" i="3"/>
  <c r="AZ224" i="3" s="1"/>
  <c r="BL217" i="3"/>
  <c r="AZ217" i="3" s="1"/>
  <c r="BA216" i="3"/>
  <c r="AZ216" i="3" s="1"/>
  <c r="BL209" i="3"/>
  <c r="AZ209" i="3"/>
  <c r="BA208" i="3"/>
  <c r="AZ208" i="3" s="1"/>
  <c r="BL201" i="3"/>
  <c r="AZ201" i="3" s="1"/>
  <c r="BA200" i="3"/>
  <c r="AZ200" i="3" s="1"/>
  <c r="BL193" i="3"/>
  <c r="AZ193" i="3"/>
  <c r="BA192" i="3"/>
  <c r="AZ192" i="3" s="1"/>
  <c r="BL185" i="3"/>
  <c r="AZ185" i="3" s="1"/>
  <c r="BA184" i="3"/>
  <c r="AZ184" i="3" s="1"/>
  <c r="BL177" i="3"/>
  <c r="AZ177" i="3"/>
  <c r="BA176" i="3"/>
  <c r="AZ176" i="3" s="1"/>
  <c r="BL169" i="3"/>
  <c r="AZ169" i="3" s="1"/>
  <c r="BA168" i="3"/>
  <c r="AZ168" i="3" s="1"/>
  <c r="BL161" i="3"/>
  <c r="AZ161" i="3"/>
  <c r="BA160" i="3"/>
  <c r="AZ160" i="3" s="1"/>
  <c r="BL146" i="3"/>
  <c r="AZ146" i="3" s="1"/>
  <c r="BA145" i="3"/>
  <c r="AZ145" i="3" s="1"/>
  <c r="BL130" i="3"/>
  <c r="AZ130" i="3"/>
  <c r="BA129" i="3"/>
  <c r="AZ129" i="3" s="1"/>
  <c r="BL114" i="3"/>
  <c r="AZ114" i="3" s="1"/>
  <c r="BA113" i="3"/>
  <c r="AZ113" i="3" s="1"/>
  <c r="BL98" i="3"/>
  <c r="AZ98" i="3"/>
  <c r="BA97" i="3"/>
  <c r="AZ97" i="3" s="1"/>
  <c r="BL82" i="3"/>
  <c r="AZ82" i="3" s="1"/>
  <c r="BA81" i="3"/>
  <c r="AZ81" i="3" s="1"/>
  <c r="BL47" i="3"/>
  <c r="AZ47" i="3"/>
  <c r="BA46" i="3"/>
  <c r="AZ46" i="3" s="1"/>
  <c r="BL15" i="3"/>
  <c r="BA14" i="3"/>
  <c r="AZ14"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L150" i="3"/>
  <c r="AZ150" i="3" s="1"/>
  <c r="BA149" i="3"/>
  <c r="AZ149" i="3" s="1"/>
  <c r="BL142" i="3"/>
  <c r="AZ142" i="3"/>
  <c r="BA141" i="3"/>
  <c r="AZ141" i="3" s="1"/>
  <c r="BL134" i="3"/>
  <c r="AZ134" i="3" s="1"/>
  <c r="BA133" i="3"/>
  <c r="AZ133" i="3" s="1"/>
  <c r="BL126" i="3"/>
  <c r="AZ126" i="3"/>
  <c r="BA125" i="3"/>
  <c r="AZ125" i="3" s="1"/>
  <c r="BL118" i="3"/>
  <c r="AZ118" i="3" s="1"/>
  <c r="BA117" i="3"/>
  <c r="AZ117" i="3" s="1"/>
  <c r="BL110" i="3"/>
  <c r="AZ110" i="3"/>
  <c r="BA109" i="3"/>
  <c r="AZ109" i="3" s="1"/>
  <c r="BL102" i="3"/>
  <c r="AZ102" i="3" s="1"/>
  <c r="BA101" i="3"/>
  <c r="AZ101" i="3" s="1"/>
  <c r="BL94" i="3"/>
  <c r="AZ94" i="3"/>
  <c r="BA93" i="3"/>
  <c r="AZ93" i="3" s="1"/>
  <c r="BL86" i="3"/>
  <c r="AZ86" i="3" s="1"/>
  <c r="BA85" i="3"/>
  <c r="AZ85" i="3" s="1"/>
  <c r="BL78" i="3"/>
  <c r="AZ78" i="3"/>
  <c r="BA77" i="3"/>
  <c r="AZ77" i="3" s="1"/>
  <c r="BL70" i="3"/>
  <c r="AZ70" i="3" s="1"/>
  <c r="BA69" i="3"/>
  <c r="AZ69" i="3" s="1"/>
  <c r="BL55" i="3"/>
  <c r="AZ55" i="3"/>
  <c r="BA54" i="3"/>
  <c r="AZ54" i="3" s="1"/>
  <c r="BL39" i="3"/>
  <c r="AZ39" i="3" s="1"/>
  <c r="BA38" i="3"/>
  <c r="AZ38" i="3" s="1"/>
  <c r="BL23" i="3"/>
  <c r="AZ23" i="3"/>
  <c r="BA22" i="3"/>
  <c r="AZ22"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7" i="3"/>
  <c r="AZ67" i="3" s="1"/>
  <c r="BA66" i="3"/>
  <c r="AZ66" i="3" s="1"/>
  <c r="BL59" i="3"/>
  <c r="AZ59" i="3"/>
  <c r="BA58" i="3"/>
  <c r="AZ58" i="3" s="1"/>
  <c r="BL51" i="3"/>
  <c r="AZ51" i="3" s="1"/>
  <c r="BA50" i="3"/>
  <c r="AZ50" i="3" s="1"/>
  <c r="BL43" i="3"/>
  <c r="AZ43" i="3"/>
  <c r="BA42" i="3"/>
  <c r="AZ42" i="3" s="1"/>
  <c r="BL35" i="3"/>
  <c r="AZ35" i="3" s="1"/>
  <c r="BA34" i="3"/>
  <c r="AZ34" i="3" s="1"/>
  <c r="BL27" i="3"/>
  <c r="AZ27" i="3"/>
  <c r="BA26" i="3"/>
  <c r="AZ26" i="3" s="1"/>
  <c r="BL19" i="3"/>
  <c r="AZ19" i="3" s="1"/>
  <c r="BA18" i="3"/>
  <c r="AZ18"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F15" i="21"/>
  <c r="J15" i="21"/>
  <c r="H15" i="21"/>
  <c r="F77" i="21"/>
  <c r="G77" i="21" s="1"/>
  <c r="F99" i="39"/>
  <c r="G99" i="39" s="1"/>
  <c r="F25" i="39"/>
  <c r="H25" i="39"/>
  <c r="J25" i="39"/>
  <c r="W23" i="39"/>
  <c r="U23" i="39"/>
  <c r="J17" i="39"/>
  <c r="H17" i="39"/>
  <c r="F17" i="39"/>
  <c r="C51" i="10"/>
  <c r="A4" i="64"/>
  <c r="J57" i="39"/>
  <c r="H12" i="40"/>
  <c r="F12" i="40"/>
  <c r="J12" i="40"/>
  <c r="J12" i="39"/>
  <c r="M6" i="1"/>
  <c r="Q16" i="1"/>
  <c r="I4" i="6"/>
  <c r="BA13" i="3"/>
  <c r="BB5" i="3"/>
  <c r="E32" i="6"/>
  <c r="P13" i="1"/>
  <c r="P12" i="1"/>
  <c r="P11" i="1"/>
  <c r="P10" i="1"/>
  <c r="P8" i="1"/>
  <c r="E21" i="52"/>
  <c r="U19" i="39"/>
  <c r="AA19" i="39"/>
  <c r="E8" i="52"/>
  <c r="AC19" i="39"/>
  <c r="E16" i="52"/>
  <c r="B13" i="52"/>
  <c r="E6" i="52"/>
  <c r="U40" i="39"/>
  <c r="E4" i="52"/>
  <c r="B11" i="52"/>
  <c r="B5" i="52"/>
  <c r="B22" i="52"/>
  <c r="B14" i="52"/>
  <c r="E7" i="52"/>
  <c r="E5" i="52"/>
  <c r="B6" i="52"/>
  <c r="B16" i="52"/>
  <c r="B23" i="52"/>
  <c r="E10" i="52"/>
  <c r="E9" i="52"/>
  <c r="C4" i="4" s="1"/>
  <c r="B20" i="55" s="1"/>
  <c r="B70" i="63" s="1"/>
  <c r="B8" i="52"/>
  <c r="B4" i="52"/>
  <c r="B9" i="52"/>
  <c r="B10" i="52"/>
  <c r="B7" i="52"/>
  <c r="E11" i="52"/>
  <c r="E4" i="4" s="1"/>
  <c r="B21" i="55" s="1"/>
  <c r="B72" i="63" s="1"/>
  <c r="C36" i="44"/>
  <c r="L59" i="44"/>
  <c r="L60" i="44"/>
  <c r="E20" i="46"/>
  <c r="J22" i="44"/>
  <c r="J1" i="65"/>
  <c r="Q73" i="44"/>
  <c r="M9" i="44"/>
  <c r="J8" i="44" s="1"/>
  <c r="C8" i="44"/>
  <c r="C29" i="44"/>
  <c r="J54" i="44"/>
  <c r="I55" i="44"/>
  <c r="J60" i="44"/>
  <c r="L57" i="44"/>
  <c r="J61" i="44"/>
  <c r="Q50" i="44" s="1"/>
  <c r="J58" i="44"/>
  <c r="J56" i="44" s="1"/>
  <c r="J59" i="44" s="1"/>
  <c r="Q52" i="44" s="1"/>
  <c r="C4" i="65"/>
  <c r="B39" i="1" s="1"/>
  <c r="C18" i="44"/>
  <c r="E2" i="65"/>
  <c r="E3" i="65"/>
  <c r="L19" i="6" l="1"/>
  <c r="L27" i="6" s="1"/>
  <c r="BL5" i="3"/>
  <c r="G5" i="3"/>
  <c r="B3" i="3" s="1"/>
  <c r="E266" i="3"/>
  <c r="AA9" i="21"/>
  <c r="S9" i="21"/>
  <c r="AA13" i="21"/>
  <c r="S13" i="21"/>
  <c r="AA17" i="21"/>
  <c r="S17" i="21"/>
  <c r="AA37" i="21"/>
  <c r="S37" i="21"/>
  <c r="AB29" i="21"/>
  <c r="U29" i="21"/>
  <c r="AB38" i="21"/>
  <c r="U38" i="21"/>
  <c r="AB46" i="21"/>
  <c r="U46" i="21"/>
  <c r="AB31" i="39"/>
  <c r="U31" i="39"/>
  <c r="G30" i="6"/>
  <c r="G31" i="6" s="1"/>
  <c r="AC19" i="21"/>
  <c r="W19" i="21"/>
  <c r="AC23" i="21"/>
  <c r="W23" i="21"/>
  <c r="AC27" i="21"/>
  <c r="W27" i="21"/>
  <c r="AC29" i="21"/>
  <c r="W29" i="21"/>
  <c r="AC31" i="21"/>
  <c r="W31" i="21"/>
  <c r="AC38" i="21"/>
  <c r="W38" i="21"/>
  <c r="AC44" i="21"/>
  <c r="W44" i="21"/>
  <c r="AC46" i="21"/>
  <c r="W46" i="21"/>
  <c r="D14" i="59"/>
  <c r="C15" i="59"/>
  <c r="D18" i="59"/>
  <c r="C19" i="59"/>
  <c r="F30" i="6"/>
  <c r="E28" i="6"/>
  <c r="D46" i="59"/>
  <c r="C47" i="59"/>
  <c r="D43" i="59"/>
  <c r="T43" i="59"/>
  <c r="D38" i="59"/>
  <c r="C39" i="59"/>
  <c r="AA25" i="37"/>
  <c r="S25" i="37"/>
  <c r="U25" i="37"/>
  <c r="AB25" i="37"/>
  <c r="D35" i="59"/>
  <c r="T35" i="59"/>
  <c r="AB34" i="35"/>
  <c r="U34" i="35"/>
  <c r="AC27" i="33"/>
  <c r="W27" i="33"/>
  <c r="S44" i="33"/>
  <c r="AA44" i="33"/>
  <c r="AB46" i="33"/>
  <c r="U46" i="33"/>
  <c r="S13" i="34"/>
  <c r="AA13" i="34"/>
  <c r="AB29" i="34"/>
  <c r="U29" i="34"/>
  <c r="S31" i="34"/>
  <c r="AA31" i="34"/>
  <c r="AA45" i="34"/>
  <c r="S45" i="34"/>
  <c r="AC47" i="34"/>
  <c r="W47" i="34"/>
  <c r="W13" i="37"/>
  <c r="AC13" i="37"/>
  <c r="S38" i="37"/>
  <c r="AA38" i="37"/>
  <c r="W27" i="37"/>
  <c r="AC27" i="37"/>
  <c r="AB27" i="34"/>
  <c r="U27" i="34"/>
  <c r="AC39" i="39"/>
  <c r="W39" i="39"/>
  <c r="S27" i="39"/>
  <c r="AA27" i="39"/>
  <c r="W27" i="39"/>
  <c r="AC27" i="39"/>
  <c r="W35" i="40"/>
  <c r="AC35" i="40"/>
  <c r="F46" i="36"/>
  <c r="E52" i="37"/>
  <c r="F67" i="40"/>
  <c r="G65" i="40"/>
  <c r="E48" i="35"/>
  <c r="AZ15" i="3"/>
  <c r="F12" i="39"/>
  <c r="S12" i="39" s="1"/>
  <c r="H12" i="39"/>
  <c r="M9" i="1"/>
  <c r="AP16" i="1"/>
  <c r="F22" i="11" s="1"/>
  <c r="H16" i="1"/>
  <c r="E58" i="21"/>
  <c r="AC9" i="21"/>
  <c r="W9" i="21"/>
  <c r="AC13" i="21"/>
  <c r="W13" i="21"/>
  <c r="AC17" i="21"/>
  <c r="W17" i="21"/>
  <c r="AA23" i="21"/>
  <c r="S23" i="21"/>
  <c r="AB27" i="21"/>
  <c r="U27" i="21"/>
  <c r="AB31" i="21"/>
  <c r="U31" i="21"/>
  <c r="AB44" i="21"/>
  <c r="U44" i="21"/>
  <c r="T23" i="59"/>
  <c r="D23" i="59"/>
  <c r="P49" i="59"/>
  <c r="P48" i="59"/>
  <c r="C69" i="59"/>
  <c r="D69" i="59" s="1"/>
  <c r="D70" i="59"/>
  <c r="AA19" i="21"/>
  <c r="S19" i="21"/>
  <c r="H23" i="21"/>
  <c r="F85" i="21"/>
  <c r="G85" i="21" s="1"/>
  <c r="AA27" i="21"/>
  <c r="S27" i="21"/>
  <c r="AA29" i="21"/>
  <c r="S29" i="21"/>
  <c r="AA31" i="21"/>
  <c r="S31" i="21"/>
  <c r="AA38" i="21"/>
  <c r="S38" i="21"/>
  <c r="AA44" i="21"/>
  <c r="S44" i="21"/>
  <c r="AA46" i="21"/>
  <c r="S46" i="21"/>
  <c r="D6" i="59"/>
  <c r="C5" i="59"/>
  <c r="C9" i="59"/>
  <c r="D9" i="59" s="1"/>
  <c r="D10" i="59"/>
  <c r="D26" i="59"/>
  <c r="C27" i="59"/>
  <c r="W25" i="37"/>
  <c r="AC25" i="37"/>
  <c r="AA34" i="35"/>
  <c r="S34" i="35"/>
  <c r="S27" i="33"/>
  <c r="AA27" i="33"/>
  <c r="AC44" i="33"/>
  <c r="W44" i="33"/>
  <c r="AA46" i="33"/>
  <c r="S46" i="33"/>
  <c r="W13" i="34"/>
  <c r="AC13" i="34"/>
  <c r="S29" i="34"/>
  <c r="AA29" i="34"/>
  <c r="AB31" i="34"/>
  <c r="U31" i="34"/>
  <c r="W45" i="34"/>
  <c r="AC45" i="34"/>
  <c r="AA47" i="34"/>
  <c r="S47" i="34"/>
  <c r="S13" i="37"/>
  <c r="AA13" i="37"/>
  <c r="AC38" i="37"/>
  <c r="W38" i="37"/>
  <c r="AA27" i="37"/>
  <c r="S27" i="37"/>
  <c r="U27" i="39"/>
  <c r="AB27" i="39"/>
  <c r="S35" i="40"/>
  <c r="AA35" i="40"/>
  <c r="AC14" i="40"/>
  <c r="W14" i="40"/>
  <c r="S27" i="34"/>
  <c r="AA27" i="34"/>
  <c r="E58" i="33"/>
  <c r="F59" i="34"/>
  <c r="J72" i="39"/>
  <c r="K70" i="39"/>
  <c r="B40" i="1"/>
  <c r="F24" i="15" s="1"/>
  <c r="C24" i="15" s="1"/>
  <c r="AC15" i="21"/>
  <c r="W15" i="21"/>
  <c r="AB15" i="21"/>
  <c r="U15" i="21"/>
  <c r="S15" i="21"/>
  <c r="AA15" i="21"/>
  <c r="AC25" i="39"/>
  <c r="W25" i="39"/>
  <c r="AA25" i="39"/>
  <c r="S25" i="39"/>
  <c r="U25" i="39"/>
  <c r="AB25" i="39"/>
  <c r="AB17" i="39"/>
  <c r="U17" i="39"/>
  <c r="S17" i="39"/>
  <c r="AA17" i="39"/>
  <c r="AC17" i="39"/>
  <c r="W17" i="39"/>
  <c r="A9" i="64"/>
  <c r="A9" i="51"/>
  <c r="B9" i="63" s="1"/>
  <c r="AZ13" i="3"/>
  <c r="AZ5" i="3" s="1"/>
  <c r="BA5" i="3"/>
  <c r="E27" i="6" s="1"/>
  <c r="C13" i="39"/>
  <c r="G3" i="46"/>
  <c r="F33" i="12"/>
  <c r="C34" i="12" s="1"/>
  <c r="D33" i="12" s="1"/>
  <c r="F24" i="43"/>
  <c r="C26" i="43" s="1"/>
  <c r="D24" i="43" s="1"/>
  <c r="F18" i="11"/>
  <c r="C18" i="11" s="1"/>
  <c r="AC12" i="39"/>
  <c r="W12" i="39"/>
  <c r="W12" i="40"/>
  <c r="AC12" i="40"/>
  <c r="U12" i="39"/>
  <c r="AB12" i="39"/>
  <c r="E12" i="6"/>
  <c r="E14" i="6"/>
  <c r="E15" i="6"/>
  <c r="E13" i="6"/>
  <c r="E8" i="6"/>
  <c r="E10" i="6"/>
  <c r="E11" i="6"/>
  <c r="E5" i="6"/>
  <c r="O6" i="1"/>
  <c r="C15" i="43"/>
  <c r="AA12" i="39"/>
  <c r="AA12" i="40"/>
  <c r="S12" i="40"/>
  <c r="U12" i="40"/>
  <c r="AB12" i="40"/>
  <c r="L47" i="44"/>
  <c r="F17" i="11"/>
  <c r="C17" i="11" s="1"/>
  <c r="F11" i="15"/>
  <c r="C52" i="15" s="1"/>
  <c r="M11" i="15"/>
  <c r="J10" i="15" s="1"/>
  <c r="F13" i="44"/>
  <c r="C12" i="44" s="1"/>
  <c r="C7" i="44" s="1"/>
  <c r="M13" i="44"/>
  <c r="J12" i="44" s="1"/>
  <c r="J7" i="44" s="1"/>
  <c r="Q63" i="44"/>
  <c r="Q76" i="44"/>
  <c r="Q54" i="44"/>
  <c r="F1" i="44"/>
  <c r="P17" i="46"/>
  <c r="N17" i="46"/>
  <c r="O17" i="46"/>
  <c r="M17" i="46"/>
  <c r="Q75" i="44"/>
  <c r="Q62" i="44"/>
  <c r="M26" i="15"/>
  <c r="F9" i="15"/>
  <c r="M29" i="15"/>
  <c r="F37" i="15"/>
  <c r="F26" i="15"/>
  <c r="F35" i="15"/>
  <c r="F40" i="15"/>
  <c r="J36" i="15"/>
  <c r="M24" i="15"/>
  <c r="M8" i="15"/>
  <c r="M21" i="15"/>
  <c r="M6" i="15"/>
  <c r="L47" i="15"/>
  <c r="F41" i="15"/>
  <c r="M9" i="15"/>
  <c r="L48" i="15"/>
  <c r="C14" i="15"/>
  <c r="F42" i="15"/>
  <c r="M28" i="15"/>
  <c r="F36" i="15"/>
  <c r="M23" i="15"/>
  <c r="F16" i="15"/>
  <c r="F43" i="15"/>
  <c r="M22" i="15"/>
  <c r="F13" i="15"/>
  <c r="F7" i="15"/>
  <c r="M27" i="15"/>
  <c r="J15" i="15"/>
  <c r="F38" i="15"/>
  <c r="F6" i="15"/>
  <c r="F8" i="15"/>
  <c r="F21" i="43" l="1"/>
  <c r="C23" i="43" s="1"/>
  <c r="D21" i="43" s="1"/>
  <c r="F26" i="12"/>
  <c r="C27" i="12" s="1"/>
  <c r="D26" i="12" s="1"/>
  <c r="C32" i="12" s="1"/>
  <c r="D30" i="12" s="1"/>
  <c r="F26" i="44"/>
  <c r="C26" i="44" s="1"/>
  <c r="J57" i="15"/>
  <c r="J55" i="15" s="1"/>
  <c r="J58" i="15" s="1"/>
  <c r="Q51" i="15" s="1"/>
  <c r="J53" i="15"/>
  <c r="J60" i="15"/>
  <c r="Q49" i="15" s="1"/>
  <c r="L57" i="15"/>
  <c r="I54" i="15"/>
  <c r="J59" i="15"/>
  <c r="L56" i="15"/>
  <c r="L60" i="15"/>
  <c r="F50" i="15"/>
  <c r="Q72" i="15"/>
  <c r="F70" i="15"/>
  <c r="C6" i="15"/>
  <c r="C10" i="15" s="1"/>
  <c r="C5" i="15" s="1"/>
  <c r="F67" i="15"/>
  <c r="F68" i="15"/>
  <c r="C34" i="15"/>
  <c r="F62" i="15"/>
  <c r="C61" i="15" s="1"/>
  <c r="F65" i="15"/>
  <c r="L58" i="15"/>
  <c r="L59" i="15"/>
  <c r="C27" i="15"/>
  <c r="F63" i="15"/>
  <c r="F64" i="15"/>
  <c r="J20" i="15"/>
  <c r="F49" i="15"/>
  <c r="M7" i="15"/>
  <c r="J6" i="15" s="1"/>
  <c r="J5" i="15" s="1"/>
  <c r="C19" i="15"/>
  <c r="C20" i="15" s="1"/>
  <c r="C26" i="15" s="1"/>
  <c r="C15" i="15"/>
  <c r="C18" i="15"/>
  <c r="F58" i="33"/>
  <c r="G58" i="33" s="1"/>
  <c r="H58" i="33" s="1"/>
  <c r="I58" i="33" s="1"/>
  <c r="J58" i="33" s="1"/>
  <c r="K58" i="33" s="1"/>
  <c r="L58" i="33" s="1"/>
  <c r="M58" i="33" s="1"/>
  <c r="N58" i="33" s="1"/>
  <c r="O58" i="33" s="1"/>
  <c r="O9" i="1"/>
  <c r="P9" i="1"/>
  <c r="AB23" i="21"/>
  <c r="U23" i="21"/>
  <c r="H65" i="40"/>
  <c r="G67" i="40"/>
  <c r="F52" i="37"/>
  <c r="G52" i="37" s="1"/>
  <c r="H52" i="37" s="1"/>
  <c r="I52" i="37" s="1"/>
  <c r="J52" i="37" s="1"/>
  <c r="K52" i="37" s="1"/>
  <c r="L52" i="37" s="1"/>
  <c r="M52" i="37" s="1"/>
  <c r="N52" i="37" s="1"/>
  <c r="O52" i="37" s="1"/>
  <c r="G46" i="36"/>
  <c r="D39" i="59"/>
  <c r="T39" i="59"/>
  <c r="D47" i="59"/>
  <c r="T47" i="59"/>
  <c r="K14" i="1"/>
  <c r="E30" i="6"/>
  <c r="D19" i="59"/>
  <c r="T19" i="59"/>
  <c r="D15" i="59"/>
  <c r="T15" i="59"/>
  <c r="C19" i="11"/>
  <c r="C20" i="11" s="1"/>
  <c r="C21" i="11" s="1"/>
  <c r="C22" i="11" s="1"/>
  <c r="C23" i="11" s="1"/>
  <c r="B2" i="11" s="1"/>
  <c r="L70" i="39"/>
  <c r="K72" i="39"/>
  <c r="H7" i="37"/>
  <c r="G59" i="34"/>
  <c r="D27" i="59"/>
  <c r="T27" i="59"/>
  <c r="D5" i="59"/>
  <c r="M20" i="46"/>
  <c r="C19" i="46" s="1"/>
  <c r="F58" i="21"/>
  <c r="F48" i="3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476" i="3"/>
  <c r="M6" i="3"/>
  <c r="E475" i="3"/>
  <c r="E241" i="3"/>
  <c r="E421" i="3"/>
  <c r="E69" i="3"/>
  <c r="E206" i="3"/>
  <c r="E446" i="3"/>
  <c r="E132" i="3"/>
  <c r="E152" i="3"/>
  <c r="E333" i="3"/>
  <c r="E437" i="3"/>
  <c r="E91" i="3"/>
  <c r="E46" i="3"/>
  <c r="E115" i="3"/>
  <c r="E221" i="3"/>
  <c r="E359" i="3"/>
  <c r="E457" i="3"/>
  <c r="E195" i="3"/>
  <c r="E31" i="3"/>
  <c r="E391" i="3"/>
  <c r="X6" i="3"/>
  <c r="E321" i="3"/>
  <c r="AA6" i="3"/>
  <c r="E127" i="3"/>
  <c r="AD6" i="3"/>
  <c r="E299" i="3"/>
  <c r="E215" i="3"/>
  <c r="E327"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I6" i="3"/>
  <c r="H6" i="3" s="1"/>
  <c r="D21" i="12"/>
  <c r="C21" i="12" s="1"/>
  <c r="D12" i="11"/>
  <c r="C12" i="11" s="1"/>
  <c r="E65" i="39"/>
  <c r="E60" i="40"/>
  <c r="E66" i="39"/>
  <c r="E61" i="40"/>
  <c r="E22" i="46"/>
  <c r="E101" i="46"/>
  <c r="F101" i="46"/>
  <c r="B113" i="46"/>
  <c r="F22" i="46"/>
  <c r="C101" i="46"/>
  <c r="H22" i="46"/>
  <c r="D101" i="46"/>
  <c r="S5" i="46"/>
  <c r="AI11" i="46"/>
  <c r="AI13" i="46" s="1"/>
  <c r="AA11" i="46"/>
  <c r="AA13" i="46" s="1"/>
  <c r="S3" i="46"/>
  <c r="T3" i="46" s="1"/>
  <c r="V3" i="46" s="1"/>
  <c r="AH11" i="46"/>
  <c r="AH13" i="46" s="1"/>
  <c r="AD11" i="46"/>
  <c r="AD13" i="46" s="1"/>
  <c r="Z11" i="46"/>
  <c r="Z13" i="46" s="1"/>
  <c r="S4" i="46"/>
  <c r="T4" i="46" s="1"/>
  <c r="V4" i="46" s="1"/>
  <c r="H101" i="46"/>
  <c r="L101" i="46"/>
  <c r="N104" i="45"/>
  <c r="J22" i="46"/>
  <c r="C23" i="46"/>
  <c r="C21" i="46" s="1"/>
  <c r="G22" i="46"/>
  <c r="AE11" i="46"/>
  <c r="AE13" i="46" s="1"/>
  <c r="S6" i="46"/>
  <c r="T6" i="46" s="1"/>
  <c r="V6" i="46" s="1"/>
  <c r="S2" i="46"/>
  <c r="AG11" i="46"/>
  <c r="AG13" i="46" s="1"/>
  <c r="N101" i="46"/>
  <c r="Z7" i="46"/>
  <c r="I101" i="46"/>
  <c r="G101" i="46"/>
  <c r="AB11" i="46"/>
  <c r="AB13" i="46" s="1"/>
  <c r="AJ11" i="46"/>
  <c r="AJ13" i="46" s="1"/>
  <c r="S7" i="46"/>
  <c r="AC11" i="46"/>
  <c r="AC13" i="46" s="1"/>
  <c r="M101" i="46"/>
  <c r="AF11" i="46"/>
  <c r="AF13" i="46" s="1"/>
  <c r="Y11" i="46"/>
  <c r="Y13" i="46" s="1"/>
  <c r="K101" i="46"/>
  <c r="J101" i="46"/>
  <c r="K20" i="6"/>
  <c r="M20" i="6" s="1"/>
  <c r="I20" i="6" s="1"/>
  <c r="S20" i="6" s="1"/>
  <c r="K21" i="6"/>
  <c r="M21" i="6" s="1"/>
  <c r="I21" i="6" s="1"/>
  <c r="S21" i="6" s="1"/>
  <c r="K23" i="6"/>
  <c r="M23" i="6" s="1"/>
  <c r="I23" i="6" s="1"/>
  <c r="S23" i="6" s="1"/>
  <c r="K25" i="6"/>
  <c r="M25" i="6" s="1"/>
  <c r="I25" i="6" s="1"/>
  <c r="S25" i="6" s="1"/>
  <c r="K26" i="6"/>
  <c r="M26" i="6" s="1"/>
  <c r="I26" i="6" s="1"/>
  <c r="S26" i="6" s="1"/>
  <c r="K24" i="6"/>
  <c r="M24" i="6" s="1"/>
  <c r="I24" i="6" s="1"/>
  <c r="S24" i="6" s="1"/>
  <c r="K22" i="6"/>
  <c r="M22" i="6" s="1"/>
  <c r="I22" i="6" s="1"/>
  <c r="S22" i="6" s="1"/>
  <c r="E31" i="6"/>
  <c r="K19" i="6"/>
  <c r="P6" i="1"/>
  <c r="E63" i="39"/>
  <c r="E58" i="40"/>
  <c r="F27" i="6"/>
  <c r="F31" i="6" s="1"/>
  <c r="E53" i="40"/>
  <c r="E16" i="6"/>
  <c r="E58" i="39"/>
  <c r="E62" i="40"/>
  <c r="E67" i="39"/>
  <c r="E59" i="40"/>
  <c r="E64" i="39"/>
  <c r="H13" i="39"/>
  <c r="F13" i="39"/>
  <c r="J13" i="39"/>
  <c r="AY6" i="3"/>
  <c r="E3" i="6"/>
  <c r="J20" i="44"/>
  <c r="J28" i="44"/>
  <c r="J26" i="44"/>
  <c r="C40" i="44"/>
  <c r="C34" i="44"/>
  <c r="C16" i="15"/>
  <c r="L52" i="44"/>
  <c r="C17" i="15"/>
  <c r="C23" i="15" l="1"/>
  <c r="C29" i="15" s="1"/>
  <c r="C36" i="15" s="1"/>
  <c r="C32" i="15"/>
  <c r="C38" i="15"/>
  <c r="J26" i="15"/>
  <c r="J29" i="15" s="1"/>
  <c r="J18" i="15"/>
  <c r="Q74" i="15"/>
  <c r="Q61" i="15"/>
  <c r="Q67" i="15"/>
  <c r="Q58" i="15"/>
  <c r="Q53" i="15"/>
  <c r="F1" i="15"/>
  <c r="G48" i="35"/>
  <c r="H48" i="35" s="1"/>
  <c r="I48" i="35" s="1"/>
  <c r="J48" i="35" s="1"/>
  <c r="K48" i="35" s="1"/>
  <c r="L48" i="35" s="1"/>
  <c r="M48" i="35" s="1"/>
  <c r="N48" i="35" s="1"/>
  <c r="O48" i="35" s="1"/>
  <c r="F7" i="35"/>
  <c r="J7" i="35"/>
  <c r="C36" i="46"/>
  <c r="C34" i="46"/>
  <c r="C35" i="46"/>
  <c r="C33" i="46"/>
  <c r="C39" i="46"/>
  <c r="C38" i="46"/>
  <c r="T10" i="46"/>
  <c r="V10" i="46" s="1"/>
  <c r="T14" i="46"/>
  <c r="V14" i="46" s="1"/>
  <c r="T9" i="46"/>
  <c r="V9" i="46" s="1"/>
  <c r="T13" i="46"/>
  <c r="V13" i="46" s="1"/>
  <c r="C37" i="46"/>
  <c r="T8" i="46"/>
  <c r="V8" i="46" s="1"/>
  <c r="T12" i="46"/>
  <c r="V12" i="46" s="1"/>
  <c r="T16" i="46"/>
  <c r="V16" i="46" s="1"/>
  <c r="T11" i="46"/>
  <c r="V11" i="46" s="1"/>
  <c r="T15" i="46"/>
  <c r="V15" i="46" s="1"/>
  <c r="F7" i="33"/>
  <c r="AB7" i="37"/>
  <c r="T42" i="37" s="1"/>
  <c r="G42" i="37" s="1"/>
  <c r="U7" i="37"/>
  <c r="M70" i="39"/>
  <c r="L72" i="39"/>
  <c r="M14" i="1"/>
  <c r="K16" i="1"/>
  <c r="H46" i="36"/>
  <c r="I65" i="40"/>
  <c r="H67" i="40"/>
  <c r="J7" i="33"/>
  <c r="J24" i="15"/>
  <c r="T7" i="46"/>
  <c r="V7" i="46" s="1"/>
  <c r="T2" i="46"/>
  <c r="V2" i="46" s="1"/>
  <c r="T5" i="46"/>
  <c r="V5" i="46" s="1"/>
  <c r="AC6" i="3"/>
  <c r="E6" i="3" s="1"/>
  <c r="J7" i="37"/>
  <c r="H7" i="35"/>
  <c r="G58" i="21"/>
  <c r="H59" i="34"/>
  <c r="F7" i="37"/>
  <c r="H7" i="33"/>
  <c r="Q62" i="15"/>
  <c r="Q75" i="15"/>
  <c r="C48" i="15"/>
  <c r="C47" i="15" s="1"/>
  <c r="C59" i="15" s="1"/>
  <c r="C33" i="15"/>
  <c r="C31" i="15" s="1"/>
  <c r="AC13" i="39"/>
  <c r="W13" i="39"/>
  <c r="U13" i="39"/>
  <c r="AB13" i="39"/>
  <c r="E68" i="39"/>
  <c r="C15" i="12"/>
  <c r="J104" i="46"/>
  <c r="J103" i="46"/>
  <c r="J105" i="46"/>
  <c r="J106" i="46"/>
  <c r="J107" i="46"/>
  <c r="J102" i="46"/>
  <c r="J109" i="46"/>
  <c r="M107" i="46"/>
  <c r="M102" i="46"/>
  <c r="M109" i="46"/>
  <c r="M106" i="46"/>
  <c r="M103" i="46"/>
  <c r="M105" i="46"/>
  <c r="M104" i="46"/>
  <c r="C29" i="46"/>
  <c r="F103" i="46"/>
  <c r="F105" i="46"/>
  <c r="F107" i="46"/>
  <c r="F109" i="46"/>
  <c r="F104" i="46"/>
  <c r="F106" i="46"/>
  <c r="F102" i="46"/>
  <c r="D22" i="46"/>
  <c r="D16" i="12"/>
  <c r="C33" i="21"/>
  <c r="L38" i="9"/>
  <c r="B14" i="66" s="1"/>
  <c r="B1" i="66" s="1"/>
  <c r="E6" i="6"/>
  <c r="D16" i="43"/>
  <c r="C16" i="43" s="1"/>
  <c r="D10" i="11"/>
  <c r="C21" i="4"/>
  <c r="O5" i="54" s="1"/>
  <c r="B45" i="63" s="1"/>
  <c r="D45" i="9"/>
  <c r="D46" i="9"/>
  <c r="I102" i="46"/>
  <c r="I109" i="46"/>
  <c r="I107" i="46"/>
  <c r="I104" i="46"/>
  <c r="I106" i="46"/>
  <c r="I103" i="46"/>
  <c r="I105" i="46"/>
  <c r="N109" i="46"/>
  <c r="N103" i="46"/>
  <c r="N104" i="46"/>
  <c r="N106" i="46"/>
  <c r="N102" i="46"/>
  <c r="N105" i="46"/>
  <c r="N107" i="46"/>
  <c r="H102" i="46"/>
  <c r="H107" i="46"/>
  <c r="H103" i="46"/>
  <c r="H104" i="46"/>
  <c r="H106" i="46"/>
  <c r="H109" i="46"/>
  <c r="H105" i="46"/>
  <c r="AY530" i="3"/>
  <c r="AY486" i="3"/>
  <c r="AY549" i="3"/>
  <c r="AY82" i="3"/>
  <c r="AY87" i="3"/>
  <c r="AY80" i="3"/>
  <c r="AY504" i="3"/>
  <c r="AY537" i="3"/>
  <c r="AY10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BL6"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56" i="3"/>
  <c r="AY376" i="3"/>
  <c r="AY464" i="3"/>
  <c r="AY389" i="3"/>
  <c r="AY81" i="3"/>
  <c r="AY155" i="3"/>
  <c r="AY295" i="3"/>
  <c r="AY302" i="3"/>
  <c r="AY342" i="3"/>
  <c r="AY450" i="3"/>
  <c r="AY194" i="3"/>
  <c r="AY122" i="3"/>
  <c r="AY279" i="3"/>
  <c r="AY307" i="3"/>
  <c r="AY457" i="3"/>
  <c r="AY438" i="3"/>
  <c r="AY278" i="3"/>
  <c r="AY336" i="3"/>
  <c r="AY253" i="3"/>
  <c r="AY543" i="3"/>
  <c r="AY35" i="3"/>
  <c r="AY124" i="3"/>
  <c r="AY525" i="3"/>
  <c r="AY428" i="3"/>
  <c r="AY494" i="3"/>
  <c r="AY566" i="3"/>
  <c r="AY212" i="3"/>
  <c r="AY488" i="3"/>
  <c r="BB6" i="3"/>
  <c r="AY568" i="3"/>
  <c r="AY251" i="3"/>
  <c r="AY451" i="3"/>
  <c r="AY296" i="3"/>
  <c r="AY54" i="3"/>
  <c r="AY353" i="3"/>
  <c r="AY460" i="3"/>
  <c r="AY338" i="3"/>
  <c r="AY312" i="3"/>
  <c r="AY284" i="3"/>
  <c r="AY444" i="3"/>
  <c r="AY522" i="3"/>
  <c r="AY89" i="3"/>
  <c r="AY306" i="3"/>
  <c r="AY102" i="3"/>
  <c r="AY261" i="3"/>
  <c r="AY243" i="3"/>
  <c r="AY426" i="3"/>
  <c r="AY373" i="3"/>
  <c r="AY301" i="3"/>
  <c r="AY570" i="3"/>
  <c r="AY571" i="3"/>
  <c r="BM6" i="3"/>
  <c r="AY177" i="3"/>
  <c r="AY454" i="3"/>
  <c r="AY554" i="3"/>
  <c r="AY423" i="3"/>
  <c r="AY539" i="3"/>
  <c r="AY228" i="3"/>
  <c r="AY532" i="3"/>
  <c r="AY18" i="3"/>
  <c r="AY507" i="3"/>
  <c r="AY300" i="3"/>
  <c r="D3" i="6"/>
  <c r="B4" i="11" s="1"/>
  <c r="AY269" i="3"/>
  <c r="AY16" i="3"/>
  <c r="AY412" i="3"/>
  <c r="BC6" i="3"/>
  <c r="AY201" i="3"/>
  <c r="AY352" i="3"/>
  <c r="AY330" i="3"/>
  <c r="AY91" i="3"/>
  <c r="AY449" i="3"/>
  <c r="AY273" i="3"/>
  <c r="AY526" i="3"/>
  <c r="AY48" i="3"/>
  <c r="AY19" i="3"/>
  <c r="AY215" i="3"/>
  <c r="AY513" i="3"/>
  <c r="AY61" i="3"/>
  <c r="AY347" i="3"/>
  <c r="AY23" i="3"/>
  <c r="AY345" i="3"/>
  <c r="AY237" i="3"/>
  <c r="AY470" i="3"/>
  <c r="AY173" i="3"/>
  <c r="AY119" i="3"/>
  <c r="AY59" i="3"/>
  <c r="AY533" i="3"/>
  <c r="AY79" i="3"/>
  <c r="AY134" i="3"/>
  <c r="AY419" i="3"/>
  <c r="AY33" i="3"/>
  <c r="BG6" i="3"/>
  <c r="AY196" i="3"/>
  <c r="AY165" i="3"/>
  <c r="AY466" i="3"/>
  <c r="AY469" i="3"/>
  <c r="AY514" i="3"/>
  <c r="AY509" i="3"/>
  <c r="AY260" i="3"/>
  <c r="AY263" i="3"/>
  <c r="AY499" i="3"/>
  <c r="AY524" i="3"/>
  <c r="AY391" i="3"/>
  <c r="AY231" i="3"/>
  <c r="AY564" i="3"/>
  <c r="S13" i="39"/>
  <c r="AA13" i="39"/>
  <c r="S6" i="1"/>
  <c r="M19" i="6"/>
  <c r="K27" i="6"/>
  <c r="K109" i="46"/>
  <c r="K104" i="46"/>
  <c r="K105" i="46"/>
  <c r="K102" i="46"/>
  <c r="K106" i="46"/>
  <c r="K107" i="46"/>
  <c r="K103" i="46"/>
  <c r="G104" i="46"/>
  <c r="G103" i="46"/>
  <c r="G109" i="46"/>
  <c r="G105" i="46"/>
  <c r="G102" i="46"/>
  <c r="G106" i="46"/>
  <c r="G107" i="46"/>
  <c r="L102" i="46"/>
  <c r="L105" i="46"/>
  <c r="L104" i="46"/>
  <c r="L106" i="46"/>
  <c r="L109" i="46"/>
  <c r="L103" i="46"/>
  <c r="L107" i="46"/>
  <c r="D103" i="46"/>
  <c r="D105" i="46"/>
  <c r="D107" i="46"/>
  <c r="D109" i="46"/>
  <c r="D102" i="46"/>
  <c r="D106" i="46"/>
  <c r="D104" i="46"/>
  <c r="C102" i="46"/>
  <c r="C104" i="46"/>
  <c r="C105" i="46"/>
  <c r="C107" i="46"/>
  <c r="C109" i="46"/>
  <c r="C103" i="46"/>
  <c r="C106" i="46"/>
  <c r="D115" i="46"/>
  <c r="E115" i="46" s="1"/>
  <c r="F115" i="46" s="1"/>
  <c r="G115" i="46" s="1"/>
  <c r="H115" i="46" s="1"/>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B116" i="46"/>
  <c r="C116" i="46" s="1"/>
  <c r="B118" i="46"/>
  <c r="C118" i="46" s="1"/>
  <c r="I118" i="46"/>
  <c r="J118" i="46" s="1"/>
  <c r="K118" i="46" s="1"/>
  <c r="L118" i="46" s="1"/>
  <c r="M118" i="46" s="1"/>
  <c r="B117" i="46"/>
  <c r="C117" i="46" s="1"/>
  <c r="I116" i="46"/>
  <c r="J116" i="46" s="1"/>
  <c r="K116" i="46" s="1"/>
  <c r="L116" i="46" s="1"/>
  <c r="M116" i="46" s="1"/>
  <c r="B115" i="46"/>
  <c r="G118" i="46"/>
  <c r="H118" i="46" s="1"/>
  <c r="E103" i="46"/>
  <c r="E105" i="46"/>
  <c r="E107" i="46"/>
  <c r="E109" i="46"/>
  <c r="E102" i="46"/>
  <c r="E106" i="46"/>
  <c r="E104" i="46"/>
  <c r="Q50" i="15"/>
  <c r="J14" i="15"/>
  <c r="J13" i="15" s="1"/>
  <c r="J23" i="15" s="1"/>
  <c r="Q69" i="44"/>
  <c r="L58" i="44"/>
  <c r="L61" i="44" s="1"/>
  <c r="B3" i="11"/>
  <c r="B5" i="11"/>
  <c r="AE7" i="1"/>
  <c r="J19" i="15" l="1"/>
  <c r="J17" i="15" s="1"/>
  <c r="C56" i="15"/>
  <c r="C63" i="15" s="1"/>
  <c r="C13" i="15"/>
  <c r="C65" i="15"/>
  <c r="C60" i="15"/>
  <c r="C58" i="15" s="1"/>
  <c r="U7" i="33"/>
  <c r="AB7" i="33"/>
  <c r="T48" i="33" s="1"/>
  <c r="G48" i="33" s="1"/>
  <c r="I59" i="34"/>
  <c r="J59" i="34" s="1"/>
  <c r="K59" i="34" s="1"/>
  <c r="L59" i="34" s="1"/>
  <c r="M59" i="34" s="1"/>
  <c r="N59" i="34" s="1"/>
  <c r="O59" i="34" s="1"/>
  <c r="H7" i="34"/>
  <c r="U7" i="35"/>
  <c r="AB7" i="35"/>
  <c r="T38" i="35" s="1"/>
  <c r="G38" i="35" s="1"/>
  <c r="S7" i="33"/>
  <c r="AA7" i="33"/>
  <c r="R48" i="33" s="1"/>
  <c r="E37" i="46"/>
  <c r="G37" i="46"/>
  <c r="I37" i="46" s="1"/>
  <c r="E39" i="46"/>
  <c r="G39" i="46"/>
  <c r="I39" i="46" s="1"/>
  <c r="G35" i="46"/>
  <c r="I35" i="46" s="1"/>
  <c r="E35" i="46"/>
  <c r="G36" i="46"/>
  <c r="I36" i="46" s="1"/>
  <c r="E36" i="46"/>
  <c r="S7" i="35"/>
  <c r="AA7" i="35"/>
  <c r="R38" i="35" s="1"/>
  <c r="S7" i="37"/>
  <c r="AA7" i="37"/>
  <c r="R42" i="37" s="1"/>
  <c r="F7" i="34"/>
  <c r="H58" i="21"/>
  <c r="AC7" i="37"/>
  <c r="V42" i="37" s="1"/>
  <c r="I42" i="37" s="1"/>
  <c r="W7" i="37"/>
  <c r="W7" i="33"/>
  <c r="AC7" i="33"/>
  <c r="V48" i="33" s="1"/>
  <c r="I48" i="33" s="1"/>
  <c r="I67" i="40"/>
  <c r="J65" i="40"/>
  <c r="I46" i="36"/>
  <c r="O14" i="1"/>
  <c r="O16" i="1" s="1"/>
  <c r="P14" i="1"/>
  <c r="P16" i="1" s="1"/>
  <c r="C13" i="12" s="1"/>
  <c r="C14" i="12" s="1"/>
  <c r="M16" i="1"/>
  <c r="M72" i="39"/>
  <c r="J9" i="39" s="1"/>
  <c r="N70" i="39"/>
  <c r="N72" i="39" s="1"/>
  <c r="G46" i="37"/>
  <c r="H46" i="37" s="1"/>
  <c r="G47" i="37"/>
  <c r="H47" i="37" s="1"/>
  <c r="G38" i="46"/>
  <c r="I38" i="46" s="1"/>
  <c r="E38" i="46"/>
  <c r="E33" i="46"/>
  <c r="G33" i="46"/>
  <c r="I33" i="46" s="1"/>
  <c r="G34" i="46"/>
  <c r="I34" i="46" s="1"/>
  <c r="E34" i="46"/>
  <c r="AC7" i="35"/>
  <c r="V38" i="35" s="1"/>
  <c r="I38" i="35" s="1"/>
  <c r="W7" i="35"/>
  <c r="C55" i="15"/>
  <c r="C64" i="15" s="1"/>
  <c r="J22" i="15"/>
  <c r="C115" i="46"/>
  <c r="D113" i="46" s="1"/>
  <c r="M27" i="6"/>
  <c r="I19" i="6"/>
  <c r="D19" i="6"/>
  <c r="D22" i="6"/>
  <c r="D24" i="6"/>
  <c r="D26" i="6"/>
  <c r="D28" i="6"/>
  <c r="D20" i="6"/>
  <c r="D23" i="6"/>
  <c r="K38" i="9"/>
  <c r="C14" i="66" s="1"/>
  <c r="B2" i="66" s="1"/>
  <c r="D25" i="6"/>
  <c r="D21" i="6"/>
  <c r="E63" i="40"/>
  <c r="C22" i="4"/>
  <c r="D11" i="6"/>
  <c r="D12" i="6"/>
  <c r="H25" i="6"/>
  <c r="D9" i="6"/>
  <c r="D14" i="6"/>
  <c r="D15" i="6"/>
  <c r="H26" i="6"/>
  <c r="E45" i="9"/>
  <c r="F45" i="9"/>
  <c r="F46" i="9"/>
  <c r="E46" i="9"/>
  <c r="D10" i="6"/>
  <c r="H24" i="6"/>
  <c r="D5" i="6"/>
  <c r="H20" i="6"/>
  <c r="D29" i="6"/>
  <c r="H21" i="6"/>
  <c r="H19" i="6"/>
  <c r="D13" i="6"/>
  <c r="D6" i="6"/>
  <c r="H22" i="6"/>
  <c r="D8" i="6"/>
  <c r="H23" i="6"/>
  <c r="C7" i="66"/>
  <c r="C8" i="66"/>
  <c r="C16" i="12"/>
  <c r="D19" i="12"/>
  <c r="C19" i="12" s="1"/>
  <c r="S16" i="1"/>
  <c r="T6" i="1" s="1"/>
  <c r="D22" i="12"/>
  <c r="C22" i="12" s="1"/>
  <c r="C20" i="12" s="1"/>
  <c r="D13" i="11"/>
  <c r="C13" i="11" s="1"/>
  <c r="F33" i="21"/>
  <c r="H33" i="21"/>
  <c r="J33" i="21"/>
  <c r="E29" i="46"/>
  <c r="C30" i="46"/>
  <c r="E30" i="46" s="1"/>
  <c r="C27" i="46" s="1"/>
  <c r="C17" i="12"/>
  <c r="Q68" i="44"/>
  <c r="Q59" i="44"/>
  <c r="F46" i="44"/>
  <c r="F7" i="67"/>
  <c r="J16" i="15" l="1"/>
  <c r="J25" i="15" s="1"/>
  <c r="J35" i="15"/>
  <c r="C37" i="15"/>
  <c r="C30" i="15" s="1"/>
  <c r="C39" i="15" s="1"/>
  <c r="Q70" i="15" s="1"/>
  <c r="Q71" i="15"/>
  <c r="J31" i="44"/>
  <c r="Q58" i="44" s="1"/>
  <c r="Q64" i="44" s="1"/>
  <c r="C57" i="15"/>
  <c r="C66" i="15" s="1"/>
  <c r="C67" i="15" s="1"/>
  <c r="C70" i="15" s="1"/>
  <c r="W9" i="39"/>
  <c r="AC9" i="39"/>
  <c r="V49" i="39" s="1"/>
  <c r="I49" i="39" s="1"/>
  <c r="I53" i="39" s="1"/>
  <c r="J53" i="39" s="1"/>
  <c r="I42" i="35"/>
  <c r="J42" i="35" s="1"/>
  <c r="J67" i="40"/>
  <c r="K65" i="40"/>
  <c r="I52" i="33"/>
  <c r="J52" i="33" s="1"/>
  <c r="AA7" i="34"/>
  <c r="R49" i="34" s="1"/>
  <c r="S7" i="34"/>
  <c r="E38" i="35"/>
  <c r="I43" i="35" s="1"/>
  <c r="J43" i="35" s="1"/>
  <c r="R39" i="35"/>
  <c r="E48" i="33"/>
  <c r="I53" i="33" s="1"/>
  <c r="J53" i="33" s="1"/>
  <c r="R49" i="33"/>
  <c r="G42" i="35"/>
  <c r="H42" i="35" s="1"/>
  <c r="G43" i="35"/>
  <c r="H43" i="35" s="1"/>
  <c r="U7" i="34"/>
  <c r="AB7" i="34"/>
  <c r="T49" i="34" s="1"/>
  <c r="G49" i="34" s="1"/>
  <c r="R26" i="6"/>
  <c r="H9" i="39"/>
  <c r="F9" i="39"/>
  <c r="N16" i="1"/>
  <c r="C29" i="43" s="1"/>
  <c r="C13" i="43"/>
  <c r="L16" i="1"/>
  <c r="J46" i="36"/>
  <c r="I46" i="37"/>
  <c r="J46" i="37" s="1"/>
  <c r="I58" i="21"/>
  <c r="E42" i="37"/>
  <c r="I47" i="37" s="1"/>
  <c r="J47" i="37" s="1"/>
  <c r="R43" i="37"/>
  <c r="J7" i="34"/>
  <c r="G52" i="33"/>
  <c r="H52" i="33" s="1"/>
  <c r="G53" i="33"/>
  <c r="H53" i="33" s="1"/>
  <c r="C40" i="15"/>
  <c r="B2" i="15" s="1"/>
  <c r="B3" i="15" s="1"/>
  <c r="J39" i="15"/>
  <c r="J40" i="15" s="1"/>
  <c r="C18" i="12"/>
  <c r="C23" i="12" s="1"/>
  <c r="E4" i="67"/>
  <c r="U33" i="21"/>
  <c r="AB33" i="21"/>
  <c r="A6" i="51"/>
  <c r="B7" i="63" s="1"/>
  <c r="A20" i="64"/>
  <c r="A20" i="51"/>
  <c r="B15" i="63" s="1"/>
  <c r="N5" i="54"/>
  <c r="B43" i="63" s="1"/>
  <c r="A6" i="64"/>
  <c r="R21" i="6"/>
  <c r="D7" i="66"/>
  <c r="D8" i="66"/>
  <c r="R20" i="6"/>
  <c r="R22" i="6"/>
  <c r="I27" i="6"/>
  <c r="S19" i="6"/>
  <c r="S27" i="6" s="1"/>
  <c r="C26" i="46"/>
  <c r="W33" i="21"/>
  <c r="AC33" i="21"/>
  <c r="S33" i="21"/>
  <c r="AA33" i="21"/>
  <c r="T13" i="1"/>
  <c r="T9" i="1"/>
  <c r="T11" i="1"/>
  <c r="T12" i="1"/>
  <c r="T8" i="1"/>
  <c r="T10" i="1"/>
  <c r="T7" i="1"/>
  <c r="D16" i="6"/>
  <c r="H27" i="6"/>
  <c r="R25" i="6"/>
  <c r="R23" i="6"/>
  <c r="D30" i="6"/>
  <c r="R24" i="6"/>
  <c r="D27" i="6"/>
  <c r="D31" i="6" s="1"/>
  <c r="R19" i="6"/>
  <c r="L51" i="15"/>
  <c r="E7" i="67"/>
  <c r="C16" i="44"/>
  <c r="Q69" i="15" l="1"/>
  <c r="Q67" i="44"/>
  <c r="Q77" i="44" s="1"/>
  <c r="Q49" i="44"/>
  <c r="Q55" i="44" s="1"/>
  <c r="AC7" i="34"/>
  <c r="V49" i="34" s="1"/>
  <c r="I49" i="34" s="1"/>
  <c r="W7" i="34"/>
  <c r="C43" i="37"/>
  <c r="B3" i="37" s="1"/>
  <c r="B2" i="37" s="1"/>
  <c r="C42" i="37"/>
  <c r="J58" i="21"/>
  <c r="U9" i="39"/>
  <c r="AB9" i="39"/>
  <c r="T49" i="39" s="1"/>
  <c r="G49" i="39" s="1"/>
  <c r="G53" i="34"/>
  <c r="H53" i="34" s="1"/>
  <c r="G54" i="34"/>
  <c r="H54" i="34" s="1"/>
  <c r="C48" i="33"/>
  <c r="C49" i="33"/>
  <c r="B3" i="33" s="1"/>
  <c r="B2" i="33" s="1"/>
  <c r="C38" i="35"/>
  <c r="C39" i="35"/>
  <c r="B3" i="35" s="1"/>
  <c r="B2" i="35" s="1"/>
  <c r="L65" i="40"/>
  <c r="K67" i="40"/>
  <c r="E46" i="37"/>
  <c r="F46" i="37" s="1"/>
  <c r="E47" i="37"/>
  <c r="F47" i="37" s="1"/>
  <c r="K46" i="36"/>
  <c r="C17" i="43"/>
  <c r="C14" i="43"/>
  <c r="S9" i="39"/>
  <c r="AA9" i="39"/>
  <c r="R49" i="39" s="1"/>
  <c r="E53" i="33"/>
  <c r="F53" i="33" s="1"/>
  <c r="E52" i="33"/>
  <c r="F52" i="33" s="1"/>
  <c r="E43" i="35"/>
  <c r="F43" i="35" s="1"/>
  <c r="E42" i="35"/>
  <c r="F42" i="35" s="1"/>
  <c r="R50" i="34"/>
  <c r="E49" i="34"/>
  <c r="Q48" i="15"/>
  <c r="Q54" i="15" s="1"/>
  <c r="J42" i="15"/>
  <c r="J43" i="15" s="1"/>
  <c r="Q66" i="15"/>
  <c r="Q76" i="15" s="1"/>
  <c r="C46" i="15"/>
  <c r="Q57" i="15"/>
  <c r="Q63" i="15" s="1"/>
  <c r="C43" i="15"/>
  <c r="Q68" i="15"/>
  <c r="E3" i="67"/>
  <c r="C20" i="44"/>
  <c r="C17" i="44"/>
  <c r="R6" i="1"/>
  <c r="R16" i="1" s="1"/>
  <c r="R27" i="6"/>
  <c r="B2" i="46"/>
  <c r="I5" i="6"/>
  <c r="I6" i="6"/>
  <c r="C11" i="21" s="1"/>
  <c r="T16" i="1"/>
  <c r="B7" i="67"/>
  <c r="C18" i="43" l="1"/>
  <c r="C19" i="43" s="1"/>
  <c r="C25" i="43" s="1"/>
  <c r="C24" i="43" s="1"/>
  <c r="G53" i="39"/>
  <c r="H53" i="39" s="1"/>
  <c r="G54" i="39"/>
  <c r="H54" i="39" s="1"/>
  <c r="E54" i="34"/>
  <c r="F54" i="34" s="1"/>
  <c r="E53" i="34"/>
  <c r="F53" i="34" s="1"/>
  <c r="R50" i="39"/>
  <c r="E49" i="39"/>
  <c r="L46" i="36"/>
  <c r="L67" i="40"/>
  <c r="M65" i="40"/>
  <c r="K58" i="21"/>
  <c r="I53" i="34"/>
  <c r="J53" i="34" s="1"/>
  <c r="I54" i="34"/>
  <c r="J54" i="34" s="1"/>
  <c r="C49" i="34"/>
  <c r="C50" i="34"/>
  <c r="B3" i="34" s="1"/>
  <c r="B2" i="34" s="1"/>
  <c r="C21" i="44"/>
  <c r="B2" i="67"/>
  <c r="C22" i="44"/>
  <c r="C28" i="44" s="1"/>
  <c r="D4" i="46"/>
  <c r="B3" i="46"/>
  <c r="B4" i="46"/>
  <c r="H11" i="21"/>
  <c r="J11" i="21"/>
  <c r="F11" i="21"/>
  <c r="C22" i="43" l="1"/>
  <c r="C21" i="43" s="1"/>
  <c r="C28" i="43" s="1"/>
  <c r="C30" i="43" s="1"/>
  <c r="C32" i="43" s="1"/>
  <c r="B2" i="43" s="1"/>
  <c r="N65" i="40"/>
  <c r="N67" i="40" s="1"/>
  <c r="M67" i="40"/>
  <c r="I54" i="39"/>
  <c r="J54" i="39" s="1"/>
  <c r="E54" i="39"/>
  <c r="F54" i="39" s="1"/>
  <c r="E53" i="39"/>
  <c r="F53" i="39" s="1"/>
  <c r="L58" i="21"/>
  <c r="M58" i="21" s="1"/>
  <c r="N58" i="21" s="1"/>
  <c r="O58" i="21" s="1"/>
  <c r="J7" i="21" s="1"/>
  <c r="F7" i="21"/>
  <c r="H9" i="40"/>
  <c r="M46" i="36"/>
  <c r="N46" i="36" s="1"/>
  <c r="O46" i="36" s="1"/>
  <c r="F7" i="36"/>
  <c r="C49" i="39"/>
  <c r="C50" i="39"/>
  <c r="C25" i="44"/>
  <c r="C31" i="44" s="1"/>
  <c r="C15" i="44" s="1"/>
  <c r="AA11" i="21"/>
  <c r="S11" i="21"/>
  <c r="AB11" i="21"/>
  <c r="U11" i="21"/>
  <c r="AC11" i="21"/>
  <c r="W11" i="21"/>
  <c r="B3" i="67"/>
  <c r="B4" i="67"/>
  <c r="B3" i="43" l="1"/>
  <c r="B4" i="43"/>
  <c r="B5" i="43"/>
  <c r="V48" i="21"/>
  <c r="I48" i="21" s="1"/>
  <c r="R48" i="21"/>
  <c r="B58" i="39"/>
  <c r="F58" i="39" s="1"/>
  <c r="B63" i="39"/>
  <c r="F63" i="39" s="1"/>
  <c r="B66" i="39"/>
  <c r="F66" i="39" s="1"/>
  <c r="B64" i="39"/>
  <c r="F64" i="39" s="1"/>
  <c r="B61" i="39"/>
  <c r="F61" i="39" s="1"/>
  <c r="B62" i="39"/>
  <c r="F62" i="39" s="1"/>
  <c r="B59" i="39"/>
  <c r="F59" i="39" s="1"/>
  <c r="B65" i="39"/>
  <c r="F65" i="39" s="1"/>
  <c r="B67" i="39"/>
  <c r="F67" i="39" s="1"/>
  <c r="B60" i="39"/>
  <c r="F60" i="39" s="1"/>
  <c r="S7" i="36"/>
  <c r="AA7" i="36"/>
  <c r="R36" i="36" s="1"/>
  <c r="H7" i="36"/>
  <c r="J7" i="36"/>
  <c r="AA7" i="21"/>
  <c r="S7" i="21"/>
  <c r="J9" i="40"/>
  <c r="F9" i="40"/>
  <c r="AB9" i="40"/>
  <c r="T44" i="40" s="1"/>
  <c r="G44" i="40" s="1"/>
  <c r="U9" i="40"/>
  <c r="AC7" i="21"/>
  <c r="W7" i="21"/>
  <c r="H7" i="21"/>
  <c r="J16" i="44"/>
  <c r="J24" i="44" s="1"/>
  <c r="C35" i="44"/>
  <c r="C33" i="44" s="1"/>
  <c r="J21" i="44"/>
  <c r="J19" i="44" s="1"/>
  <c r="Q51" i="44"/>
  <c r="C38" i="44"/>
  <c r="C39" i="44"/>
  <c r="C43" i="44"/>
  <c r="Q72" i="44"/>
  <c r="I52" i="21"/>
  <c r="J52" i="21" s="1"/>
  <c r="E48" i="21"/>
  <c r="R49" i="21" l="1"/>
  <c r="C49" i="21" s="1"/>
  <c r="B3" i="21" s="1"/>
  <c r="S9" i="40"/>
  <c r="AA9" i="40"/>
  <c r="R44" i="40" s="1"/>
  <c r="W7" i="36"/>
  <c r="AC7" i="36"/>
  <c r="V36" i="36" s="1"/>
  <c r="I36" i="36" s="1"/>
  <c r="R37" i="36"/>
  <c r="E36" i="36"/>
  <c r="AB7" i="21"/>
  <c r="T48" i="21" s="1"/>
  <c r="G48" i="21" s="1"/>
  <c r="U7" i="21"/>
  <c r="G48" i="40"/>
  <c r="H48" i="40" s="1"/>
  <c r="W9" i="40"/>
  <c r="AC9" i="40"/>
  <c r="V44" i="40" s="1"/>
  <c r="I44" i="40" s="1"/>
  <c r="U7" i="36"/>
  <c r="AB7" i="36"/>
  <c r="T36" i="36" s="1"/>
  <c r="G36" i="36" s="1"/>
  <c r="F68" i="39"/>
  <c r="B2" i="39" s="1"/>
  <c r="J15" i="44"/>
  <c r="J25" i="44" s="1"/>
  <c r="J18" i="44" s="1"/>
  <c r="J27" i="44" s="1"/>
  <c r="C32" i="44"/>
  <c r="C42" i="44" s="1"/>
  <c r="Q71" i="44" s="1"/>
  <c r="Q70" i="44" s="1"/>
  <c r="E53" i="21"/>
  <c r="F53" i="21" s="1"/>
  <c r="E52" i="21"/>
  <c r="F52" i="21" s="1"/>
  <c r="I53" i="21"/>
  <c r="J53" i="21" s="1"/>
  <c r="C48" i="21"/>
  <c r="C19" i="9"/>
  <c r="L43" i="9" l="1"/>
  <c r="G40" i="36"/>
  <c r="H40" i="36" s="1"/>
  <c r="G41" i="36"/>
  <c r="H41" i="36" s="1"/>
  <c r="I48" i="40"/>
  <c r="J48" i="40" s="1"/>
  <c r="E40" i="36"/>
  <c r="F40" i="36" s="1"/>
  <c r="E41" i="36"/>
  <c r="F41" i="36" s="1"/>
  <c r="I40" i="36"/>
  <c r="J40" i="36" s="1"/>
  <c r="I41" i="36"/>
  <c r="J41" i="36" s="1"/>
  <c r="E44" i="40"/>
  <c r="R45" i="40"/>
  <c r="B4" i="39"/>
  <c r="B3" i="39"/>
  <c r="B5" i="39"/>
  <c r="G49" i="40"/>
  <c r="H49" i="40" s="1"/>
  <c r="G52" i="21"/>
  <c r="H52" i="21" s="1"/>
  <c r="G53" i="21"/>
  <c r="H53" i="21" s="1"/>
  <c r="C37" i="36"/>
  <c r="B3" i="36" s="1"/>
  <c r="B2" i="36" s="1"/>
  <c r="C36" i="36"/>
  <c r="C44" i="44"/>
  <c r="C45" i="44" s="1"/>
  <c r="B2" i="44" s="1"/>
  <c r="B4" i="44" s="1"/>
  <c r="B2" i="21"/>
  <c r="C10" i="12" s="1"/>
  <c r="C6" i="12" s="1"/>
  <c r="C8" i="12"/>
  <c r="C21" i="9"/>
  <c r="C20" i="9"/>
  <c r="E48" i="40" l="1"/>
  <c r="F48" i="40" s="1"/>
  <c r="E49" i="40"/>
  <c r="F49" i="40" s="1"/>
  <c r="I49" i="40"/>
  <c r="J49" i="40" s="1"/>
  <c r="C45" i="40"/>
  <c r="C44" i="40"/>
  <c r="B5" i="44"/>
  <c r="B3" i="44"/>
  <c r="C29" i="12"/>
  <c r="C24" i="12"/>
  <c r="B61" i="40" l="1"/>
  <c r="F61" i="40" s="1"/>
  <c r="B54" i="40"/>
  <c r="F54" i="40" s="1"/>
  <c r="B53" i="40"/>
  <c r="F53" i="40" s="1"/>
  <c r="B56" i="40"/>
  <c r="F56" i="40" s="1"/>
  <c r="B58" i="40"/>
  <c r="F58" i="40" s="1"/>
  <c r="B55" i="40"/>
  <c r="F55" i="40" s="1"/>
  <c r="B57" i="40"/>
  <c r="F57" i="40" s="1"/>
  <c r="B60" i="40"/>
  <c r="F60" i="40" s="1"/>
  <c r="B59" i="40"/>
  <c r="F59" i="40" s="1"/>
  <c r="B62" i="40"/>
  <c r="F62" i="40" s="1"/>
  <c r="F63" i="40"/>
  <c r="B2" i="40" s="1"/>
  <c r="C35" i="12"/>
  <c r="C33" i="12" s="1"/>
  <c r="C28" i="12"/>
  <c r="C26" i="12" s="1"/>
  <c r="C31" i="12" s="1"/>
  <c r="C30" i="12" s="1"/>
  <c r="B3" i="40" l="1"/>
  <c r="B4" i="40"/>
  <c r="B5" i="40"/>
  <c r="C36" i="12"/>
  <c r="B2" i="12" s="1"/>
  <c r="B4" i="12" s="1"/>
  <c r="D21" i="9"/>
  <c r="D19" i="9"/>
  <c r="B5" i="12" l="1"/>
  <c r="L44" i="9"/>
  <c r="D22" i="9"/>
  <c r="G19" i="9"/>
  <c r="N43" i="9" s="1"/>
  <c r="B3" i="12"/>
  <c r="G21" i="9"/>
  <c r="D20" i="9"/>
  <c r="C32" i="9" l="1"/>
  <c r="O43" i="9" s="1"/>
  <c r="G22" i="9"/>
  <c r="G20" i="9"/>
  <c r="O38" i="9" l="1"/>
  <c r="K26" i="9" s="1"/>
  <c r="C35" i="9"/>
  <c r="F42" i="9" s="1"/>
  <c r="C33" i="9"/>
  <c r="N38" i="9" s="1"/>
  <c r="K28" i="9" s="1"/>
  <c r="C34" i="9"/>
  <c r="M38" i="9" s="1"/>
  <c r="K27" i="9" s="1"/>
  <c r="C42" i="9"/>
  <c r="R5" i="54" s="1"/>
  <c r="B48" i="63" s="1"/>
  <c r="K25" i="9" l="1"/>
  <c r="E42" i="9"/>
  <c r="P5" i="54" s="1"/>
  <c r="B46" i="63" s="1"/>
  <c r="N68" i="9"/>
  <c r="C44" i="9"/>
  <c r="F44" i="9" s="1"/>
  <c r="D63" i="9"/>
  <c r="C103" i="9" s="1"/>
  <c r="D42" i="9"/>
  <c r="Q5" i="54" s="1"/>
  <c r="B47" i="63" s="1"/>
  <c r="D14" i="66"/>
  <c r="E14" i="66" s="1"/>
  <c r="G14" i="66"/>
  <c r="E44" i="9" l="1"/>
  <c r="O39" i="9"/>
  <c r="R6" i="54" s="1"/>
  <c r="B50" i="63" s="1"/>
  <c r="N69" i="9"/>
  <c r="M86" i="9" s="1"/>
  <c r="N86" i="9" s="1"/>
  <c r="D44" i="9"/>
  <c r="D77" i="9"/>
  <c r="N75" i="9" s="1"/>
  <c r="C90" i="9"/>
  <c r="D70" i="9"/>
  <c r="D71" i="9"/>
  <c r="D66" i="9" s="1"/>
  <c r="N72" i="9" s="1"/>
  <c r="C111" i="9"/>
  <c r="C104" i="9" s="1"/>
  <c r="C113" i="9" s="1"/>
  <c r="C96" i="9"/>
  <c r="C91" i="9" s="1"/>
  <c r="C97" i="9" s="1"/>
  <c r="C98" i="9" s="1"/>
  <c r="C82" i="9"/>
  <c r="C81" i="9" s="1"/>
  <c r="C85" i="9" s="1"/>
  <c r="C86" i="9" s="1"/>
  <c r="D72" i="9" s="1"/>
  <c r="F14" i="66"/>
  <c r="M84" i="9"/>
  <c r="N84" i="9" s="1"/>
  <c r="K29" i="9"/>
  <c r="K30" i="9" s="1"/>
  <c r="M85" i="9" l="1"/>
  <c r="N85" i="9" s="1"/>
  <c r="M88" i="9"/>
  <c r="N88" i="9" s="1"/>
  <c r="M87" i="9"/>
  <c r="N87" i="9" s="1"/>
  <c r="M83" i="9"/>
  <c r="N83" i="9" s="1"/>
  <c r="E98" i="9"/>
  <c r="E99" i="9" s="1"/>
  <c r="C99" i="9"/>
  <c r="C114" i="9"/>
  <c r="E114" i="9" s="1"/>
  <c r="E115" i="9" s="1"/>
  <c r="N89" i="9" l="1"/>
  <c r="O89" i="9" s="1"/>
  <c r="C115" i="9"/>
  <c r="D76" i="9" s="1"/>
  <c r="D74" i="9" s="1"/>
  <c r="N74" i="9" s="1"/>
  <c r="O77" i="9" s="1"/>
  <c r="O78" i="9" s="1"/>
  <c r="Q77" i="9" l="1"/>
  <c r="O79" i="9"/>
  <c r="O81" i="9" s="1"/>
  <c r="O80" i="9" l="1"/>
  <c r="D15" i="66" l="1"/>
  <c r="G15" i="66" l="1"/>
  <c r="B6" i="66" s="1"/>
  <c r="E15" i="66"/>
  <c r="B5" i="66"/>
  <c r="F15" i="66"/>
  <c r="D5" i="66" l="1"/>
  <c r="C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<sst xmlns="http://schemas.openxmlformats.org/spreadsheetml/2006/main" count="9818" uniqueCount="3348">
  <si>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</si>
  <si>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</si>
  <si>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</si>
  <si>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</si>
  <si>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</si>
  <si>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</si>
  <si>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</si>
  <si>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</si>
  <si>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</si>
  <si>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</si>
  <si>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</si>
  <si>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</si>
  <si>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</si>
  <si>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</si>
  <si>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</si>
  <si>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</si>
  <si>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</si>
  <si>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</si>
  <si>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</si>
  <si>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</si>
  <si>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</si>
  <si>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</si>
  <si>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</si>
  <si>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</si>
  <si>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</si>
  <si>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</si>
  <si>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</si>
  <si>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</si>
  <si>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</si>
  <si>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</si>
  <si>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</si>
  <si>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</si>
  <si>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</si>
  <si>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</si>
  <si>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</si>
  <si>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</si>
  <si>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</si>
  <si>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</si>
  <si>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</si>
  <si>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</si>
  <si>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</si>
  <si>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</si>
  <si>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</si>
  <si>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</si>
  <si>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</si>
  <si>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</si>
  <si>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</si>
  <si>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</si>
  <si>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</si>
  <si>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</si>
  <si>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</si>
  <si>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</si>
  <si>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</si>
  <si>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</si>
  <si>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</si>
  <si>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</si>
  <si>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</si>
  <si>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</si>
  <si>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</si>
  <si>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</si>
  <si>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</si>
  <si>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</si>
  <si>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</si>
  <si>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</si>
  <si>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</si>
  <si>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</si>
  <si>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</si>
  <si>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</si>
  <si>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</si>
  <si>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</si>
  <si>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</si>
  <si>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</si>
  <si>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</si>
  <si>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</si>
  <si>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</si>
  <si>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</si>
  <si>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</si>
  <si>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</si>
  <si>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</si>
  <si>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</si>
  <si>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</si>
  <si>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</si>
  <si>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</si>
  <si>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</si>
  <si>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</si>
  <si>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</si>
  <si>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</si>
  <si>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</si>
  <si>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</si>
  <si>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</si>
  <si>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</si>
  <si>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</si>
  <si>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</si>
  <si>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</si>
  <si>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</si>
  <si>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</si>
  <si>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</si>
  <si>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</si>
  <si>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</si>
  <si>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</si>
  <si>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</si>
  <si>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</si>
  <si>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</si>
  <si>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</si>
  <si>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</si>
  <si>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</si>
  <si>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</si>
  <si>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</si>
  <si>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</si>
  <si>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</si>
  <si>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</si>
  <si>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</si>
  <si>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</si>
  <si>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</si>
  <si>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</si>
  <si>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</si>
  <si>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</si>
  <si>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</si>
  <si>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</si>
  <si>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</si>
  <si>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</si>
  <si>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</si>
  <si>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</si>
  <si>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</si>
  <si>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</si>
  <si>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</si>
  <si>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</si>
  <si>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</si>
  <si>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</si>
  <si>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</si>
  <si>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</si>
  <si>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</si>
  <si>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</si>
  <si>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</si>
  <si>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</si>
  <si>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</si>
  <si>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</si>
  <si>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</si>
  <si>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</si>
  <si>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</si>
  <si>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</si>
  <si>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</si>
  <si>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</si>
  <si>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</si>
  <si>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</si>
  <si>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</si>
  <si>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</si>
  <si>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</si>
  <si>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</si>
  <si>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</si>
  <si>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</si>
  <si>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</si>
  <si>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</si>
  <si>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</si>
  <si>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</si>
  <si>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</si>
  <si>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</si>
  <si>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</si>
  <si>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</si>
  <si>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</si>
  <si>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</si>
  <si>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</si>
  <si>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</si>
  <si>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</si>
  <si>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</si>
  <si>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</si>
  <si>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</si>
  <si>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</si>
  <si>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</si>
  <si>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</si>
  <si>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</si>
  <si>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</si>
  <si>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</si>
  <si>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</si>
  <si>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</si>
  <si>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</si>
  <si>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</si>
  <si>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</si>
  <si>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</si>
  <si>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</si>
  <si>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</si>
  <si>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</si>
  <si>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</si>
  <si>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</si>
  <si>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</si>
  <si>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</si>
  <si>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</si>
  <si>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</si>
  <si>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</si>
  <si>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</si>
  <si>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</si>
  <si>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</si>
  <si>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</si>
  <si>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</si>
  <si>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</si>
  <si>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</si>
  <si>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</si>
  <si>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</si>
  <si>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</si>
  <si>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</si>
  <si>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</si>
  <si>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</si>
  <si>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</si>
  <si>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</si>
  <si>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</si>
  <si>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</si>
  <si>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</si>
  <si>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</si>
  <si>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</si>
  <si>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</si>
  <si>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</si>
  <si>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</si>
  <si>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</si>
  <si>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</si>
  <si>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</si>
  <si>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</si>
  <si>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</si>
  <si>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</si>
  <si>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</si>
  <si>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</si>
  <si>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</si>
  <si>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</si>
  <si>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</si>
  <si>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</si>
  <si>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</si>
  <si>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</si>
  <si>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</si>
  <si>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</si>
  <si>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</si>
  <si>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</si>
  <si>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</si>
  <si>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</si>
  <si>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</si>
  <si>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</si>
  <si>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</si>
  <si>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</si>
  <si>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</si>
  <si>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</si>
  <si>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</si>
  <si>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</si>
  <si>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</si>
  <si>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</si>
  <si>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</si>
  <si>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</si>
  <si>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</si>
  <si>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</si>
  <si>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</si>
  <si>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</si>
  <si>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</si>
  <si>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</si>
  <si>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</si>
  <si>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</si>
  <si>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</si>
  <si>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</si>
  <si>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</si>
  <si>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</si>
  <si>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</si>
  <si>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</si>
  <si>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</si>
  <si>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</si>
  <si>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</si>
  <si>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</si>
  <si>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</si>
  <si>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</si>
  <si>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</si>
  <si>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</si>
  <si>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</si>
  <si>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</si>
  <si>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</si>
  <si>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</si>
  <si>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</si>
  <si>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</si>
  <si>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</si>
  <si>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</si>
  <si>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</si>
  <si>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</si>
  <si>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</si>
  <si>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</si>
  <si>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</si>
  <si>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</si>
  <si>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</si>
  <si>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</si>
  <si>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</si>
  <si>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</si>
  <si>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</si>
  <si>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</si>
  <si>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</si>
  <si>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</si>
  <si>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</si>
  <si>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</si>
  <si>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</si>
  <si>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</si>
  <si>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</si>
  <si>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</si>
  <si>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</si>
  <si>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</si>
  <si>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</si>
  <si>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</si>
  <si>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</si>
  <si>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</si>
  <si>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</si>
  <si>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</si>
  <si>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</si>
  <si>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</si>
  <si>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</si>
  <si>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</si>
  <si>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</si>
  <si>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</si>
  <si>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</si>
  <si>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</si>
  <si>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</si>
  <si>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</si>
  <si>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</si>
  <si>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</si>
  <si>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</si>
  <si>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</si>
  <si>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</si>
  <si>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</si>
  <si>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</si>
  <si>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</si>
  <si>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</si>
  <si>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</si>
  <si>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</si>
  <si>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</si>
  <si>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</si>
  <si>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</si>
  <si>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</si>
  <si>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</si>
  <si>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</si>
  <si>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</si>
  <si>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</si>
  <si>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</si>
  <si>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</si>
  <si>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</si>
  <si>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</si>
  <si>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</si>
  <si>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</si>
  <si>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</si>
  <si>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</si>
  <si>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</si>
  <si>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</si>
  <si>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</si>
  <si>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</si>
  <si>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</si>
  <si>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</si>
  <si>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</si>
  <si>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</si>
  <si>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</si>
  <si>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</si>
  <si>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</si>
  <si>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</si>
  <si>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</si>
  <si>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</si>
  <si>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</si>
  <si>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</si>
  <si>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</si>
  <si>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</si>
  <si>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</si>
  <si>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</si>
  <si>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</si>
  <si>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</si>
  <si>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</si>
  <si>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</si>
  <si>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</si>
  <si>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</si>
  <si>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</si>
  <si>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</si>
  <si>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</si>
  <si>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</si>
  <si>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</si>
  <si>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</si>
  <si>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</si>
  <si>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</si>
  <si>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</si>
  <si>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</si>
  <si>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</si>
  <si>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</si>
  <si>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</si>
  <si>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</si>
  <si>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</si>
  <si>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</si>
  <si>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</si>
  <si>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</si>
  <si>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</si>
  <si>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</si>
  <si>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</si>
  <si>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</si>
  <si>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</si>
  <si>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</si>
  <si>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</si>
  <si>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</si>
  <si>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</si>
  <si>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</si>
  <si>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</si>
  <si>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</si>
  <si>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</si>
  <si>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</si>
  <si>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</si>
  <si>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</si>
  <si>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</si>
  <si>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</si>
  <si>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</si>
  <si>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</si>
  <si>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</si>
  <si>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</si>
  <si>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</si>
  <si>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</si>
  <si>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</si>
  <si>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</si>
  <si>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</si>
  <si>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</si>
  <si>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</si>
  <si>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</si>
  <si>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</si>
  <si>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</si>
  <si>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</si>
  <si>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</si>
  <si>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</si>
  <si>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</si>
  <si>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</si>
  <si>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</si>
  <si>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</si>
  <si>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</si>
  <si>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</si>
  <si>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</si>
  <si>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</si>
  <si>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</si>
  <si>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</si>
  <si>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</si>
  <si>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</si>
  <si>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</si>
  <si>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</si>
  <si>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</si>
  <si>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</si>
  <si>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</si>
  <si>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</si>
  <si>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</si>
  <si>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</si>
  <si>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</si>
  <si>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</si>
  <si>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</si>
  <si>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</si>
  <si>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</si>
  <si>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</si>
  <si>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</si>
  <si>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</si>
  <si>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</si>
  <si>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</si>
  <si>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</si>
  <si>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</si>
  <si>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</si>
  <si>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</si>
  <si>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</si>
  <si>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</si>
  <si>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</si>
  <si>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</si>
  <si>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</si>
  <si>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</si>
  <si>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</si>
  <si>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</si>
  <si>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</si>
  <si>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</si>
  <si>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</si>
  <si>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</si>
  <si>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</si>
  <si>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</si>
  <si>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</si>
  <si>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</si>
  <si>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</si>
  <si>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</si>
  <si>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</si>
  <si>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</si>
  <si>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</si>
  <si>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</si>
  <si>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</si>
  <si>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</si>
  <si>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</si>
  <si>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</si>
  <si>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</si>
  <si>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</si>
  <si>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</si>
  <si>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</si>
  <si>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</si>
  <si>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</si>
  <si>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</si>
  <si>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</si>
  <si>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</si>
  <si>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</si>
  <si>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</si>
  <si>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</si>
  <si>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</si>
  <si>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</si>
  <si>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</si>
  <si>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</si>
  <si>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</si>
  <si>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</si>
  <si>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</si>
  <si>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</si>
  <si>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</si>
  <si>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</si>
  <si>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</si>
  <si>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</si>
  <si>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</si>
  <si>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</si>
  <si>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</si>
  <si>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</si>
  <si>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</si>
  <si>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</si>
  <si>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</si>
  <si>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</si>
  <si>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</si>
  <si>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</si>
  <si>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</si>
  <si>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</si>
  <si>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</si>
  <si>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</si>
  <si>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</si>
  <si>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</si>
  <si>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</si>
  <si>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</si>
  <si>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</si>
  <si>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</si>
  <si>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</si>
  <si>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</si>
  <si>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</si>
  <si>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</si>
  <si>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</si>
  <si>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</si>
  <si>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</si>
  <si>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</si>
  <si>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</si>
  <si>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</si>
  <si>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</si>
  <si>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</si>
  <si>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</si>
  <si>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</si>
  <si>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</si>
  <si>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</si>
  <si>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</si>
  <si>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</si>
  <si>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</si>
  <si>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</si>
  <si>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</si>
  <si>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</si>
  <si>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</si>
  <si>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</si>
  <si>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</si>
  <si>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</si>
  <si>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</si>
  <si>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</si>
  <si>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</si>
  <si>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</si>
  <si>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</si>
  <si>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</si>
  <si>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</si>
  <si>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</si>
  <si>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</si>
  <si>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</si>
  <si>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</si>
  <si>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</si>
  <si>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</si>
  <si>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</si>
  <si>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</si>
  <si>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</si>
  <si>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</si>
  <si>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</si>
  <si>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</si>
  <si>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</si>
  <si>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</si>
  <si>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</si>
  <si>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</si>
  <si>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</si>
  <si>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</si>
  <si>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</si>
  <si>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</si>
  <si>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</si>
  <si>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</si>
  <si>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</si>
  <si>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</si>
  <si>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</si>
  <si>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</si>
  <si>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</si>
  <si>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</si>
  <si>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</si>
  <si>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</si>
  <si>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</si>
  <si>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</si>
  <si>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</si>
  <si>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</si>
  <si>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</si>
  <si>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</si>
  <si>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</si>
  <si>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</si>
  <si>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</si>
  <si>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</si>
  <si>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</si>
  <si>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</si>
  <si>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</si>
  <si>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</si>
  <si>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</si>
  <si>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</si>
  <si>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</si>
  <si>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</si>
  <si>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</si>
  <si>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</si>
  <si>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</si>
  <si>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</si>
  <si>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</si>
  <si>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</si>
  <si>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</si>
  <si>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</si>
  <si>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</si>
  <si>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</si>
  <si>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</si>
  <si>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</si>
  <si>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</si>
  <si>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</si>
  <si>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</si>
  <si>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</si>
  <si>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</si>
  <si>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</si>
  <si>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</si>
  <si>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</si>
  <si>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</si>
  <si>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</si>
  <si>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</si>
  <si>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</si>
  <si>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</si>
  <si>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</si>
  <si>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</si>
  <si>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</si>
  <si>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</si>
  <si>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</si>
  <si>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</si>
  <si>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</si>
  <si>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</si>
  <si>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</si>
  <si>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</si>
  <si>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</si>
  <si>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</si>
  <si>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</si>
  <si>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</si>
  <si>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</si>
  <si>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</si>
  <si>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</si>
  <si>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</si>
  <si>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</si>
  <si>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</si>
  <si>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</si>
  <si>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</si>
  <si>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</si>
  <si>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</si>
  <si>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</si>
  <si>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</si>
  <si>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</si>
  <si>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</si>
  <si>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</si>
  <si>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</si>
  <si>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</si>
  <si>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</si>
  <si>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</si>
  <si>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</si>
  <si>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</si>
  <si>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</si>
  <si>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</si>
  <si>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</si>
  <si>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</si>
  <si>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</si>
  <si>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</si>
  <si>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</si>
  <si>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</si>
  <si>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</si>
  <si>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</si>
  <si>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</si>
  <si>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</si>
  <si>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</si>
  <si>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</si>
  <si>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</si>
  <si>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</si>
  <si>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</si>
  <si>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</si>
  <si>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</si>
  <si>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</si>
  <si>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</si>
  <si>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</si>
  <si>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</si>
  <si>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</si>
  <si>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</si>
  <si>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</si>
  <si>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</si>
  <si>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</si>
  <si>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</si>
  <si>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</si>
  <si>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</si>
  <si>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</si>
  <si>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</si>
  <si>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</si>
  <si>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</si>
  <si>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</si>
  <si>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</si>
  <si>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</si>
  <si>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</si>
  <si>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</si>
  <si>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</si>
  <si>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</si>
  <si>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</si>
  <si>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</si>
  <si>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</si>
  <si>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</si>
  <si>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</si>
  <si>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</si>
  <si>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</si>
  <si>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</si>
  <si>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</si>
  <si>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</si>
  <si>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</si>
  <si>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</si>
  <si>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</si>
  <si>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</si>
  <si>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</si>
  <si>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</si>
  <si>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</si>
  <si>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</si>
  <si>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</si>
  <si>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</si>
  <si>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</si>
  <si>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</si>
  <si>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</si>
  <si>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</si>
  <si>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</si>
  <si>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</si>
  <si>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</si>
  <si>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</si>
  <si>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</si>
  <si>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</si>
  <si>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</si>
  <si>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</si>
  <si>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</si>
  <si>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</si>
  <si>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</si>
  <si>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</si>
  <si>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</si>
  <si>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</si>
  <si>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</si>
  <si>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</si>
  <si>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</si>
  <si>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</si>
  <si>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</si>
  <si>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</si>
  <si>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</si>
  <si>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</si>
  <si>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</si>
  <si>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</si>
  <si>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</si>
  <si>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</si>
  <si>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</si>
  <si>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</si>
  <si>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</si>
  <si>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</si>
  <si>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</si>
  <si>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</si>
  <si>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</si>
  <si>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</si>
  <si>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</si>
  <si>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</si>
  <si>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</si>
  <si>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</si>
  <si>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</si>
  <si>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</si>
  <si>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</si>
  <si>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</si>
  <si>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</si>
  <si>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</si>
  <si>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</si>
  <si>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</si>
  <si>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</si>
  <si>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</si>
  <si>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</si>
  <si>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</si>
  <si>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</si>
  <si>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</si>
  <si>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</si>
  <si>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</si>
  <si>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</si>
  <si>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</si>
  <si>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</si>
  <si>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</si>
  <si>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</si>
  <si>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</si>
  <si>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</si>
  <si>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</si>
  <si>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</si>
  <si>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</si>
  <si>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</si>
  <si>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</si>
  <si>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</si>
  <si>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</si>
  <si>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</si>
  <si>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</si>
  <si>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</si>
  <si>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</si>
  <si>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</si>
  <si>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</si>
  <si>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</si>
  <si>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</si>
  <si>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</si>
  <si>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</si>
  <si>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</si>
  <si>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</si>
  <si>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</si>
  <si>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</si>
  <si>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</si>
  <si>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</si>
  <si>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</si>
  <si>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</si>
  <si>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</si>
  <si>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</si>
  <si>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</si>
  <si>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</si>
  <si>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</si>
  <si>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</si>
  <si>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</si>
  <si>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</si>
  <si>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</si>
  <si>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</si>
  <si>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</si>
  <si>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</si>
  <si>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</si>
  <si>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</si>
  <si>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</si>
  <si>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</si>
  <si>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</si>
  <si>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</si>
  <si>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</si>
  <si>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</si>
  <si>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</si>
  <si>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</si>
  <si>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</si>
  <si>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</si>
  <si>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</si>
  <si>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</si>
  <si>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</si>
  <si>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</si>
  <si>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</si>
  <si>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</si>
  <si>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</si>
  <si>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</si>
  <si>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</si>
  <si>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</si>
  <si>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</si>
  <si>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</si>
  <si>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</si>
  <si>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</si>
  <si>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</si>
  <si>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</si>
  <si>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</si>
  <si>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</si>
  <si>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</si>
  <si>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</si>
  <si>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</si>
  <si>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</si>
  <si>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</si>
  <si>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</si>
  <si>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</si>
  <si>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</si>
  <si>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</si>
  <si>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</si>
  <si>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</si>
  <si>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</si>
  <si>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</si>
  <si>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</si>
  <si>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</si>
  <si>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</si>
  <si>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</si>
  <si>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</si>
  <si>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</si>
  <si>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</si>
  <si>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</si>
  <si>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</si>
  <si>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</si>
  <si>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</si>
  <si>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</si>
  <si>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</si>
  <si>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</si>
  <si>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</si>
  <si>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</si>
  <si>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</si>
  <si>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</si>
  <si>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</si>
  <si>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</si>
  <si>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</si>
  <si>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</si>
  <si>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</si>
  <si>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</si>
  <si>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</si>
  <si>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</si>
  <si>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</si>
  <si>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</si>
  <si>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</si>
  <si>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</si>
  <si>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</si>
  <si>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</si>
  <si>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</si>
  <si>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</si>
  <si>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</si>
  <si>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</si>
  <si>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</si>
  <si>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</si>
  <si>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</si>
  <si>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</si>
  <si>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</si>
  <si>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</si>
  <si>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</si>
  <si>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</si>
  <si>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</si>
  <si>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</si>
  <si>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</si>
  <si>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</si>
  <si>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</si>
  <si>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</si>
  <si>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</si>
  <si>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</si>
  <si>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</si>
  <si>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</si>
  <si>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</si>
  <si>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</si>
  <si>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</si>
  <si>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</si>
  <si>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</si>
  <si>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</si>
  <si>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</si>
  <si>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</si>
  <si>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</si>
  <si>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</si>
  <si>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</si>
  <si>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</si>
  <si>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</si>
  <si>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</si>
  <si>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</si>
  <si>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</si>
  <si>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</si>
  <si>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</si>
  <si>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</si>
  <si>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</si>
  <si>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</si>
  <si>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</si>
  <si>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</si>
  <si>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</si>
  <si>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</si>
  <si>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</si>
  <si>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</si>
  <si>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</si>
  <si>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</si>
  <si>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</si>
  <si>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</si>
  <si>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</si>
  <si>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</si>
  <si>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</si>
  <si>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</si>
  <si>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</si>
  <si>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</si>
  <si>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</si>
  <si>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</si>
  <si>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</si>
  <si>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</si>
  <si>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</si>
  <si>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</si>
  <si>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</si>
  <si>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</si>
  <si>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</si>
  <si>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</si>
  <si>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</si>
  <si>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</si>
  <si>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</si>
  <si>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</si>
  <si>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</si>
  <si>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</si>
  <si>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</si>
  <si>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</si>
  <si>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</si>
  <si>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</si>
  <si>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</si>
  <si>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</si>
  <si>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</si>
  <si>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</si>
  <si>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</si>
  <si>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</si>
  <si>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</si>
  <si>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</si>
  <si>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</si>
  <si>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</si>
  <si>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</si>
  <si>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</si>
  <si>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</si>
  <si>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</si>
  <si>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</si>
  <si>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</si>
  <si>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</si>
  <si>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</si>
  <si>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</si>
  <si>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</si>
  <si>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</si>
  <si>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</si>
  <si>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</si>
  <si>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</si>
  <si>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</si>
  <si>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</si>
  <si>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</si>
  <si>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</si>
  <si>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</si>
  <si>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</si>
  <si>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</si>
  <si>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</si>
  <si>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</si>
  <si>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</si>
  <si>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</si>
  <si>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</si>
  <si>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</si>
  <si>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</si>
  <si>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</si>
  <si>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</si>
  <si>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</si>
  <si>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</si>
  <si>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</si>
  <si>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</si>
  <si>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</si>
  <si>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</si>
  <si>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</si>
  <si>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</si>
  <si>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</si>
  <si>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</si>
  <si>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</si>
  <si>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</si>
  <si>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</si>
  <si>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</si>
  <si>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</si>
  <si>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</si>
  <si>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</si>
  <si>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</si>
  <si>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</si>
  <si>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</si>
  <si>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</si>
  <si>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</si>
  <si>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</si>
  <si>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</si>
  <si>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</si>
  <si>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</si>
  <si>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</si>
  <si>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</si>
  <si>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</si>
  <si>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</si>
  <si>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</si>
  <si>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</si>
  <si>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</si>
  <si>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</si>
  <si>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</si>
  <si>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</si>
  <si>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</si>
  <si>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</si>
  <si>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</si>
  <si>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</si>
  <si>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</si>
  <si>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</si>
  <si>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</si>
  <si>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</si>
  <si>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</si>
  <si>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</si>
  <si>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</si>
  <si>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</si>
  <si>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</si>
  <si>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</si>
  <si>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</si>
  <si>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</si>
  <si>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</si>
  <si>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</si>
  <si>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</si>
  <si>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</si>
  <si>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</si>
  <si>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</si>
  <si>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</si>
  <si>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</si>
  <si>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</si>
  <si>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</si>
  <si>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</si>
  <si>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</si>
  <si>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</si>
  <si>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</si>
  <si>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</si>
  <si>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</si>
  <si>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</si>
  <si>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</si>
  <si>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</si>
  <si>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</si>
  <si>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</si>
  <si>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</si>
  <si>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</si>
  <si>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</si>
  <si>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</si>
  <si>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</si>
  <si>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</si>
  <si>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</si>
  <si>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</si>
  <si>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</si>
  <si>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</si>
  <si>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</si>
  <si>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</si>
  <si>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</si>
  <si>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</si>
  <si>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</si>
  <si>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</si>
  <si>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</si>
  <si>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</si>
  <si>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</si>
  <si>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</si>
  <si>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</si>
  <si>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</si>
  <si>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</si>
  <si>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</si>
  <si>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</si>
  <si>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</si>
  <si>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</si>
  <si>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</si>
  <si>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</si>
  <si>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</si>
  <si>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</si>
  <si>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</si>
  <si>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</si>
  <si>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</si>
  <si>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</si>
  <si>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</si>
  <si>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</si>
  <si>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</si>
  <si>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</si>
  <si>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</si>
  <si>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</si>
  <si>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</si>
  <si>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</si>
  <si>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</si>
  <si>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</si>
  <si>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</si>
  <si>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</si>
  <si>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</si>
  <si>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</si>
  <si>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</si>
  <si>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</si>
  <si>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</si>
  <si>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</si>
  <si>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</si>
  <si>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</si>
  <si>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</si>
  <si>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</si>
  <si>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</si>
  <si>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</si>
  <si>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</si>
  <si>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</si>
  <si>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</si>
  <si>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</si>
  <si>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</si>
  <si>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</si>
  <si>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</si>
  <si>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</si>
  <si>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</si>
  <si>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</si>
  <si>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</si>
  <si>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</si>
  <si>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</si>
  <si>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</si>
  <si>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</si>
  <si>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</si>
  <si>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</si>
  <si>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</si>
  <si>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</si>
  <si>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</si>
  <si>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</si>
  <si>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</si>
  <si>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</si>
  <si>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</si>
  <si>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</si>
  <si>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</si>
  <si>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</si>
  <si>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</si>
  <si>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</si>
  <si>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</si>
  <si>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</si>
  <si>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</si>
  <si>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</si>
  <si>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</si>
  <si>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</si>
  <si>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</si>
  <si>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</si>
  <si>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</si>
  <si>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</si>
  <si>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</si>
  <si>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</si>
  <si>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</si>
  <si>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</si>
  <si>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</si>
  <si>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</si>
  <si>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</si>
  <si>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</si>
  <si>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</si>
  <si>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</si>
  <si>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</si>
  <si>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</si>
  <si>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</si>
  <si>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</si>
  <si>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</si>
  <si>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</si>
  <si>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</si>
  <si>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</si>
  <si>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</si>
  <si>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</si>
  <si>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</si>
  <si>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</si>
  <si>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</si>
  <si>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</si>
  <si>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</si>
  <si>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</si>
  <si>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</si>
  <si>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</si>
  <si>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</si>
  <si>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</si>
  <si>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</si>
  <si>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</si>
  <si>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</si>
  <si>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</si>
  <si>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</si>
  <si>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</si>
  <si>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</si>
  <si>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</si>
  <si>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</si>
  <si>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</si>
  <si>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</si>
  <si>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</si>
  <si>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</si>
  <si>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</si>
  <si>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</si>
  <si>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</si>
  <si>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</si>
  <si>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</si>
  <si>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</si>
  <si>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</si>
  <si>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</si>
  <si>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</si>
  <si>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</si>
  <si>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</si>
  <si>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</si>
  <si>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</si>
  <si>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</si>
  <si>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</si>
  <si>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</si>
  <si>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</si>
  <si>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</si>
  <si>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</si>
  <si>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</si>
  <si>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</si>
  <si>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</si>
  <si>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</si>
  <si>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</si>
  <si>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</si>
  <si>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</si>
  <si>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</si>
  <si>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</si>
  <si>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</si>
  <si>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</si>
  <si>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</si>
  <si>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</si>
  <si>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</si>
  <si>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</si>
  <si>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</si>
  <si>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</si>
  <si>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</si>
  <si>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</si>
  <si>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</si>
  <si>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</si>
  <si>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</si>
  <si>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</si>
  <si>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</si>
  <si>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</si>
  <si>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</si>
  <si>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</si>
  <si>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</si>
  <si>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</si>
  <si>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</si>
  <si>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</si>
  <si>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</si>
  <si>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</si>
  <si>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</si>
  <si>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</si>
  <si>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</si>
  <si>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</si>
  <si>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</si>
  <si>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</si>
  <si>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</si>
  <si>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</si>
  <si>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</si>
  <si>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</si>
  <si>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</si>
  <si>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</si>
  <si>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</si>
  <si>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</si>
  <si>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</si>
  <si>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</si>
  <si>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</si>
  <si>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</si>
  <si>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</si>
  <si>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</si>
  <si>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</si>
  <si>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</si>
  <si>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</si>
  <si>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</si>
  <si>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</si>
  <si>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</si>
  <si>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</si>
  <si>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</si>
  <si>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</si>
  <si>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</si>
  <si>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</si>
  <si>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</si>
  <si>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</si>
  <si>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</si>
  <si>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</si>
  <si>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</si>
  <si>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</si>
  <si>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</si>
  <si>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</si>
  <si>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</si>
  <si>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</si>
  <si>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</si>
  <si>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</si>
  <si>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</si>
  <si>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</si>
  <si>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</si>
  <si>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</si>
  <si>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</si>
  <si>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</si>
  <si>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</si>
  <si>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</si>
  <si>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</si>
  <si>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</si>
  <si>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</si>
  <si>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</si>
  <si>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</si>
  <si>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</si>
  <si>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</si>
  <si>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</si>
  <si>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</si>
  <si>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</si>
  <si>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</si>
  <si>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</si>
  <si>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</si>
  <si>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</si>
  <si>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</si>
  <si>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</si>
  <si>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</si>
  <si>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</si>
  <si>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</si>
  <si>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</si>
  <si>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</si>
  <si>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</si>
  <si>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</si>
  <si>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</si>
  <si>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</si>
  <si>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</si>
  <si>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</si>
  <si>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</si>
  <si>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</si>
  <si>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</si>
  <si>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</si>
  <si>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</si>
  <si>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</si>
  <si>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</si>
  <si>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</si>
  <si>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</si>
  <si>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</si>
  <si>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</si>
  <si>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</si>
  <si>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</si>
  <si>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</si>
  <si>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</si>
  <si>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</si>
  <si>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</si>
  <si>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</si>
  <si>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</si>
  <si>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</si>
  <si>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</si>
  <si>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</si>
  <si>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</si>
  <si>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</si>
  <si>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</si>
  <si>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</si>
  <si>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</si>
  <si>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</si>
  <si>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</si>
  <si>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</si>
  <si>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</si>
  <si>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</si>
  <si>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</si>
  <si>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</si>
  <si>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</si>
  <si>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</si>
  <si>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</si>
  <si>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</si>
  <si>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</si>
  <si>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</si>
  <si>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</si>
  <si>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</si>
  <si>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</si>
  <si>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</si>
  <si>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</si>
  <si>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</si>
  <si>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</si>
  <si>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</si>
  <si>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</si>
  <si>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</si>
  <si>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</si>
  <si>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</si>
  <si>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</si>
  <si>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</si>
  <si>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</si>
  <si>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</si>
  <si>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</si>
  <si>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</si>
  <si>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</si>
  <si>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</si>
  <si>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</si>
  <si>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</si>
  <si>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</si>
  <si>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</si>
  <si>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</si>
  <si>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</si>
  <si>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</si>
  <si>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</si>
  <si>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</si>
  <si>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</si>
  <si>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</si>
  <si>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</si>
  <si>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</si>
  <si>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</si>
  <si>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</si>
  <si>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</si>
  <si>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</si>
  <si>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</si>
  <si>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</si>
  <si>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</si>
  <si>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</si>
  <si>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</si>
  <si>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</si>
  <si>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</si>
  <si>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</si>
  <si>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</si>
  <si>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</si>
  <si>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</si>
  <si>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</si>
  <si>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</si>
  <si>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</si>
  <si>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</si>
  <si>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</si>
  <si>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</si>
  <si>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</si>
  <si>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</si>
  <si>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</si>
  <si>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</si>
  <si>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</si>
  <si>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</si>
  <si>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</si>
  <si>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</si>
  <si>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</si>
  <si>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</si>
  <si>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</si>
  <si>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</si>
  <si>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</si>
  <si>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</si>
  <si>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</si>
  <si>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</si>
  <si>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</si>
  <si>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</si>
  <si>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</si>
  <si>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</si>
  <si>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</si>
  <si>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</si>
  <si>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</si>
  <si>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</si>
  <si>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</si>
  <si>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</si>
  <si>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</si>
  <si>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</si>
  <si>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</si>
  <si>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</si>
  <si>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</si>
  <si>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</si>
  <si>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</si>
  <si>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</si>
  <si>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</si>
  <si>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</si>
  <si>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</si>
  <si>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</si>
  <si>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</si>
  <si>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</si>
  <si>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</si>
  <si>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</si>
  <si>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</si>
  <si>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</si>
  <si>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</si>
  <si>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</si>
  <si>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</si>
  <si>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</si>
  <si>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</si>
  <si>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</si>
  <si>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</si>
  <si>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</si>
  <si>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</si>
  <si>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</si>
  <si>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</si>
  <si>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</si>
  <si>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</si>
  <si>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</si>
  <si>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</si>
  <si>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</si>
  <si>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</si>
  <si>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</si>
  <si>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</si>
  <si>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</si>
  <si>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</si>
  <si>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</si>
  <si>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</si>
  <si>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</si>
  <si>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</si>
  <si>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</si>
  <si>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</si>
  <si>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</si>
  <si>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</si>
  <si>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</si>
  <si>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</si>
  <si>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</si>
  <si>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</si>
  <si>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</si>
  <si>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</si>
  <si>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</si>
  <si>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</si>
  <si>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</si>
  <si>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</si>
  <si>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</si>
  <si>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</si>
  <si>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</si>
  <si>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</si>
  <si>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</si>
  <si>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</si>
  <si>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</si>
  <si>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</si>
  <si>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</si>
  <si>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</si>
  <si>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</si>
  <si>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</si>
  <si>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</si>
  <si>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</si>
  <si>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</si>
  <si>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</si>
  <si>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</si>
  <si>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</si>
  <si>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</si>
  <si>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</si>
  <si>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</si>
  <si>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</si>
  <si>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</si>
  <si>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</si>
  <si>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</si>
  <si>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</si>
  <si>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</si>
  <si>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</si>
  <si>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</si>
  <si>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</si>
  <si>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</si>
  <si>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</si>
  <si>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</si>
  <si>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</si>
  <si>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</si>
  <si>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</si>
  <si>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</si>
  <si>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</si>
  <si>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</si>
  <si>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</si>
  <si>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</si>
  <si>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</si>
  <si>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</si>
  <si>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</si>
  <si>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</si>
  <si>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</si>
  <si>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</si>
  <si>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</si>
  <si>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</si>
  <si>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</si>
  <si>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</si>
  <si>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</si>
  <si>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</si>
  <si>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</si>
  <si>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</si>
  <si>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</si>
  <si>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</si>
  <si>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</si>
  <si>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</si>
  <si>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</si>
  <si>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</si>
  <si>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</si>
  <si>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</si>
  <si>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</si>
  <si>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</si>
  <si>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</si>
  <si>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</si>
  <si>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</si>
  <si>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</si>
  <si>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</si>
  <si>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</si>
  <si>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</si>
  <si>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</si>
  <si>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</si>
  <si>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</si>
  <si>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</si>
  <si>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</si>
  <si>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</si>
  <si>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</si>
  <si>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</si>
  <si>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</si>
  <si>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</si>
  <si>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</si>
  <si>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</si>
  <si>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</si>
  <si>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</si>
  <si>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</si>
  <si>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</si>
  <si>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</si>
  <si>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</si>
  <si>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</si>
  <si>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</si>
  <si>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</si>
  <si>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</si>
  <si>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</si>
  <si>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</si>
  <si>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</si>
  <si>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</si>
  <si>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</si>
  <si>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</si>
  <si>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</si>
  <si>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</si>
  <si>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</si>
  <si>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</si>
  <si>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</si>
  <si>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</si>
  <si>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</si>
  <si>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</si>
  <si>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</si>
  <si>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</si>
  <si>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</si>
  <si>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</si>
  <si>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</si>
  <si>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</si>
  <si>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</si>
  <si>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</si>
  <si>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</si>
  <si>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</si>
  <si>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</si>
  <si>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</si>
  <si>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</si>
  <si>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</si>
  <si>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</si>
  <si>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</si>
  <si>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</si>
  <si>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</si>
  <si>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</si>
  <si>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</si>
  <si>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</si>
  <si>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</si>
  <si>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</si>
  <si>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</si>
  <si>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</si>
  <si>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</si>
  <si>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</si>
  <si>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</si>
  <si>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</si>
  <si>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</si>
  <si>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</si>
  <si>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</si>
  <si>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</si>
  <si>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</si>
  <si>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</si>
  <si>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</si>
  <si>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</si>
  <si>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</si>
  <si>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</si>
  <si>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</si>
  <si>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</si>
  <si>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</si>
  <si>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</si>
  <si>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</si>
  <si>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</si>
  <si>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</si>
  <si>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</si>
  <si>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</si>
  <si>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</si>
  <si>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</si>
  <si>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</si>
  <si>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</si>
  <si>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</si>
  <si>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</si>
  <si>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</si>
  <si>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</si>
  <si>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</si>
  <si>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</si>
  <si>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</si>
  <si>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</si>
  <si>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</si>
  <si>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</si>
  <si>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</si>
  <si>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</si>
  <si>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</si>
  <si>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</si>
  <si>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</si>
  <si>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</si>
  <si>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</si>
  <si>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</si>
  <si>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</si>
  <si>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</si>
  <si>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</si>
  <si>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</si>
  <si>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</si>
  <si>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</si>
  <si>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</si>
  <si>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</si>
  <si>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</si>
  <si>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</si>
  <si>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</si>
  <si>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</si>
  <si>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</si>
  <si>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</si>
  <si>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</si>
  <si>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</si>
  <si>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</si>
  <si>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</si>
  <si>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</si>
  <si>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</si>
  <si>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</si>
  <si>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</si>
  <si>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</si>
  <si>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</si>
  <si>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</si>
  <si>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</si>
  <si>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</si>
  <si>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</si>
  <si>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</si>
  <si>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</si>
  <si>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</si>
  <si>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</si>
  <si>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</si>
  <si>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</si>
  <si>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</si>
  <si>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</si>
  <si>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</si>
  <si>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</si>
  <si>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</si>
  <si>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</si>
  <si>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</si>
  <si>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</si>
  <si>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</si>
  <si>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</si>
  <si>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</si>
  <si>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</si>
  <si>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</si>
  <si>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</si>
  <si>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</si>
  <si>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</si>
  <si>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</si>
  <si>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</si>
  <si>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</si>
  <si>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</si>
  <si>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</si>
  <si>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</si>
  <si>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</si>
  <si>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</si>
  <si>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</si>
  <si>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</si>
  <si>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</si>
  <si>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</si>
  <si>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</si>
  <si>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</si>
  <si>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</si>
  <si>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</si>
  <si>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</si>
  <si>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</si>
  <si>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</si>
  <si>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</si>
  <si>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</si>
  <si>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</si>
  <si>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</si>
  <si>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</si>
  <si>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</si>
  <si>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</si>
  <si>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</si>
  <si>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</si>
  <si>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</si>
  <si>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</si>
  <si>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</si>
  <si>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</si>
  <si>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</si>
  <si>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</si>
  <si>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</si>
  <si>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</si>
  <si>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</si>
  <si>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</si>
  <si>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</si>
  <si>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</si>
  <si>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</si>
  <si>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</si>
  <si>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</si>
  <si>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</si>
  <si>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</si>
  <si>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</si>
  <si>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</si>
  <si>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</si>
  <si>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</si>
  <si>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</si>
  <si>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</si>
  <si>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</si>
  <si>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</si>
  <si>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</si>
  <si>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</si>
  <si>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</si>
  <si>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</si>
  <si>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</si>
  <si>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</si>
  <si>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</si>
  <si>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</si>
  <si>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</si>
  <si>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</si>
  <si>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</si>
  <si>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</si>
  <si>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</si>
  <si>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</si>
  <si>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</si>
  <si>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</si>
  <si>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</si>
  <si>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</si>
  <si>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</si>
  <si>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</si>
  <si>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</si>
  <si>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</si>
  <si>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</si>
  <si>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</si>
  <si>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</si>
  <si>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</si>
  <si>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</si>
  <si>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</si>
  <si>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</si>
  <si>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</si>
  <si>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</si>
  <si>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</si>
  <si>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</si>
  <si>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</si>
  <si>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</si>
  <si>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</si>
  <si>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</si>
  <si>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</si>
  <si>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</si>
  <si>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</si>
  <si>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</si>
  <si>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</si>
  <si>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</si>
  <si>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</si>
  <si>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</si>
  <si>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</si>
  <si>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</si>
  <si>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</si>
  <si>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</si>
  <si>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</si>
  <si>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</si>
  <si>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</si>
  <si>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</si>
  <si>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</si>
  <si>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</si>
  <si>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</si>
  <si>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</si>
  <si>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</si>
  <si>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</si>
  <si>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</si>
  <si>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</si>
  <si>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</si>
  <si>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</si>
  <si>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</si>
  <si>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</si>
  <si>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</si>
  <si>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</si>
  <si>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</si>
  <si>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</si>
  <si>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</si>
  <si>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</si>
  <si>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</si>
  <si>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</si>
  <si>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</si>
  <si>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</si>
  <si>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</si>
  <si>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</si>
  <si>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</si>
  <si>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</si>
  <si>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</si>
  <si>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</si>
  <si>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</si>
  <si>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</si>
  <si>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</si>
  <si>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</si>
  <si>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</si>
  <si>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</si>
  <si>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</si>
  <si>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</si>
  <si>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</si>
  <si>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</si>
  <si>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</si>
  <si>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</si>
  <si>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</si>
  <si>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</si>
  <si>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</si>
  <si>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</si>
  <si>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</si>
  <si>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</si>
  <si>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</si>
  <si>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</si>
  <si>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</si>
  <si>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</si>
  <si>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</si>
  <si>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</si>
  <si>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</si>
  <si>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</si>
  <si>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</si>
  <si>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</si>
  <si>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</si>
  <si>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</si>
  <si>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</si>
  <si>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</si>
  <si>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</si>
  <si>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</si>
  <si>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</si>
  <si>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</si>
  <si>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</si>
  <si>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</si>
  <si>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</si>
  <si>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</si>
  <si>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</si>
  <si>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</si>
  <si>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</si>
  <si>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</si>
  <si>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</si>
  <si>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</si>
  <si>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</si>
  <si>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</si>
  <si>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</si>
  <si>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</si>
  <si>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</si>
  <si>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</si>
  <si>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</si>
  <si>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</si>
  <si>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</si>
  <si>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</si>
  <si>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</si>
  <si>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</si>
  <si>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</si>
  <si>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</si>
  <si>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</si>
  <si>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</si>
  <si>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</si>
  <si>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</si>
  <si>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</si>
  <si>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</si>
  <si>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</si>
  <si>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</si>
  <si>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</si>
  <si>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</si>
  <si>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</si>
  <si>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</si>
  <si>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</si>
  <si>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</si>
  <si>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</si>
  <si>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</si>
  <si>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</si>
  <si>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</si>
  <si>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</si>
  <si>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</si>
  <si>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</si>
  <si>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</si>
  <si>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</si>
  <si>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</si>
  <si>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</si>
  <si>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</si>
  <si>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</si>
  <si>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</si>
  <si>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</si>
  <si>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</si>
  <si>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</si>
  <si>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</si>
  <si>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</si>
  <si>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</si>
  <si>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</si>
  <si>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</si>
  <si>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</si>
  <si>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</si>
  <si>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</si>
  <si>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</si>
  <si>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</si>
  <si>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</si>
  <si>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</si>
  <si>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</si>
  <si>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</si>
  <si>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</si>
  <si>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</si>
  <si>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</si>
  <si>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</si>
  <si>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</si>
  <si>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</si>
  <si>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</si>
  <si>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</si>
  <si>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</si>
  <si>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</si>
  <si>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</si>
  <si>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</si>
  <si>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</si>
  <si>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</si>
  <si>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</si>
  <si>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</si>
  <si>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</si>
  <si>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</si>
  <si>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</si>
  <si>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</si>
  <si>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</si>
  <si>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</si>
  <si>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</si>
  <si>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</si>
  <si>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</si>
  <si>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</si>
  <si>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</si>
  <si>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</si>
  <si>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</si>
  <si>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</si>
  <si>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</si>
  <si>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</si>
  <si>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</si>
  <si>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</si>
  <si>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</si>
  <si>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</si>
  <si>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</si>
  <si>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</si>
  <si>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</si>
  <si>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</si>
  <si>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</si>
  <si>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</si>
  <si>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</si>
  <si>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</si>
  <si>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</si>
  <si>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</si>
  <si>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</si>
  <si>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</si>
  <si>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</si>
  <si>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</si>
  <si>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</si>
  <si>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</si>
  <si>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</si>
  <si>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</si>
  <si>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</si>
  <si>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</si>
  <si>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</si>
  <si>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</si>
  <si>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</si>
  <si>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</si>
  <si>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</si>
  <si>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</si>
  <si>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</si>
  <si>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</si>
  <si>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</si>
  <si>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</si>
  <si>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</si>
  <si>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</si>
  <si>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</si>
  <si>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</si>
  <si>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</si>
  <si>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</si>
  <si>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</si>
  <si>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</si>
  <si>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</si>
  <si>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</si>
  <si>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</si>
  <si>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</si>
  <si>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</si>
  <si>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</si>
  <si>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</si>
  <si>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</si>
  <si>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</si>
  <si>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</si>
  <si>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</si>
  <si>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</si>
  <si>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</si>
  <si>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</si>
  <si>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</si>
  <si>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</si>
  <si>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</si>
  <si>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</si>
  <si>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</si>
  <si>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</si>
  <si>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</si>
  <si>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</si>
  <si>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</si>
  <si>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</si>
  <si>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</si>
  <si>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</si>
  <si>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</si>
  <si>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</si>
  <si>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</si>
  <si>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</si>
  <si>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</si>
  <si>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</si>
  <si>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</si>
  <si>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</si>
  <si>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</si>
  <si>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</si>
  <si>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</si>
  <si>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</si>
  <si>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</si>
  <si>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</si>
  <si>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</si>
  <si>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</si>
  <si>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</si>
  <si>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</si>
  <si>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</si>
  <si>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</si>
  <si>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</si>
  <si>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</si>
  <si>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</si>
  <si>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</si>
  <si>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</si>
  <si>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</si>
  <si>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</si>
  <si>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</si>
  <si>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</si>
  <si>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</si>
  <si>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</si>
  <si>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</si>
  <si>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</si>
  <si>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</si>
  <si>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</si>
  <si>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</si>
  <si>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</si>
  <si>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</si>
  <si>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</si>
  <si>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</si>
  <si>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</si>
  <si>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</si>
  <si>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</si>
  <si>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</si>
  <si>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</si>
  <si>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</si>
  <si>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</si>
  <si>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</si>
  <si>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</si>
  <si>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</si>
  <si>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</si>
  <si>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</si>
  <si>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</si>
  <si>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</si>
  <si>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</si>
  <si>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</si>
  <si>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</si>
  <si>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</si>
  <si>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</si>
  <si>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</si>
  <si>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</si>
  <si>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</si>
  <si>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</si>
  <si>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</si>
  <si>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</si>
  <si>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</si>
  <si>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</si>
  <si>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</si>
  <si>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</si>
  <si>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</si>
  <si>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</si>
  <si>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</si>
  <si>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</si>
  <si>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</si>
  <si>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</si>
  <si>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</si>
  <si>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</si>
  <si>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</si>
  <si>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</si>
  <si>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</si>
  <si>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</si>
  <si>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</si>
  <si>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</si>
  <si>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</si>
  <si>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</si>
  <si>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</si>
  <si>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</si>
  <si>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</si>
  <si>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</si>
  <si>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</si>
  <si>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</si>
  <si>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</si>
  <si>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</si>
  <si>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</si>
  <si>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</si>
  <si>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</si>
  <si>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</si>
  <si>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</si>
  <si>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</si>
  <si>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</si>
  <si>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</si>
  <si>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</si>
  <si>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</si>
  <si>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</si>
  <si>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</si>
  <si>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</si>
  <si>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</si>
  <si>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</si>
  <si>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</si>
  <si>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</si>
  <si>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</si>
  <si>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</si>
  <si>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</si>
  <si>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</si>
  <si>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</si>
  <si>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</si>
  <si>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</si>
  <si>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</si>
  <si>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</si>
  <si>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</si>
  <si>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</si>
  <si>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</si>
  <si>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</si>
  <si>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</si>
  <si>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</si>
  <si>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</si>
  <si>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</si>
  <si>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</si>
  <si>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</si>
  <si>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</si>
  <si>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</si>
  <si>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</si>
  <si>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</si>
  <si>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</si>
  <si>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</si>
  <si>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</si>
  <si>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</si>
  <si>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</si>
  <si>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</si>
  <si>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</si>
  <si>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</si>
  <si>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</si>
  <si>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</si>
  <si>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</si>
  <si>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</si>
  <si>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</si>
  <si>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</si>
  <si>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</si>
  <si>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</si>
  <si>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</si>
  <si>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</si>
  <si>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</si>
  <si>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</si>
  <si>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</si>
  <si>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</si>
  <si>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</si>
  <si>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</si>
  <si>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</si>
  <si>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</si>
  <si>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</si>
  <si>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</si>
  <si>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</si>
  <si>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</si>
  <si>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</si>
  <si>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</si>
  <si>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</si>
  <si>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</si>
  <si>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</si>
  <si>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</si>
  <si>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</si>
  <si>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</si>
  <si>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</si>
  <si>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</si>
  <si>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</si>
  <si>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</si>
  <si>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</si>
  <si>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</si>
  <si>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</si>
  <si>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</si>
  <si>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</si>
  <si>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</si>
  <si>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</si>
  <si>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</si>
  <si>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</si>
  <si>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</si>
  <si>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</si>
  <si>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</si>
  <si>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</si>
  <si>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</si>
  <si>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</si>
  <si>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</si>
  <si>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</si>
  <si>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</si>
  <si>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</si>
  <si>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</si>
  <si>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</si>
  <si>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</si>
  <si>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</si>
  <si>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</si>
  <si>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</si>
  <si>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</si>
  <si>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</si>
  <si>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</si>
  <si>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</si>
  <si>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</si>
  <si>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</si>
  <si>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</si>
  <si>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</si>
  <si>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</si>
  <si>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</si>
  <si>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</si>
  <si>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</si>
  <si>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</si>
  <si>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</si>
  <si>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</si>
  <si>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</si>
  <si>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</si>
  <si>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</si>
  <si>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</si>
  <si>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</si>
  <si>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</si>
  <si>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</si>
  <si>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</si>
  <si>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</si>
  <si>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</si>
  <si>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</si>
  <si>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</si>
  <si>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</si>
  <si>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</si>
  <si>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</si>
  <si>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</si>
  <si>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</si>
  <si>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</si>
  <si>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</si>
  <si>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</si>
  <si>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</si>
  <si>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</si>
  <si>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</si>
  <si>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</si>
  <si>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</si>
  <si>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</si>
  <si>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</si>
  <si>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</si>
  <si>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</si>
  <si>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</si>
  <si>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</si>
  <si>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</si>
  <si>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</si>
  <si>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</si>
  <si>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</si>
  <si>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</si>
  <si>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</si>
  <si>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</si>
  <si>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</si>
  <si>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</si>
  <si>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</si>
  <si>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</si>
  <si>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</si>
  <si>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</si>
  <si>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</si>
  <si>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</si>
  <si>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</si>
  <si>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</si>
  <si>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</si>
  <si>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</si>
  <si>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</si>
  <si>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</si>
  <si>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</si>
  <si>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</si>
  <si>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</si>
  <si>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</si>
  <si>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</si>
  <si>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</si>
  <si>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</si>
  <si>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</si>
  <si>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</si>
  <si>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</si>
  <si>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</si>
  <si>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</si>
  <si>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</si>
  <si>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</si>
  <si>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</si>
  <si>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</si>
  <si>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</si>
  <si>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</si>
  <si>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</si>
  <si>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</si>
  <si>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</si>
  <si>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</si>
  <si>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</si>
  <si>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</si>
  <si>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</si>
  <si>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</si>
  <si>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</si>
  <si>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</si>
  <si>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</si>
  <si>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</si>
  <si>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</si>
  <si>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</si>
  <si>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</si>
  <si>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</si>
  <si>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</si>
  <si>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</si>
  <si>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</si>
  <si>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</si>
  <si>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</si>
  <si>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</si>
  <si>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</si>
  <si>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</si>
  <si>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</si>
  <si>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</si>
  <si>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</si>
  <si>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</si>
  <si>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</si>
  <si>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</si>
  <si>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</si>
  <si>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</si>
  <si>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</si>
  <si>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</si>
  <si>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</si>
  <si>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</si>
  <si>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</si>
  <si>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</si>
  <si>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</si>
  <si>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</si>
  <si>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</si>
  <si>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</si>
  <si>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</si>
  <si>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</si>
  <si>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</si>
  <si>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</si>
  <si>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</si>
  <si>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</si>
  <si>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</si>
  <si>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</si>
  <si>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</si>
  <si>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</si>
  <si>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</si>
  <si>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</si>
  <si>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</si>
  <si>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</si>
  <si>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</si>
  <si>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</si>
  <si>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</si>
  <si>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</si>
  <si>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</si>
  <si>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</si>
  <si>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</si>
  <si>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</si>
  <si>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</si>
  <si>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</si>
  <si>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</si>
  <si>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</si>
  <si>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</si>
  <si>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</si>
  <si>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</si>
  <si>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</si>
  <si>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</si>
  <si>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</si>
  <si>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</si>
  <si>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</si>
  <si>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</si>
  <si>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</si>
  <si>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</si>
  <si>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</si>
  <si>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</si>
  <si>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</si>
  <si>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</si>
  <si>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</si>
  <si>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</si>
  <si>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</si>
  <si>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</si>
  <si>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</si>
  <si>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</si>
  <si>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</si>
  <si>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</si>
  <si>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</si>
  <si>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</si>
  <si>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</si>
  <si>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</si>
  <si>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</si>
  <si>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</si>
  <si>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</si>
  <si>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</si>
  <si>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</si>
  <si>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</si>
  <si>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</si>
  <si>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</si>
  <si>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</si>
  <si>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</si>
  <si>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</si>
  <si>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</si>
  <si>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</si>
  <si>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</si>
  <si>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</si>
  <si>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</si>
  <si>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</si>
  <si>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</si>
  <si>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</si>
  <si>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</si>
  <si>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</si>
  <si>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</si>
  <si>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</si>
  <si>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</si>
  <si>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</si>
  <si>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</si>
  <si>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</si>
  <si>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</si>
  <si>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</si>
  <si>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</si>
  <si>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</si>
  <si>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</si>
  <si>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</si>
  <si>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</si>
  <si>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</si>
  <si>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</si>
  <si>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</si>
  <si>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</si>
  <si>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</si>
  <si>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</si>
  <si>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</si>
  <si>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</si>
  <si>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</si>
  <si>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</si>
  <si>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</si>
  <si>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</si>
  <si>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</si>
  <si>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</si>
  <si>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</si>
  <si>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</si>
  <si>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</si>
  <si>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</si>
  <si>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</si>
  <si>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</si>
  <si>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</si>
  <si>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</si>
  <si>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</si>
  <si>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</si>
  <si>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</si>
  <si>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</si>
  <si>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</si>
  <si>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</si>
  <si>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</si>
  <si>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</si>
  <si>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</si>
  <si>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</si>
  <si>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</si>
  <si>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</si>
  <si>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</si>
  <si>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</si>
  <si>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</si>
  <si>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</si>
  <si>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</si>
  <si>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</si>
  <si>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</si>
  <si>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</si>
  <si>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</si>
  <si>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</si>
  <si>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</si>
  <si>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</si>
  <si>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</si>
  <si>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</si>
  <si>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</si>
  <si>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</si>
  <si>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</si>
  <si>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</si>
  <si>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</si>
  <si>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</si>
  <si>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</si>
  <si>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</si>
  <si>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</si>
  <si>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</si>
  <si>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</si>
  <si>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</si>
  <si>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</si>
  <si>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</si>
  <si>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</si>
  <si>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</si>
  <si>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</si>
  <si>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</si>
  <si>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</si>
  <si>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</si>
  <si>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</si>
  <si>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</si>
  <si>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</si>
  <si>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</si>
  <si>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</si>
  <si>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</si>
  <si>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</si>
  <si>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</si>
  <si>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</si>
  <si>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</si>
  <si>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</si>
  <si>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</si>
  <si>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</si>
  <si>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</si>
  <si>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</si>
  <si>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</si>
  <si>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</si>
  <si>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</si>
  <si>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</si>
  <si>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</si>
  <si>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</si>
  <si>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</si>
  <si>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</si>
  <si>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</si>
  <si>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</si>
  <si>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</si>
  <si>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</si>
  <si>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</si>
  <si>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</si>
  <si>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</si>
  <si>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</si>
  <si>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</si>
  <si>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</si>
  <si>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</si>
  <si>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</si>
  <si>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</si>
  <si>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</si>
  <si>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</si>
  <si>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</si>
  <si>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</si>
  <si>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</si>
  <si>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</si>
  <si>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</si>
  <si>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</si>
  <si>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</si>
  <si>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</si>
  <si>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</si>
  <si>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</si>
  <si>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</si>
  <si>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</si>
  <si>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</si>
  <si>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</si>
  <si>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</si>
  <si>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</si>
  <si>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</si>
  <si>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</si>
  <si>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</si>
  <si>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</si>
  <si>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</si>
  <si>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</si>
  <si>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</si>
  <si>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</si>
  <si>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</si>
  <si>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</si>
  <si>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</si>
  <si>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</si>
  <si>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</si>
  <si>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</si>
  <si>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</si>
  <si>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</si>
  <si>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</si>
  <si>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</si>
  <si>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</si>
  <si>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</si>
  <si>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</si>
  <si>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</si>
  <si>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</si>
  <si>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</si>
  <si>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</si>
  <si>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</si>
  <si>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</si>
  <si>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</si>
  <si>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</si>
  <si>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</si>
  <si>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</si>
  <si>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</si>
  <si>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</si>
  <si>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</si>
  <si>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</si>
  <si>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</si>
  <si>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</si>
  <si>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</si>
  <si>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</si>
  <si>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</si>
  <si>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</si>
  <si>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</si>
  <si>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</si>
  <si>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</si>
  <si>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</si>
  <si>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</si>
  <si>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</si>
  <si>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</si>
  <si>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</si>
  <si>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</si>
  <si>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</si>
  <si>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</si>
  <si>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</si>
  <si>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</si>
  <si>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</si>
  <si>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</si>
  <si>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</si>
  <si>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</si>
  <si>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</si>
  <si>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</si>
  <si>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</si>
  <si>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</si>
  <si>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</si>
  <si>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</si>
  <si>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</si>
  <si>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</si>
  <si>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</si>
  <si>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</si>
  <si>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</si>
  <si>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</si>
  <si>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</si>
  <si>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</si>
  <si>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</si>
  <si>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</si>
  <si>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</si>
  <si>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</si>
  <si>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</si>
  <si>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</si>
  <si>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</si>
  <si>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</si>
  <si>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</si>
  <si>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</si>
  <si>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</si>
  <si>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</si>
  <si>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</si>
  <si>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</si>
  <si>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</si>
  <si>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</si>
  <si>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</si>
  <si>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</si>
  <si>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</si>
  <si>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</si>
  <si>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</si>
  <si>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</si>
  <si>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</si>
  <si>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</si>
  <si>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</si>
  <si>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</si>
  <si>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</si>
  <si>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</si>
  <si>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</si>
  <si>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</si>
  <si>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</si>
  <si>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</si>
  <si>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</si>
  <si>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</si>
  <si>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</si>
  <si>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</si>
  <si>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</si>
  <si>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</si>
  <si>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</si>
  <si>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</si>
  <si>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</si>
  <si>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</si>
  <si>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</si>
  <si>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</si>
  <si>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</si>
  <si>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</si>
  <si>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</si>
  <si>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</si>
  <si>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</si>
  <si>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</si>
  <si>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</si>
  <si>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</si>
  <si>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</si>
  <si>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</si>
  <si>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</si>
  <si>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</si>
  <si>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</si>
  <si>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</si>
  <si>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</si>
  <si>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</si>
  <si>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</si>
  <si>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</si>
  <si>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</si>
  <si>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</si>
  <si>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</si>
  <si>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</si>
  <si>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</si>
  <si>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</si>
  <si>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</si>
  <si>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</si>
  <si>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</si>
  <si>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</si>
  <si>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</si>
  <si>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</si>
  <si>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</si>
  <si>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</si>
  <si>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</si>
  <si>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</si>
  <si>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</si>
  <si>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</si>
  <si>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</si>
  <si>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</si>
  <si>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</si>
  <si>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</si>
  <si>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</si>
  <si>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</si>
  <si>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</si>
  <si>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</si>
  <si>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</si>
  <si>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</si>
  <si>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</si>
  <si>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</si>
  <si>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</si>
  <si>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</si>
  <si>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</si>
  <si>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</si>
  <si>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</si>
  <si>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</si>
  <si>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</si>
  <si>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</si>
  <si>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</si>
  <si>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</si>
  <si>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</si>
  <si>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</si>
  <si>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</si>
  <si>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</si>
  <si>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</si>
  <si>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</si>
  <si>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</si>
  <si>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</si>
  <si>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</si>
  <si>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</si>
  <si>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</si>
  <si>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</si>
  <si>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</si>
  <si>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</si>
  <si>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</si>
  <si>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</si>
  <si>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</si>
  <si>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</si>
  <si>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</si>
  <si>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</si>
  <si>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</si>
  <si>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</si>
  <si>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</si>
  <si>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</si>
  <si>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</si>
  <si>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</si>
  <si>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</si>
  <si>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</si>
  <si>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</si>
  <si>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</si>
  <si>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</si>
  <si>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</si>
  <si>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</si>
  <si>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</si>
  <si>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</si>
  <si>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</si>
  <si>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</si>
  <si>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</si>
  <si>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</si>
  <si>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</si>
  <si>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</si>
  <si>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</si>
  <si>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</si>
  <si>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</si>
  <si>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</si>
  <si>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</si>
  <si>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</si>
  <si>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</si>
  <si>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</si>
  <si>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</si>
  <si>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</si>
  <si>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</si>
  <si>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</si>
  <si>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</si>
  <si>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</si>
  <si>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</si>
  <si>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</si>
  <si>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</si>
  <si>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</si>
  <si>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</si>
  <si>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</si>
  <si>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</si>
  <si>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</si>
  <si>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</si>
  <si>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</si>
  <si>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</si>
  <si>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</si>
  <si>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</si>
  <si>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</si>
  <si>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</si>
  <si>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</si>
  <si>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</si>
  <si>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</si>
  <si>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</si>
  <si>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</si>
  <si>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</si>
  <si>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</si>
  <si>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</si>
  <si>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</si>
  <si>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</si>
  <si>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</si>
  <si>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</si>
  <si>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</si>
  <si>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</si>
  <si>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</si>
  <si>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</si>
  <si>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</si>
  <si>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</si>
  <si>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</si>
  <si>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</si>
  <si>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</si>
  <si>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</si>
  <si>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</si>
  <si>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</si>
  <si>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</si>
  <si>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</si>
  <si>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</si>
  <si>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</si>
  <si>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</si>
  <si>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</si>
  <si>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</si>
  <si>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</si>
  <si>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</si>
  <si>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</si>
  <si>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</si>
  <si>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</si>
  <si>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</si>
  <si>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</si>
  <si>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</si>
  <si>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</si>
  <si>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</si>
  <si>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</si>
  <si>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</si>
  <si>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</si>
  <si>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</si>
  <si>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</si>
  <si>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</si>
  <si>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</si>
  <si>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</si>
  <si>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</si>
  <si>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</si>
  <si>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</si>
  <si>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</si>
  <si>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</si>
  <si>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</si>
  <si>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</si>
  <si>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</si>
  <si>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</si>
  <si>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</si>
  <si>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</si>
  <si>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</si>
  <si>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</si>
  <si>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</si>
  <si>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</si>
  <si>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</si>
  <si>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</si>
  <si>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</si>
  <si>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</si>
  <si>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</si>
  <si>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</si>
  <si>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</si>
  <si>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否</t>
  </si>
  <si>
    <t>居住项目</t>
  </si>
  <si>
    <t>无</t>
  </si>
  <si>
    <t>场地平整</t>
  </si>
  <si>
    <t>平整</t>
  </si>
  <si>
    <t>通路</t>
  </si>
  <si>
    <t>通电</t>
  </si>
  <si>
    <t>通讯</t>
  </si>
  <si>
    <t>通上水</t>
  </si>
  <si>
    <t>通下水</t>
  </si>
  <si>
    <t>燃气</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</si>
  <si>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</si>
  <si>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</si>
  <si>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</si>
  <si>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</si>
  <si>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</si>
  <si>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</si>
  <si>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</si>
  <si>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</si>
  <si>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</si>
  <si>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</si>
  <si>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</si>
  <si>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</si>
  <si>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</si>
  <si>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</si>
  <si>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</si>
  <si>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</si>
  <si>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</si>
  <si>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</si>
  <si>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</si>
  <si>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</si>
  <si>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丹阳市</t>
  </si>
  <si>
    <t>丹阳市</t>
    <phoneticPr fontId="3" type="noConversion"/>
  </si>
  <si>
    <t>北二环路北侧</t>
  </si>
  <si>
    <t>北二环路北侧</t>
    <phoneticPr fontId="3" type="noConversion"/>
  </si>
  <si>
    <t>吴薇</t>
  </si>
  <si>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</si>
  <si>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</si>
  <si>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</si>
  <si>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</si>
  <si>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</si>
  <si>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</si>
  <si>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</si>
  <si>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</si>
  <si>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</si>
  <si>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</si>
  <si>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</si>
  <si>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</si>
  <si>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</si>
  <si>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</si>
  <si>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</si>
  <si>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</si>
  <si>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</si>
  <si>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</si>
  <si>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</si>
  <si>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</si>
  <si>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</si>
  <si>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</si>
  <si>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</si>
  <si>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</si>
  <si>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</si>
  <si>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</si>
  <si>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</si>
  <si>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</si>
  <si>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</si>
  <si>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</si>
  <si>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</si>
  <si>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</si>
  <si>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</si>
  <si>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</si>
  <si>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</si>
  <si>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</si>
  <si>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</si>
  <si>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</si>
  <si>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</si>
  <si>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</si>
  <si>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</si>
  <si>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</si>
  <si>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</si>
  <si>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</si>
  <si>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</si>
  <si>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</si>
  <si>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</si>
  <si>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</si>
  <si>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</si>
  <si>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</si>
  <si>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</si>
  <si>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</si>
  <si>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</si>
  <si>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</si>
  <si>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</si>
  <si>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</si>
  <si>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</si>
  <si>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</si>
  <si>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</si>
  <si>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</si>
  <si>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</si>
  <si>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</si>
  <si>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</si>
  <si>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</si>
  <si>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</si>
  <si>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</si>
  <si>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</si>
  <si>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</si>
  <si>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曲阿路西侧,兰陵路北侧</t>
  </si>
  <si>
    <t>镇江市</t>
  </si>
  <si>
    <t>住宅用地</t>
  </si>
  <si>
    <t>挂牌</t>
  </si>
  <si>
    <t>G1810</t>
  </si>
  <si>
    <t>中低价位、中小套型普通商品住房用地</t>
  </si>
  <si>
    <t>＞1,≤2</t>
  </si>
  <si>
    <t>≤30%</t>
  </si>
  <si>
    <t>未开工</t>
  </si>
  <si>
    <t>2018-06-20</t>
  </si>
  <si>
    <t>2018-07-11</t>
  </si>
  <si>
    <t>2018-07-20</t>
  </si>
  <si>
    <t>丹阳市网挂[2018]经营02号-2</t>
  </si>
  <si>
    <t>已成交</t>
  </si>
  <si>
    <t>丹阳市融锦宏星置业发展有限公司</t>
  </si>
  <si>
    <t>70年</t>
  </si>
  <si>
    <t>创业路西侧</t>
  </si>
  <si>
    <t>G1811</t>
  </si>
  <si>
    <t>＞1,≤2.2</t>
  </si>
  <si>
    <t>丹阳市网挂[2018]经营02号-3</t>
  </si>
  <si>
    <t>丹阳市天怡房屋建设开发有限责任公司</t>
  </si>
  <si>
    <t>九曲路南侧</t>
  </si>
  <si>
    <t>G1809</t>
  </si>
  <si>
    <t>丹阳市网挂[2018]经营02号-1</t>
  </si>
  <si>
    <t>大亚科技集团有限公司</t>
  </si>
  <si>
    <t>水关路西侧</t>
  </si>
  <si>
    <t>G1805</t>
  </si>
  <si>
    <t>＞1,≤3.5</t>
  </si>
  <si>
    <t>2018-05-29</t>
  </si>
  <si>
    <t>2018-06-19</t>
  </si>
  <si>
    <t>2018-06-28</t>
  </si>
  <si>
    <t>丹阳市网挂[2018]经营01号-5</t>
  </si>
  <si>
    <t>江苏和美置业有限公司</t>
  </si>
  <si>
    <t>丝绸路南侧</t>
  </si>
  <si>
    <t>G1804</t>
  </si>
  <si>
    <t>＞1,≤2.5</t>
  </si>
  <si>
    <t>≤28%</t>
  </si>
  <si>
    <t>丹阳市网挂[2018]经营01号-4</t>
  </si>
  <si>
    <t>丹阳市金鼎投资有限公司</t>
  </si>
  <si>
    <t>丹句路北侧</t>
  </si>
  <si>
    <t>G1801</t>
  </si>
  <si>
    <t>≤20%</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</si>
  <si>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</si>
  <si>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</si>
  <si>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</si>
  <si>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</si>
  <si>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</si>
  <si>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</si>
  <si>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</si>
  <si>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</si>
  <si>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</si>
  <si>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</si>
  <si>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</si>
  <si>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</si>
  <si>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S241西侧,水关西路北侧</t>
  </si>
  <si>
    <t>G1734</t>
  </si>
  <si>
    <t>＞1且≤2.5</t>
  </si>
  <si>
    <t>≤30</t>
  </si>
  <si>
    <t>开工中</t>
  </si>
  <si>
    <t>2017-09-15</t>
  </si>
  <si>
    <t>2017-10-09</t>
  </si>
  <si>
    <t>2017-10-18</t>
  </si>
  <si>
    <t>丹阳市网挂[2017]经营01号</t>
  </si>
  <si>
    <t>丹阳市安居工程建设投资有限公司</t>
  </si>
  <si>
    <t>胡高路北侧</t>
  </si>
  <si>
    <t>G1741</t>
  </si>
  <si>
    <t>＞1且≤1.3</t>
  </si>
  <si>
    <t>≤33</t>
  </si>
  <si>
    <t>丹阳金港置业有限公司</t>
  </si>
  <si>
    <t>G1742</t>
  </si>
  <si>
    <t>陵口镇货场路北侧</t>
  </si>
  <si>
    <t>G1743</t>
  </si>
  <si>
    <t>＞1且≤1.8</t>
  </si>
  <si>
    <t>南三环路南侧</t>
  </si>
  <si>
    <t>G1731</t>
  </si>
  <si>
    <t>丹阳高新区投资发展有限公司</t>
  </si>
  <si>
    <t>G1735</t>
  </si>
  <si>
    <t>＞1且≤3</t>
  </si>
  <si>
    <t>≤28</t>
  </si>
  <si>
    <t>西环路东侧</t>
  </si>
  <si>
    <t>G1732</t>
  </si>
  <si>
    <t>南三环路南侧(丹凤公园西侧)</t>
  </si>
  <si>
    <t>G1727</t>
  </si>
  <si>
    <t>1＜容积率≤2.20</t>
  </si>
  <si>
    <t>建筑密度≤30%</t>
  </si>
  <si>
    <t>2017-06-29</t>
  </si>
  <si>
    <t>2017-07-20</t>
  </si>
  <si>
    <t>2017-07-31</t>
  </si>
  <si>
    <t>丹阳市挂[2017]经营03号</t>
  </si>
  <si>
    <t>金陵西路南侧</t>
  </si>
  <si>
    <t>G1729</t>
  </si>
  <si>
    <t>1.80＜容积率≤3.50</t>
  </si>
  <si>
    <t>丹阳市华昌房屋开发有限公司</t>
  </si>
  <si>
    <t>G1726</t>
  </si>
  <si>
    <t>江苏南碧房地产开发有限公司</t>
  </si>
  <si>
    <t>振兴路南侧</t>
  </si>
  <si>
    <t>G1728</t>
  </si>
  <si>
    <t>1＜容积率≤2.50</t>
  </si>
  <si>
    <t>常州弘阳广场置业有限公司</t>
  </si>
  <si>
    <t>华南路东侧</t>
  </si>
  <si>
    <t>G1723</t>
  </si>
  <si>
    <t>2017-02-10</t>
  </si>
  <si>
    <t>2017-03-03</t>
  </si>
  <si>
    <t>2017-03-14</t>
  </si>
  <si>
    <t>丹阳市挂[2017]经营02号-12</t>
  </si>
  <si>
    <t>南通中南新世界中心开发有限公司</t>
  </si>
  <si>
    <t>华南路西侧</t>
  </si>
  <si>
    <t>G1719</t>
  </si>
  <si>
    <t>丹阳市挂[2017]经营02号-8</t>
  </si>
  <si>
    <t>黄金塘路北侧</t>
  </si>
  <si>
    <t>G1715</t>
  </si>
  <si>
    <t>≥1.8且≤3</t>
  </si>
  <si>
    <t>丹阳市挂[2017]经营02号-4</t>
  </si>
  <si>
    <t>丹阳市曲阿安居工程建设开发有限公司</t>
  </si>
  <si>
    <t>葛丹公路东侧</t>
  </si>
  <si>
    <t>G1713</t>
  </si>
  <si>
    <t>≤25</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</si>
  <si>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</si>
  <si>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</si>
  <si>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</si>
  <si>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</si>
  <si>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</si>
  <si>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</si>
  <si>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</si>
  <si>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</si>
  <si>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</si>
  <si>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</si>
  <si>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</si>
  <si>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</si>
  <si>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</si>
  <si>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</si>
  <si>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</si>
  <si>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</si>
  <si>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</si>
  <si>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</si>
  <si>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</si>
  <si>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</si>
  <si>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G1702</t>
  </si>
  <si>
    <t>2017-01-12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</si>
  <si>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</si>
  <si>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</si>
  <si>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</si>
  <si>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</si>
  <si>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</si>
  <si>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</si>
  <si>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</si>
  <si>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</si>
  <si>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</si>
  <si>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</si>
  <si>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</si>
  <si>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</si>
  <si>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</si>
  <si>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</si>
  <si>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</si>
  <si>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</si>
  <si>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</si>
  <si>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</si>
  <si>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</si>
  <si>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G1628</t>
  </si>
  <si>
    <t>2016-08-18</t>
  </si>
  <si>
    <t>2016-09-09</t>
  </si>
  <si>
    <t>2016-09-20</t>
  </si>
  <si>
    <t>丹阳市挂[2016]经营07号-2</t>
  </si>
  <si>
    <t>G1627</t>
  </si>
  <si>
    <t>丹阳市挂[2016]经营07号-1</t>
  </si>
  <si>
    <t>G1630</t>
  </si>
  <si>
    <t>丹阳市挂[2016]经营07号-4</t>
  </si>
  <si>
    <t>G1632</t>
  </si>
  <si>
    <t>丹阳市挂[2016]经营07号-6</t>
  </si>
  <si>
    <t>G1631</t>
  </si>
  <si>
    <t>丹阳市挂[2016]经营07号-5</t>
  </si>
  <si>
    <t>G1629</t>
  </si>
  <si>
    <t>丹阳市挂[2016]经营07号-3</t>
  </si>
  <si>
    <t>薛甲路南侧</t>
  </si>
  <si>
    <t>G1624</t>
  </si>
  <si>
    <t>≥1.8且≤2.4</t>
  </si>
  <si>
    <t>2016-08-16</t>
  </si>
  <si>
    <t>2016-09-07</t>
  </si>
  <si>
    <t>2016-09-19</t>
  </si>
  <si>
    <t>丹阳市挂[2016]经营06号-5</t>
  </si>
  <si>
    <t>西环路南侧</t>
  </si>
  <si>
    <t>G1625</t>
  </si>
  <si>
    <t>＞1且≤2</t>
  </si>
  <si>
    <t>丹阳市挂[2016]经营06号-6</t>
  </si>
  <si>
    <t>G1623</t>
  </si>
  <si>
    <t>丹阳市挂[2016]经营06号-4</t>
  </si>
  <si>
    <t>锦湖路北侧</t>
  </si>
  <si>
    <t>G1622</t>
  </si>
  <si>
    <t>≤26</t>
  </si>
  <si>
    <t>丹阳市挂[2016]经营06号-3</t>
  </si>
  <si>
    <t>香草河北侧</t>
  </si>
  <si>
    <t>G1621</t>
  </si>
  <si>
    <t>丹阳市挂[2016]经营06号-2</t>
  </si>
  <si>
    <t>70</t>
    <phoneticPr fontId="26" type="noConversion"/>
  </si>
  <si>
    <t>已部分缴纳</t>
  </si>
  <si>
    <t>三通</t>
  </si>
  <si>
    <t>三通</t>
    <phoneticPr fontId="26" type="noConversion"/>
  </si>
  <si>
    <t>较好</t>
    <phoneticPr fontId="26" type="noConversion"/>
  </si>
  <si>
    <t>金陵西路南侧</t>
    <phoneticPr fontId="232" type="noConversion"/>
  </si>
  <si>
    <t>西环路东侧</t>
    <phoneticPr fontId="232" type="noConversion"/>
  </si>
  <si>
    <t>信达·香堤国际</t>
    <phoneticPr fontId="3" type="noConversion"/>
  </si>
  <si>
    <t>天颐城·和园</t>
    <phoneticPr fontId="3" type="noConversion"/>
  </si>
  <si>
    <t>丹阳市241省道西侧</t>
    <phoneticPr fontId="3" type="noConversion"/>
  </si>
  <si>
    <t>土地星级</t>
  </si>
  <si>
    <t>新民中路南侧</t>
  </si>
  <si>
    <t>综合用地(含住宅)</t>
  </si>
  <si>
    <t>G1908</t>
  </si>
  <si>
    <t>城镇住宅用地</t>
  </si>
  <si>
    <t>≤35%</t>
  </si>
  <si>
    <t>2019-05-13</t>
  </si>
  <si>
    <t>2019-06-03</t>
  </si>
  <si>
    <t>2019-06-12</t>
  </si>
  <si>
    <t>丹阳市挂[2019]03号-3</t>
  </si>
  <si>
    <t>江苏云阳集团房地产开发有限公司</t>
  </si>
  <si>
    <t>3星</t>
  </si>
  <si>
    <t>万善路南侧,天一路西侧</t>
  </si>
  <si>
    <t>G1907</t>
  </si>
  <si>
    <t>＞1,≤1.8</t>
  </si>
  <si>
    <t>丹阳市挂[2019]03号-2</t>
  </si>
  <si>
    <t>齐梁路东侧,金陵西路北侧</t>
  </si>
  <si>
    <t>G1906</t>
  </si>
  <si>
    <t>商住</t>
  </si>
  <si>
    <t>＞1,≤1.9</t>
  </si>
  <si>
    <t>丹阳市挂[2019]03号-1</t>
  </si>
  <si>
    <t>40年</t>
  </si>
  <si>
    <t>G312西侧</t>
  </si>
  <si>
    <t>G1904</t>
  </si>
  <si>
    <t>定向安置房,</t>
  </si>
  <si>
    <t>含保障房用地</t>
  </si>
  <si>
    <t>2019-04-24</t>
  </si>
  <si>
    <t>2019-05-15</t>
  </si>
  <si>
    <t>2019-05-24</t>
  </si>
  <si>
    <t>丹阳市挂[2019]02号-2</t>
  </si>
  <si>
    <t>1星</t>
  </si>
  <si>
    <t>G1905</t>
  </si>
  <si>
    <t>丹阳市挂[2019]02号-3</t>
  </si>
  <si>
    <t>G1903</t>
  </si>
  <si>
    <t>丹阳市挂[2019]02号-1</t>
  </si>
  <si>
    <t>丹金路东侧,锦绣路西侧</t>
  </si>
  <si>
    <t>G1902</t>
  </si>
  <si>
    <t>商住城镇住宅用地</t>
  </si>
  <si>
    <t>≥1,≤2.50</t>
  </si>
  <si>
    <t>≤25%</t>
  </si>
  <si>
    <t>2019-03-07</t>
  </si>
  <si>
    <t>2019-03-28</t>
  </si>
  <si>
    <t>2019-04-08</t>
  </si>
  <si>
    <t>丹阳市挂[2019]经营01号-2</t>
  </si>
  <si>
    <t>G1901</t>
  </si>
  <si>
    <t>≥1,≤1.90</t>
  </si>
  <si>
    <t>丹阳市挂[2019]经营01号-1</t>
  </si>
  <si>
    <t>住宅70年、商业40年</t>
  </si>
  <si>
    <t>2星</t>
  </si>
  <si>
    <t>江苏省镇江市丹阳市</t>
    <phoneticPr fontId="6" type="noConversion"/>
  </si>
  <si>
    <t>北二环路（宗地代码321181403212GB00076）1宗城镇住宅用地</t>
    <phoneticPr fontId="6" type="noConversion"/>
  </si>
  <si>
    <t>苏（2019）丹阳市不动产权第0015263号</t>
    <phoneticPr fontId="3" type="noConversion"/>
  </si>
  <si>
    <t>S241西侧,水关西路北侧</t>
    <phoneticPr fontId="232" type="noConversion"/>
  </si>
  <si>
    <r>
      <rPr>
        <sz val="10"/>
        <color rgb="FFFF0000"/>
        <rFont val="宋体"/>
        <family val="3"/>
        <charset val="134"/>
      </rPr>
      <t>丹金路东侧</t>
    </r>
    <r>
      <rPr>
        <sz val="10"/>
        <color rgb="FFFF0000"/>
        <rFont val="Arial"/>
        <family val="2"/>
      </rPr>
      <t>,</t>
    </r>
    <r>
      <rPr>
        <sz val="10"/>
        <color rgb="FFFF0000"/>
        <rFont val="宋体"/>
        <family val="3"/>
        <charset val="134"/>
      </rPr>
      <t>锦绣路西侧</t>
    </r>
    <phoneticPr fontId="232" type="noConversion"/>
  </si>
  <si>
    <t>水关路西侧</t>
    <phoneticPr fontId="232" type="noConversion"/>
  </si>
  <si>
    <t>丝绸路南侧</t>
    <phoneticPr fontId="232" type="noConversion"/>
  </si>
  <si>
    <t>天波城三期</t>
    <phoneticPr fontId="3" type="noConversion"/>
  </si>
  <si>
    <t>丹阳市迎宾路84号</t>
    <phoneticPr fontId="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</si>
  <si>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</si>
  <si>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</si>
  <si>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</si>
  <si>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</si>
  <si>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</si>
  <si>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</si>
  <si>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</si>
  <si>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</si>
  <si>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</si>
  <si>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</si>
  <si>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</si>
  <si>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</si>
  <si>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</si>
  <si>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</si>
  <si>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phoneticPr fontId="3" type="noConversion"/>
  </si>
  <si>
    <t>V（N）</t>
    <phoneticPr fontId="3" type="noConversion"/>
  </si>
  <si>
    <t>V（n）</t>
    <phoneticPr fontId="3" type="noConversion"/>
  </si>
  <si>
    <t>已知V（n），求取V（N）</t>
    <phoneticPr fontId="3" type="noConversion"/>
  </si>
  <si>
    <t>V（n）</t>
  </si>
  <si>
    <t>V（N）</t>
  </si>
  <si>
    <t>北二环路</t>
    <phoneticPr fontId="3" type="noConversion"/>
  </si>
  <si>
    <t>一般</t>
    <phoneticPr fontId="21"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</si>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</sst>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华文细黑"/>
      <family val="3"/>
      <charset val="134"/>
    </font>
    <font>
      <sz val="11"/>
      <color theme="1"/>
      <name val="华文细黑"/>
      <family val="3"/>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76" fillId="0" borderId="2" xfId="0" applyFont="1" applyBorder="1">
      <alignment vertical="center"/>
    </xf>
    <xf numFmtId="0" fontId="277" fillId="0" borderId="0" xfId="0" applyFont="1">
      <alignment vertical="center"/>
    </xf>
    <xf numFmtId="0" fontId="276" fillId="6" borderId="2" xfId="0" applyFont="1" applyFill="1" applyBorder="1">
      <alignment vertical="center"/>
    </xf>
    <xf numFmtId="0" fontId="276" fillId="0" borderId="2" xfId="0" applyFont="1" applyFill="1" applyBorder="1">
      <alignment vertical="center"/>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57" fillId="0" borderId="0" xfId="0" applyFont="1" applyAlignment="1"/>
    <xf numFmtId="0" fontId="210" fillId="0" borderId="0" xfId="0" applyFont="1" applyAlignment="1"/>
    <xf numFmtId="0" fontId="159" fillId="5" borderId="33" xfId="0" applyFont="1" applyFill="1" applyBorder="1" applyAlignment="1"/>
    <xf numFmtId="184" fontId="70" fillId="0" borderId="34" xfId="0" applyNumberFormat="1" applyFont="1" applyFill="1" applyBorder="1" applyAlignment="1" applyProtection="1">
      <alignment horizontal="center" vertical="center"/>
      <protection locked="0"/>
    </xf>
    <xf numFmtId="0" fontId="159" fillId="0" borderId="0" xfId="0" applyFont="1" applyAlignment="1"/>
    <xf numFmtId="181" fontId="57" fillId="5" borderId="1" xfId="2" applyNumberFormat="1" applyFont="1" applyFill="1" applyBorder="1" applyAlignment="1" applyProtection="1">
      <alignment horizontal="center" vertical="center" wrapText="1"/>
    </xf>
    <xf numFmtId="180" fontId="51" fillId="5" borderId="6" xfId="0" applyNumberFormat="1" applyFont="1" applyFill="1" applyBorder="1" applyAlignment="1" applyProtection="1">
      <alignment horizontal="center" vertical="center" wrapText="1"/>
    </xf>
    <xf numFmtId="0" fontId="51" fillId="5" borderId="7" xfId="0" applyFont="1" applyFill="1" applyBorder="1" applyAlignment="1" applyProtection="1">
      <alignment horizontal="center" vertical="center" wrapText="1"/>
    </xf>
    <xf numFmtId="178" fontId="70" fillId="6" borderId="11" xfId="2" applyNumberFormat="1" applyFont="1" applyFill="1" applyBorder="1" applyAlignment="1" applyProtection="1">
      <alignment horizontal="center" vertical="center"/>
      <protection locked="0"/>
    </xf>
    <xf numFmtId="184" fontId="70" fillId="0" borderId="2" xfId="0" applyNumberFormat="1" applyFont="1" applyFill="1" applyBorder="1" applyAlignment="1" applyProtection="1">
      <alignment horizontal="center" vertical="center"/>
      <protection locked="0"/>
    </xf>
    <xf numFmtId="182" fontId="148" fillId="0" borderId="12" xfId="0" applyNumberFormat="1" applyFont="1" applyFill="1" applyBorder="1" applyAlignment="1" applyProtection="1">
      <alignment horizontal="center" vertical="center"/>
      <protection locked="0"/>
    </xf>
    <xf numFmtId="178" fontId="70" fillId="6" borderId="43" xfId="2" applyNumberFormat="1" applyFont="1" applyFill="1" applyBorder="1" applyAlignment="1" applyProtection="1">
      <alignment horizontal="center" vertical="center"/>
      <protection locked="0"/>
    </xf>
    <xf numFmtId="180" fontId="83" fillId="5" borderId="44" xfId="2" applyNumberFormat="1" applyFont="1" applyFill="1" applyBorder="1" applyAlignment="1" applyProtection="1">
      <alignment horizontal="center" vertical="center"/>
    </xf>
    <xf numFmtId="181" fontId="83" fillId="5" borderId="44" xfId="2" applyNumberFormat="1" applyFont="1" applyFill="1" applyBorder="1" applyAlignment="1" applyProtection="1">
      <alignment horizontal="center" vertical="center"/>
    </xf>
    <xf numFmtId="182" fontId="148" fillId="0" borderId="46" xfId="0" applyNumberFormat="1" applyFont="1" applyFill="1" applyBorder="1" applyAlignment="1" applyProtection="1">
      <alignment horizontal="center" vertical="center"/>
      <protection locked="0"/>
    </xf>
    <xf numFmtId="0" fontId="278" fillId="5" borderId="26" xfId="0" applyFont="1" applyFill="1" applyBorder="1" applyAlignment="1">
      <alignment vertical="center"/>
    </xf>
    <xf numFmtId="0" fontId="159" fillId="5" borderId="39" xfId="0" applyFont="1" applyFill="1" applyBorder="1" applyAlignment="1">
      <alignment vertical="center"/>
    </xf>
    <xf numFmtId="0" fontId="159" fillId="0" borderId="0" xfId="0" applyFont="1" applyAlignment="1">
      <alignment vertical="center"/>
    </xf>
    <xf numFmtId="0" fontId="159" fillId="5" borderId="36" xfId="0" applyFont="1" applyFill="1" applyBorder="1" applyAlignment="1"/>
    <xf numFmtId="0" fontId="57" fillId="5" borderId="37" xfId="0" applyFont="1" applyFill="1" applyBorder="1" applyAlignment="1">
      <alignment horizontal="right" vertical="center"/>
    </xf>
    <xf numFmtId="0" fontId="57" fillId="5" borderId="38" xfId="0" applyFont="1" applyFill="1" applyBorder="1" applyAlignment="1">
      <alignment horizontal="right" vertical="center"/>
    </xf>
    <xf numFmtId="0" fontId="83" fillId="5" borderId="1" xfId="0" applyFont="1" applyFill="1" applyBorder="1" applyAlignment="1">
      <alignment horizontal="center"/>
    </xf>
    <xf numFmtId="0" fontId="148" fillId="0" borderId="6" xfId="0" applyFont="1" applyBorder="1" applyAlignment="1" applyProtection="1">
      <alignment horizontal="center"/>
      <protection locked="0"/>
    </xf>
    <xf numFmtId="0" fontId="83" fillId="5" borderId="6" xfId="0" applyFont="1" applyFill="1" applyBorder="1" applyAlignment="1">
      <alignment horizontal="center"/>
    </xf>
    <xf numFmtId="182" fontId="148" fillId="0" borderId="6" xfId="0" applyNumberFormat="1" applyFont="1" applyBorder="1" applyAlignment="1" applyProtection="1">
      <alignment horizontal="center"/>
      <protection locked="0"/>
    </xf>
    <xf numFmtId="0" fontId="83" fillId="5" borderId="7" xfId="0" applyFont="1" applyFill="1" applyBorder="1" applyAlignment="1"/>
    <xf numFmtId="0" fontId="83" fillId="5" borderId="43" xfId="0" applyFont="1" applyFill="1" applyBorder="1" applyAlignment="1">
      <alignment horizontal="center"/>
    </xf>
    <xf numFmtId="0" fontId="148" fillId="0" borderId="44" xfId="0" applyFont="1" applyBorder="1" applyAlignment="1" applyProtection="1">
      <alignment horizontal="center"/>
      <protection locked="0"/>
    </xf>
    <xf numFmtId="0" fontId="83" fillId="5" borderId="44" xfId="0" applyFont="1" applyFill="1" applyBorder="1" applyAlignment="1">
      <alignment horizontal="center"/>
    </xf>
    <xf numFmtId="182" fontId="148" fillId="0" borderId="44" xfId="0" applyNumberFormat="1" applyFont="1" applyBorder="1" applyAlignment="1" applyProtection="1">
      <alignment horizontal="center"/>
      <protection locked="0"/>
    </xf>
    <xf numFmtId="0" fontId="83" fillId="5" borderId="46" xfId="0" applyFont="1" applyFill="1" applyBorder="1" applyAlignment="1"/>
    <xf numFmtId="0" fontId="159" fillId="0" borderId="0" xfId="4" applyFont="1"/>
    <xf numFmtId="0" fontId="143" fillId="5" borderId="0" xfId="0" applyFont="1" applyFill="1" applyBorder="1" applyAlignment="1">
      <alignment horizontal="left"/>
    </xf>
    <xf numFmtId="0" fontId="83" fillId="5" borderId="0" xfId="0" applyFont="1" applyFill="1" applyBorder="1" applyAlignment="1">
      <alignment horizontal="center"/>
    </xf>
    <xf numFmtId="0" fontId="148" fillId="0" borderId="6" xfId="0" applyFont="1" applyFill="1" applyBorder="1" applyAlignment="1" applyProtection="1">
      <alignment horizontal="center"/>
      <protection locked="0"/>
    </xf>
    <xf numFmtId="0" fontId="148" fillId="0" borderId="0" xfId="0" applyFont="1" applyAlignment="1"/>
    <xf numFmtId="0" fontId="148" fillId="5" borderId="44" xfId="0" applyFont="1" applyFill="1" applyBorder="1" applyAlignment="1">
      <alignment horizontal="center"/>
    </xf>
    <xf numFmtId="0" fontId="148" fillId="5" borderId="0" xfId="0" applyFont="1" applyFill="1" applyAlignment="1"/>
    <xf numFmtId="0" fontId="159" fillId="5" borderId="0" xfId="0" applyFont="1" applyFill="1" applyAlignment="1"/>
    <xf numFmtId="0" fontId="152" fillId="0" borderId="7" xfId="0" applyFont="1" applyFill="1" applyBorder="1" applyAlignment="1" applyProtection="1">
      <alignment horizontal="center"/>
      <protection locked="0"/>
    </xf>
    <xf numFmtId="0" fontId="148" fillId="5" borderId="46" xfId="0" applyFont="1" applyFill="1" applyBorder="1" applyAlignment="1">
      <alignment horizontal="center"/>
    </xf>
    <xf numFmtId="0" fontId="146" fillId="0" borderId="0" xfId="0" applyFont="1" applyFill="1" applyAlignment="1"/>
    <xf numFmtId="0" fontId="126" fillId="0" borderId="0" xfId="0" applyFont="1" applyAlignment="1"/>
    <xf numFmtId="0" fontId="85" fillId="0" borderId="0" xfId="0" applyFont="1" applyAlignment="1"/>
    <xf numFmtId="0" fontId="80"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57" fillId="5" borderId="36" xfId="0" applyFont="1" applyFill="1" applyBorder="1" applyAlignment="1">
      <alignment horizontal="center"/>
    </xf>
    <xf numFmtId="0" fontId="57" fillId="5" borderId="37" xfId="0" applyFont="1" applyFill="1" applyBorder="1" applyAlignment="1">
      <alignment horizont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144780</xdr:rowOff>
    </xdr:from>
    <xdr:to>
      <xdr:col>11</xdr:col>
      <xdr:colOff>261978</xdr:colOff>
      <xdr:row>76</xdr:row>
      <xdr:rowOff>172709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71660"/>
          <a:ext cx="729523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20</xdr:col>
      <xdr:colOff>98625</xdr:colOff>
      <xdr:row>70</xdr:row>
      <xdr:rowOff>121816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31224"/>
          <a:ext cx="8857143" cy="7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OWEN124\&#29579;&#26342;\&#9734;&#25253;&#21578;&#9734;\2019\&#24402;&#26723;\2019-1-0381&#37325;&#24198;&#24658;&#22823;&#20113;&#28246;&#19978;&#37089;\&#37325;&#24198;&#24658;&#22823;&#39033;&#30446;&#26368;&#32456;\&#37325;&#24198;&#20004;&#27743;&#26032;&#21306;&#33322;&#24742;&#39033;&#30446;&#27979;&#31639;E01-09-0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20025;&#38451;-&#21830;&#19994;R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7">
          <cell r="E17">
            <v>56430</v>
          </cell>
        </row>
      </sheetData>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ow r="19">
          <cell r="AK19">
            <v>3461.44</v>
          </cell>
        </row>
        <row r="20">
          <cell r="AK20">
            <v>3653.23</v>
          </cell>
        </row>
        <row r="25">
          <cell r="AK25">
            <v>3066.05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57447</v>
          </cell>
          <cell r="C14">
            <v>19149</v>
          </cell>
          <cell r="D14">
            <v>13130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江苏省镇江市丹阳市北二环路（宗地代码321181403212GB00076）1宗城镇住宅用地出让国有建设用地使用权抵押价格预评估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吴薇、崔锴</v>
      </c>
      <c r="N4" s="2878" t="str">
        <f>'预评函-1'!A28</f>
        <v/>
      </c>
    </row>
    <row r="5" spans="1:55" s="2891" customFormat="1" ht="16.2" thickBot="1">
      <c r="A5" s="2898" t="s">
        <v>2625</v>
      </c>
      <c r="B5" s="2899" t="str">
        <f>'预评函-封皮'!B49</f>
        <v>康正预评字号</v>
      </c>
    </row>
    <row r="6" spans="1:55" s="2900" customFormat="1" ht="16.2" thickTop="1">
      <c r="A6" s="2892" t="s">
        <v>2667</v>
      </c>
      <c r="B6" s="2893" t="str">
        <f>'预评函-1'!A4</f>
        <v>受贵公司委托，我公司对江苏省镇江市丹阳市北二环路（宗地代码321181403212GB00076）1宗城镇住宅用地出让国有建设用地使用权抵押价格进行了预评估。</v>
      </c>
      <c r="AM6" s="2901"/>
    </row>
    <row r="7" spans="1:55" s="2875" customFormat="1">
      <c r="A7" s="2876" t="s">
        <v>2619</v>
      </c>
      <c r="B7" s="2877" t="str">
        <f>'预评函-1'!A6</f>
        <v>估价对象为使用的、位于江苏省镇江市丹阳市北二环路（宗地代码321181403212GB00076）1宗城镇住宅用地出让国有建设用地使用权。根据苏（2019）丹阳市不动产权第0015263号，估价对象（分摊）出让国有建设用地使用权面积为33335.9平方米。根据《出让合同》，估价对象规划建筑面积为116675.65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江苏省镇江市丹阳市北二环路（宗地代码321181403212GB00076）1宗城镇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2019年9月10日（评估专业人员勘察现场之日）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根据苏（2019）丹阳市不动产权第0015263号，估价对象（分摊）出让国有建设用地使用权面积为33335.9平方米。根据《出让合同》，估价对象规划建筑面积为116675.65平方米。</v>
      </c>
    </row>
    <row r="16" spans="1:55" s="2875" customFormat="1">
      <c r="A16" s="2876" t="s">
        <v>2631</v>
      </c>
      <c r="B16" s="2877" t="str">
        <f>'预评函-1'!A22</f>
        <v>本次估价对象为出让国有建设用地使用权，证载土地终止日期为住宅2057年12月2日。截至估价期日，出让国有建设用地使用权剩余土地使用年限为。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2019年9月10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估价期日：2019年9月10日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33335.9</v>
      </c>
    </row>
    <row r="44" spans="1:2">
      <c r="A44" s="2876" t="s">
        <v>2702</v>
      </c>
      <c r="B44" s="2877" t="str">
        <f>'预评函-2'!O3</f>
        <v>规划建筑面积/㎡</v>
      </c>
    </row>
    <row r="45" spans="1:2">
      <c r="A45" s="2876" t="s">
        <v>2684</v>
      </c>
      <c r="B45" s="2877">
        <f>'预评函-2'!O5</f>
        <v>116675.65000000001</v>
      </c>
    </row>
    <row r="46" spans="1:2">
      <c r="A46" s="2876" t="s">
        <v>2685</v>
      </c>
      <c r="B46" s="2877">
        <f ca="1">'预评函-2'!P5</f>
        <v>11236</v>
      </c>
    </row>
    <row r="47" spans="1:2">
      <c r="A47" s="2876" t="s">
        <v>2686</v>
      </c>
      <c r="B47" s="2877">
        <f ca="1">'预评函-2'!Q5</f>
        <v>3210</v>
      </c>
    </row>
    <row r="48" spans="1:2">
      <c r="A48" s="2876" t="s">
        <v>2687</v>
      </c>
      <c r="B48" s="2877">
        <f ca="1">'预评函-2'!R5</f>
        <v>37455</v>
      </c>
    </row>
    <row r="49" spans="1:2">
      <c r="A49" s="2876" t="s">
        <v>2703</v>
      </c>
      <c r="B49" s="2877" t="str">
        <f>'预评函-2'!A6</f>
        <v>抵押价格</v>
      </c>
    </row>
    <row r="50" spans="1:2">
      <c r="A50" s="2876" t="s">
        <v>2688</v>
      </c>
      <c r="B50" s="2877">
        <f ca="1">'预评函-2'!R6</f>
        <v>37455</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吴薇</v>
      </c>
    </row>
    <row r="70" spans="1:2">
      <c r="A70" s="2876" t="s">
        <v>2652</v>
      </c>
      <c r="B70" s="2883">
        <f ca="1">'预评函-3'!B20</f>
        <v>2002110125</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79" t="str">
        <f>IF(B10="北京市","北京市",C10)&amp;F10&amp;B16&amp;"国有建设用地使用权"&amp;B9&amp;"预评估"</f>
        <v>江苏省镇江市丹阳市北二环路（宗地代码321181403212GB00076）1宗城镇住宅用地出让国有建设用地使用权抵押价格预评估</v>
      </c>
      <c r="C1" s="3280"/>
      <c r="D1" s="3280"/>
      <c r="E1" s="3280"/>
      <c r="F1" s="3280"/>
      <c r="G1" s="3280"/>
      <c r="H1" s="3280"/>
      <c r="I1" s="3281"/>
      <c r="J1" s="1691"/>
      <c r="K1" s="2453" t="str">
        <f>IF(B10="北京市","北京市",C10)&amp;F10&amp;B16&amp;"国有建设用地使用权"&amp;B9</f>
        <v>江苏省镇江市丹阳市北二环路（宗地代码321181403212GB00076）1宗城镇住宅用地出让国有建设用地使用权抵押价格</v>
      </c>
      <c r="L1" s="1720"/>
      <c r="M1" s="1720"/>
      <c r="N1" s="1691"/>
      <c r="O1" s="1692"/>
      <c r="P1" s="1691"/>
      <c r="Q1" s="1691"/>
      <c r="R1" s="1691"/>
      <c r="S1" s="1691"/>
      <c r="T1" s="1691"/>
      <c r="U1" s="1691"/>
    </row>
    <row r="2" spans="1:21">
      <c r="A2" s="1657" t="s">
        <v>1902</v>
      </c>
      <c r="B2" s="1839"/>
      <c r="D2" s="1691"/>
      <c r="E2" s="1691"/>
      <c r="F2" s="1691"/>
      <c r="G2" s="1691"/>
      <c r="H2" s="1657"/>
      <c r="I2" s="1692"/>
      <c r="J2" s="1691"/>
      <c r="K2" s="2453" t="str">
        <f>IF(B10="北京市","北京市",C10)&amp;F10&amp;B16&amp;"国有建设用地使用权"</f>
        <v>江苏省镇江市丹阳市北二环路（宗地代码321181403212GB00076）1宗城镇住宅用地出让国有建设用地使用权</v>
      </c>
      <c r="L2" s="1720"/>
      <c r="M2" s="1720"/>
      <c r="N2" s="1691"/>
      <c r="O2" s="1692"/>
      <c r="P2" s="1691"/>
      <c r="Q2" s="1691"/>
      <c r="R2" s="1691"/>
      <c r="S2" s="1691"/>
      <c r="T2" s="1691"/>
      <c r="U2" s="1691"/>
    </row>
    <row r="3" spans="1:21">
      <c r="A3" s="1658" t="s">
        <v>1903</v>
      </c>
      <c r="B3" s="1659">
        <v>43718</v>
      </c>
      <c r="C3" s="1660" t="s">
        <v>1958</v>
      </c>
      <c r="D3" s="1659">
        <f>B3</f>
        <v>43718</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2995</v>
      </c>
      <c r="C4" s="1843">
        <f ca="1">SUMIF(土地估价师,B4,估价师及机构信息!E3:E24)</f>
        <v>2002110125</v>
      </c>
      <c r="D4" s="1840" t="s">
        <v>2996</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吴薇、崔锴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85"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86"/>
      <c r="E9" s="1671" t="s">
        <v>917</v>
      </c>
      <c r="F9" s="1744"/>
      <c r="G9" s="1739"/>
      <c r="H9" s="1739"/>
      <c r="I9" s="1740"/>
      <c r="J9" s="1691"/>
      <c r="K9" s="1771"/>
      <c r="L9" s="1720"/>
      <c r="M9" s="1720"/>
      <c r="N9" s="1691"/>
      <c r="O9" s="1692"/>
      <c r="P9" s="1691"/>
      <c r="Q9" s="1691"/>
      <c r="R9" s="1691"/>
      <c r="S9" s="1691"/>
      <c r="T9" s="1691"/>
      <c r="U9" s="1691"/>
    </row>
    <row r="10" spans="1:21" ht="31.8" thickTop="1">
      <c r="A10" s="1741" t="s">
        <v>1961</v>
      </c>
      <c r="B10" s="1716" t="s">
        <v>2956</v>
      </c>
      <c r="C10" s="1673" t="s">
        <v>3316</v>
      </c>
      <c r="D10" s="1664"/>
      <c r="E10" s="1674" t="s">
        <v>1910</v>
      </c>
      <c r="F10" s="1675" t="s">
        <v>3317</v>
      </c>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82"/>
      <c r="C12" s="3283"/>
      <c r="D12" s="3284"/>
      <c r="E12" s="1696" t="s">
        <v>2023</v>
      </c>
      <c r="F12" s="3300"/>
      <c r="G12" s="3301"/>
      <c r="H12" s="3301"/>
      <c r="I12" s="3302"/>
      <c r="J12" s="1691"/>
      <c r="K12" s="1771"/>
      <c r="L12" s="1720"/>
      <c r="M12" s="1720"/>
      <c r="N12" s="1691"/>
      <c r="O12" s="1692"/>
      <c r="P12" s="1691"/>
      <c r="Q12" s="1691"/>
      <c r="R12" s="1691"/>
      <c r="S12" s="1691"/>
      <c r="T12" s="1691"/>
      <c r="U12" s="1691"/>
    </row>
    <row r="13" spans="1:21">
      <c r="A13" s="1684" t="s">
        <v>2021</v>
      </c>
      <c r="B13" s="3282"/>
      <c r="C13" s="3283"/>
      <c r="D13" s="3284"/>
      <c r="E13" s="1696" t="s">
        <v>2023</v>
      </c>
      <c r="F13" s="3300" t="s">
        <v>2958</v>
      </c>
      <c r="G13" s="3301"/>
      <c r="H13" s="3301"/>
      <c r="I13" s="3302"/>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住宅2057年12月2日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v>57681</v>
      </c>
      <c r="E17" s="1697"/>
      <c r="F17" s="1697"/>
      <c r="G17" s="1697"/>
      <c r="H17" s="1697"/>
      <c r="I17" s="1697"/>
      <c r="J17" s="1691"/>
      <c r="K17" s="2453" t="str">
        <f>CONCATENATE(K16,L16,M16,N16,O16,P16,Q16,R16,S16,T16,,U16)</f>
        <v>住宅2057年12月2日</v>
      </c>
      <c r="L17" s="1720"/>
      <c r="M17" s="1720"/>
      <c r="N17" s="1691"/>
      <c r="O17" s="1692"/>
      <c r="P17" s="1691"/>
      <c r="Q17" s="1691"/>
      <c r="R17" s="1691"/>
      <c r="S17" s="1691"/>
      <c r="T17" s="1691"/>
      <c r="U17" s="1691"/>
    </row>
    <row r="18" spans="1:21">
      <c r="A18" s="1760"/>
      <c r="B18" s="1679"/>
      <c r="C18" s="1680" t="s">
        <v>1920</v>
      </c>
      <c r="D18" s="1681">
        <v>50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f>IF(B16="出让",IF(D17="","",ROUNDDOWN(MIN((D17-$D$3)/365,D18),2)),D18)</f>
        <v>38.25</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97"/>
      <c r="E20" s="3298"/>
      <c r="F20" s="3298"/>
      <c r="G20" s="3298"/>
      <c r="H20" s="3298"/>
      <c r="I20" s="3299"/>
      <c r="J20" s="1691"/>
      <c r="K20" s="1771"/>
      <c r="L20" s="1720"/>
      <c r="M20" s="1720"/>
      <c r="N20" s="1691"/>
      <c r="O20" s="1692"/>
      <c r="P20" s="1691"/>
      <c r="Q20" s="1691"/>
      <c r="R20" s="1691"/>
      <c r="S20" s="1691"/>
      <c r="T20" s="1691"/>
      <c r="U20" s="1691"/>
    </row>
    <row r="21" spans="1:21">
      <c r="A21" s="1760" t="s">
        <v>1922</v>
      </c>
      <c r="B21" s="1761" t="s">
        <v>1923</v>
      </c>
      <c r="C21" s="1756">
        <f>'数据-汇总表'!E3</f>
        <v>116675.65000000001</v>
      </c>
      <c r="D21" s="1757" t="s">
        <v>1924</v>
      </c>
      <c r="E21" s="3287" t="s">
        <v>2959</v>
      </c>
      <c r="F21" s="3288"/>
      <c r="G21" s="3288"/>
      <c r="H21" s="3288"/>
      <c r="I21" s="3289"/>
      <c r="J21" s="1691"/>
      <c r="K21" s="1771"/>
      <c r="L21" s="1720"/>
      <c r="M21" s="1720"/>
      <c r="N21" s="1691"/>
      <c r="O21" s="1692"/>
      <c r="P21" s="1691"/>
      <c r="Q21" s="1691"/>
      <c r="R21" s="1691"/>
      <c r="S21" s="1691"/>
      <c r="T21" s="1691"/>
      <c r="U21" s="1691"/>
    </row>
    <row r="22" spans="1:21">
      <c r="A22" s="3147" t="s">
        <v>917</v>
      </c>
      <c r="B22" s="1658" t="s">
        <v>1925</v>
      </c>
      <c r="C22" s="1683">
        <f>'数据-汇总表'!D3</f>
        <v>33335.9</v>
      </c>
      <c r="D22" s="1684" t="s">
        <v>1924</v>
      </c>
      <c r="E22" s="3287" t="s">
        <v>3318</v>
      </c>
      <c r="F22" s="3288"/>
      <c r="G22" s="3288"/>
      <c r="H22" s="3288"/>
      <c r="I22" s="3289"/>
      <c r="J22" s="1691"/>
      <c r="K22" s="1771"/>
      <c r="L22" s="1720"/>
      <c r="M22" s="1720"/>
      <c r="N22" s="1691"/>
      <c r="O22" s="1692"/>
      <c r="P22" s="1691"/>
      <c r="Q22" s="1691"/>
      <c r="R22" s="1691"/>
      <c r="S22" s="1691"/>
      <c r="T22" s="1691"/>
      <c r="U22" s="1691"/>
    </row>
    <row r="23" spans="1:21" ht="47.4" thickBot="1">
      <c r="A23" s="1762" t="s">
        <v>1926</v>
      </c>
      <c r="B23" s="1698" t="s">
        <v>1927</v>
      </c>
      <c r="C23" s="1699" t="s">
        <v>2960</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90" t="s">
        <v>1930</v>
      </c>
      <c r="C24" s="3291"/>
      <c r="D24" s="3292" t="s">
        <v>1931</v>
      </c>
      <c r="E24" s="3293"/>
      <c r="F24" s="1705" t="s">
        <v>1932</v>
      </c>
      <c r="G24" s="1691"/>
      <c r="H24" s="1691"/>
      <c r="I24" s="1704"/>
      <c r="J24" s="1691"/>
      <c r="K24" s="3278"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78"/>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78"/>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64" t="s">
        <v>1963</v>
      </c>
      <c r="B31" s="1761" t="s">
        <v>1964</v>
      </c>
      <c r="C31" s="3303" t="s">
        <v>2961</v>
      </c>
      <c r="D31" s="3304"/>
      <c r="E31" s="1691"/>
      <c r="F31" s="1691"/>
      <c r="G31" s="1691"/>
      <c r="H31" s="1691"/>
      <c r="I31" s="1704"/>
      <c r="J31" s="1691"/>
      <c r="K31" s="2456"/>
      <c r="L31" s="1691"/>
      <c r="M31" s="1691"/>
      <c r="N31" s="1691"/>
      <c r="O31" s="1691"/>
      <c r="P31" s="1691"/>
      <c r="Q31" s="1691"/>
      <c r="R31" s="1691"/>
      <c r="S31" s="1691"/>
      <c r="T31" s="1691"/>
      <c r="U31" s="1691"/>
    </row>
    <row r="32" spans="1:21">
      <c r="A32" s="3264"/>
      <c r="B32" s="1658" t="s">
        <v>1965</v>
      </c>
      <c r="C32" s="1716" t="s">
        <v>2962</v>
      </c>
      <c r="D32" s="1717"/>
      <c r="E32" s="1691"/>
      <c r="F32" s="1691"/>
      <c r="G32" s="1691"/>
      <c r="H32" s="1691"/>
      <c r="I32" s="1704"/>
      <c r="J32" s="1691"/>
      <c r="K32" s="2456"/>
      <c r="L32" s="1691"/>
      <c r="M32" s="1691"/>
      <c r="N32" s="1691"/>
      <c r="O32" s="1691"/>
      <c r="P32" s="1691"/>
      <c r="Q32" s="1691"/>
      <c r="R32" s="1691"/>
      <c r="S32" s="1691"/>
      <c r="T32" s="1691"/>
      <c r="U32" s="1691"/>
    </row>
    <row r="33" spans="1:21">
      <c r="A33" s="3264"/>
      <c r="B33" s="1658" t="s">
        <v>1966</v>
      </c>
      <c r="C33" s="1718" t="s">
        <v>2960</v>
      </c>
      <c r="D33" s="1835"/>
      <c r="E33" s="1691"/>
      <c r="F33" s="1691"/>
      <c r="G33" s="1691"/>
      <c r="H33" s="1691"/>
      <c r="I33" s="1704"/>
      <c r="J33" s="1691"/>
      <c r="K33" s="2456"/>
      <c r="L33" s="1691"/>
      <c r="M33" s="1691"/>
      <c r="N33" s="1691"/>
      <c r="O33" s="1691"/>
      <c r="P33" s="1691"/>
      <c r="Q33" s="1691"/>
      <c r="R33" s="1691"/>
      <c r="S33" s="1691"/>
      <c r="T33" s="1691"/>
      <c r="U33" s="1691"/>
    </row>
    <row r="34" spans="1:21">
      <c r="A34" s="3265"/>
      <c r="B34" s="1658" t="s">
        <v>1967</v>
      </c>
      <c r="C34" s="3266"/>
      <c r="D34" s="3267"/>
      <c r="E34" s="1691"/>
      <c r="F34" s="1691"/>
      <c r="G34" s="1691"/>
      <c r="H34" s="1691"/>
      <c r="I34" s="1704"/>
      <c r="J34" s="1691"/>
      <c r="K34" s="2456"/>
      <c r="L34" s="1691"/>
      <c r="M34" s="1691"/>
      <c r="N34" s="1691"/>
      <c r="O34" s="1691"/>
      <c r="P34" s="1691"/>
      <c r="Q34" s="1691"/>
      <c r="R34" s="1691"/>
      <c r="S34" s="1691"/>
      <c r="T34" s="1691"/>
      <c r="U34" s="1691"/>
    </row>
    <row r="35" spans="1:21">
      <c r="A35" s="3268" t="s">
        <v>812</v>
      </c>
      <c r="B35" s="1719" t="s">
        <v>2963</v>
      </c>
      <c r="C35" s="1773" t="str">
        <f>IF(B35="场地平整","——","具体情况：")</f>
        <v>——</v>
      </c>
      <c r="D35" s="3270"/>
      <c r="E35" s="3271"/>
      <c r="F35" s="3271"/>
      <c r="G35" s="3271"/>
      <c r="H35" s="3271"/>
      <c r="I35" s="3272"/>
      <c r="J35" s="1691"/>
      <c r="K35" s="1772"/>
      <c r="L35" s="1720"/>
      <c r="M35" s="1720"/>
      <c r="N35" s="1691"/>
      <c r="O35" s="1692"/>
      <c r="P35" s="1691"/>
      <c r="Q35" s="1691"/>
      <c r="R35" s="1691"/>
      <c r="S35" s="1691"/>
      <c r="T35" s="1691"/>
      <c r="U35" s="1691"/>
    </row>
    <row r="36" spans="1:21">
      <c r="A36" s="3264"/>
      <c r="B36" s="3273" t="s">
        <v>2016</v>
      </c>
      <c r="C36" s="3274"/>
      <c r="D36" s="1789" t="s">
        <v>2964</v>
      </c>
      <c r="E36" s="3275"/>
      <c r="F36" s="3275"/>
      <c r="G36" s="1684" t="str">
        <f>IF(B35="场地未平整","估价结果处理","")</f>
        <v/>
      </c>
      <c r="H36" s="3276"/>
      <c r="I36" s="3276"/>
      <c r="J36" s="1691"/>
      <c r="K36" s="1772"/>
      <c r="L36" s="1720"/>
      <c r="M36" s="1720"/>
      <c r="N36" s="1691"/>
      <c r="O36" s="1692"/>
      <c r="P36" s="1691"/>
      <c r="Q36" s="1691"/>
      <c r="R36" s="1691"/>
      <c r="S36" s="1691"/>
      <c r="T36" s="1691"/>
      <c r="U36" s="1691"/>
    </row>
    <row r="37" spans="1:21" ht="31.2">
      <c r="A37" s="3264"/>
      <c r="B37" s="3294"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64"/>
      <c r="B38" s="3295"/>
      <c r="C38" s="1666" t="s">
        <v>815</v>
      </c>
      <c r="D38" s="1788">
        <f>ROUNDDOWN(MIN(('数据-取费表'!$B$2-D37)/365,D34),1)</f>
        <v>119.7</v>
      </c>
      <c r="E38" s="1724" t="s">
        <v>816</v>
      </c>
      <c r="F38" s="1691"/>
      <c r="G38" s="1691"/>
      <c r="H38" s="1691"/>
      <c r="I38" s="1704"/>
      <c r="J38" s="1691"/>
      <c r="K38" s="1772"/>
      <c r="L38" s="1691"/>
      <c r="M38" s="1691"/>
      <c r="N38" s="1691"/>
      <c r="O38" s="1691"/>
      <c r="P38" s="1691"/>
      <c r="Q38" s="1691"/>
      <c r="R38" s="1691"/>
      <c r="S38" s="1691"/>
      <c r="T38" s="1691"/>
      <c r="U38" s="1691"/>
    </row>
    <row r="39" spans="1:21">
      <c r="A39" s="3265"/>
      <c r="B39" s="329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2965</v>
      </c>
      <c r="C40" s="1687" t="s">
        <v>2966</v>
      </c>
      <c r="D40" s="1687" t="s">
        <v>2967</v>
      </c>
      <c r="E40" s="1687" t="s">
        <v>2968</v>
      </c>
      <c r="F40" s="1687" t="s">
        <v>2968</v>
      </c>
      <c r="G40" s="1687" t="s">
        <v>2969</v>
      </c>
      <c r="H40" s="1687" t="s">
        <v>2970</v>
      </c>
      <c r="I40" s="1704"/>
      <c r="J40" s="1691"/>
      <c r="K40" s="1727">
        <f>COUNTIF(B40:H40,"——")</f>
        <v>0</v>
      </c>
      <c r="L40" s="1696" t="s">
        <v>1941</v>
      </c>
      <c r="M40" s="1693" t="s">
        <v>1942</v>
      </c>
      <c r="N40" s="1693" t="s">
        <v>1943</v>
      </c>
      <c r="O40" s="1693" t="s">
        <v>1944</v>
      </c>
      <c r="P40" s="1693" t="s">
        <v>1945</v>
      </c>
      <c r="Q40" s="1693" t="s">
        <v>1946</v>
      </c>
      <c r="R40" s="1693" t="s">
        <v>1947</v>
      </c>
      <c r="S40" s="3277" t="s">
        <v>1948</v>
      </c>
      <c r="T40" s="1728" t="str">
        <f>NUMBERSTRING(7-K40,1)&amp;"通"</f>
        <v>七通</v>
      </c>
      <c r="U40" s="1691"/>
    </row>
    <row r="41" spans="1:21" ht="46.8">
      <c r="A41" s="1660"/>
      <c r="B41" s="3269" t="s">
        <v>1683</v>
      </c>
      <c r="C41" s="3269"/>
      <c r="D41" s="3269"/>
      <c r="E41" s="3269"/>
      <c r="F41" s="1729" t="str">
        <f>C10</f>
        <v>江苏省镇江市丹阳市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77"/>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2.8867187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33335.9</v>
      </c>
      <c r="B3" s="21">
        <f>IF(C3="否",G5-AT5,G5)</f>
        <v>116675.65000000001</v>
      </c>
      <c r="C3" s="22" t="s">
        <v>2960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116675.65000000001</v>
      </c>
      <c r="H5" s="26">
        <f t="shared" ref="H5:AT5" si="0">SUM(H13:H641)</f>
        <v>116675.65000000001</v>
      </c>
      <c r="I5" s="26">
        <f t="shared" si="0"/>
        <v>116675.65000000001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116675.65000000001</v>
      </c>
      <c r="BA5" s="28">
        <f t="shared" si="1"/>
        <v>116675.65000000001</v>
      </c>
      <c r="BB5" s="28">
        <f t="shared" si="1"/>
        <v>116675.65000000001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33335.9</v>
      </c>
      <c r="F6" s="26" t="s">
        <v>1</v>
      </c>
      <c r="G6" s="26" t="s">
        <v>2</v>
      </c>
      <c r="H6" s="32">
        <f>SUMIF(I$12:AB$12,"总值",I6:AB6)</f>
        <v>33335.9</v>
      </c>
      <c r="I6" s="26">
        <f t="shared" ref="I6:AB6" si="2">ROUND($A$3*I5/$B$3,2)</f>
        <v>33335.9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33335.9</v>
      </c>
      <c r="AZ6" s="26" t="s">
        <v>3</v>
      </c>
      <c r="BA6" s="26">
        <f>ROUND($AY$6*BA5/$AZ$5,2)</f>
        <v>33335.9</v>
      </c>
      <c r="BB6" s="26">
        <f>ROUND($AY$6*BB5/$AZ$5,2)</f>
        <v>33335.9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2946</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888</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2942</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3.2">
      <c r="A13" s="3012"/>
      <c r="B13" s="3012"/>
      <c r="C13" s="3012"/>
      <c r="D13" s="3013" t="s">
        <v>1643</v>
      </c>
      <c r="E13" s="26">
        <f t="shared" ref="E13:E20" si="6">IF($C$3="是",ROUND($A$3*G13/$B$3,2),ROUND($A$3*(G13-AT13)/$B$3,2))</f>
        <v>33335.9</v>
      </c>
      <c r="F13" s="80"/>
      <c r="G13" s="81">
        <f t="shared" ref="G13:G20" si="7">H13+AC13+AT13</f>
        <v>116675.65000000001</v>
      </c>
      <c r="H13" s="32">
        <f t="shared" ref="H13:H20" si="8">SUMIF(I$12:AB$12,"总值",I13:AB13)</f>
        <v>116675.65000000001</v>
      </c>
      <c r="I13" s="3016">
        <f>A3*3.5</f>
        <v>116675.65000000001</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33335.9</v>
      </c>
      <c r="AZ13" s="26">
        <f t="shared" ref="AZ13:AZ20" si="12">BA13+BL13</f>
        <v>116675.65000000001</v>
      </c>
      <c r="BA13" s="26">
        <f t="shared" ref="BA13:BA20" si="13">SUM(BB13:BK13)</f>
        <v>116675.65000000001</v>
      </c>
      <c r="BB13" s="26">
        <f t="shared" ref="BB13:BB20" si="14">IF($D13="是",I13-J13,0)</f>
        <v>116675.65000000001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5" t="s">
        <v>0</v>
      </c>
      <c r="B1" s="3305" t="s">
        <v>4</v>
      </c>
      <c r="C1" s="3305" t="s">
        <v>5</v>
      </c>
      <c r="D1" s="3306" t="s">
        <v>39</v>
      </c>
      <c r="E1" s="3306" t="s">
        <v>40</v>
      </c>
      <c r="F1" s="3306"/>
      <c r="G1" s="3306"/>
      <c r="H1" s="3306"/>
      <c r="I1" s="3306"/>
      <c r="J1" s="3306"/>
      <c r="K1" s="3306"/>
      <c r="L1" s="3306"/>
      <c r="M1" s="3306"/>
    </row>
    <row r="2" spans="1:13" ht="27" customHeight="1">
      <c r="A2" s="3305"/>
      <c r="B2" s="3305"/>
      <c r="C2" s="3305"/>
      <c r="D2" s="3306"/>
      <c r="E2" s="3306" t="s">
        <v>23</v>
      </c>
      <c r="F2" s="3306" t="s">
        <v>24</v>
      </c>
      <c r="G2" s="3306"/>
      <c r="H2" s="3306"/>
      <c r="I2" s="3306"/>
      <c r="J2" s="3306" t="s">
        <v>25</v>
      </c>
      <c r="K2" s="3306"/>
      <c r="L2" s="3306"/>
      <c r="M2" s="3306"/>
    </row>
    <row r="3" spans="1:13" ht="46.8">
      <c r="A3" s="3305"/>
      <c r="B3" s="3305"/>
      <c r="C3" s="3305"/>
      <c r="D3" s="3306"/>
      <c r="E3" s="3306"/>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06" t="s">
        <v>41</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316" t="s">
        <v>168</v>
      </c>
      <c r="B2" s="3316"/>
      <c r="C2" s="3316"/>
      <c r="D2" s="1973" t="s">
        <v>169</v>
      </c>
      <c r="E2" s="105" t="s">
        <v>170</v>
      </c>
      <c r="F2" s="1982"/>
      <c r="G2" s="1196"/>
      <c r="H2" s="1197"/>
      <c r="I2" s="1198" t="s">
        <v>822</v>
      </c>
      <c r="J2" s="1982"/>
      <c r="K2" s="1982"/>
      <c r="L2" s="1982"/>
    </row>
    <row r="3" spans="1:16" ht="15" thickBot="1">
      <c r="A3" s="3317" t="s">
        <v>171</v>
      </c>
      <c r="B3" s="3317"/>
      <c r="C3" s="3317"/>
      <c r="D3" s="106">
        <f>'数据-基础表'!AY6</f>
        <v>33335.9</v>
      </c>
      <c r="E3" s="106">
        <f>'数据-基础表'!AZ5</f>
        <v>116675.65000000001</v>
      </c>
      <c r="F3" s="1982"/>
      <c r="G3" s="279" t="s">
        <v>823</v>
      </c>
      <c r="H3" s="274" t="s">
        <v>824</v>
      </c>
      <c r="I3" s="1974">
        <f>ROUND('数据-基础表'!B3/'数据-基础表'!A3,2)</f>
        <v>3.5</v>
      </c>
      <c r="J3" s="1982"/>
      <c r="K3" s="1982"/>
      <c r="L3" s="1982"/>
    </row>
    <row r="4" spans="1:16" ht="14.4">
      <c r="A4" s="3318"/>
      <c r="B4" s="3319"/>
      <c r="C4" s="3320"/>
      <c r="D4" s="107" t="s">
        <v>169</v>
      </c>
      <c r="E4" s="108" t="s">
        <v>170</v>
      </c>
      <c r="F4" s="1982"/>
      <c r="G4" s="1199"/>
      <c r="H4" s="274" t="s">
        <v>825</v>
      </c>
      <c r="I4" s="1974">
        <f>ROUND(SUMIF('数据-基础表'!I9:AS9,"地上",'数据-基础表'!I5:AS5)/'数据-基础表'!A3,2)</f>
        <v>3.5</v>
      </c>
      <c r="J4" s="1982"/>
      <c r="K4" s="1982"/>
      <c r="L4" s="1982"/>
    </row>
    <row r="5" spans="1:16" ht="14.4">
      <c r="A5" s="109" t="s">
        <v>172</v>
      </c>
      <c r="B5" s="3321" t="s">
        <v>195</v>
      </c>
      <c r="C5" s="3321"/>
      <c r="D5" s="110">
        <f>ROUND($D$3*E5/$E$3,2)</f>
        <v>33335.9</v>
      </c>
      <c r="E5" s="111">
        <f>SUMIF('数据-基础表'!$11:$11,"住宅",'数据-基础表'!$5:$5)</f>
        <v>116675.65000000001</v>
      </c>
      <c r="F5" s="1982"/>
      <c r="G5" s="279" t="s">
        <v>826</v>
      </c>
      <c r="H5" s="274" t="s">
        <v>824</v>
      </c>
      <c r="I5" s="1974">
        <f>ROUND(E31/D31,2)</f>
        <v>3.5</v>
      </c>
      <c r="J5" s="1982"/>
      <c r="K5" s="1982"/>
      <c r="L5" s="1982"/>
    </row>
    <row r="6" spans="1:16" ht="15" thickBot="1">
      <c r="A6" s="112"/>
      <c r="B6" s="3321" t="s">
        <v>173</v>
      </c>
      <c r="C6" s="3321"/>
      <c r="D6" s="110">
        <f>ROUND($D$3*E6/$E$3,2)</f>
        <v>0</v>
      </c>
      <c r="E6" s="111">
        <f>E3-E5</f>
        <v>0</v>
      </c>
      <c r="F6" s="1982"/>
      <c r="G6" s="1199"/>
      <c r="H6" s="274" t="s">
        <v>825</v>
      </c>
      <c r="I6" s="1974">
        <f>ROUND(F31/D31,2)</f>
        <v>3.5</v>
      </c>
      <c r="J6" s="1982"/>
      <c r="K6" s="1982"/>
      <c r="L6" s="1982"/>
    </row>
    <row r="7" spans="1:16" ht="14.4">
      <c r="A7" s="3313"/>
      <c r="B7" s="3314"/>
      <c r="C7" s="3315"/>
      <c r="D7" s="107" t="s">
        <v>169</v>
      </c>
      <c r="E7" s="113" t="s">
        <v>196</v>
      </c>
      <c r="F7" s="1982"/>
      <c r="G7" s="1154" t="s">
        <v>1610</v>
      </c>
      <c r="H7" s="1155"/>
      <c r="I7" s="1844"/>
      <c r="J7" s="1982"/>
      <c r="K7" s="1982"/>
      <c r="L7" s="1982"/>
    </row>
    <row r="8" spans="1:16" ht="14.4">
      <c r="A8" s="109" t="s">
        <v>174</v>
      </c>
      <c r="B8" s="114" t="s">
        <v>175</v>
      </c>
      <c r="C8" s="110" t="s">
        <v>176</v>
      </c>
      <c r="D8" s="110">
        <f t="shared" ref="D8:D15" si="0">ROUND($D$3*E8/$E$3,2)</f>
        <v>33335.9</v>
      </c>
      <c r="E8" s="115">
        <f>SUMIF('数据-基础表'!BB10:BK10,"地上",'数据-基础表'!BB5:BK5)</f>
        <v>116675.65000000001</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33335.9</v>
      </c>
      <c r="E16" s="119">
        <f>SUM(E8:E15)</f>
        <v>116675.65000000001</v>
      </c>
      <c r="F16" s="1982"/>
      <c r="G16" s="1984"/>
      <c r="H16" s="966" t="s">
        <v>184</v>
      </c>
      <c r="I16" s="967"/>
      <c r="J16" s="1982"/>
      <c r="K16" s="3307" t="s">
        <v>2528</v>
      </c>
      <c r="L16" s="3308"/>
      <c r="M16" s="3308"/>
      <c r="N16" s="3308"/>
      <c r="O16" s="3308"/>
      <c r="P16" s="3309"/>
    </row>
    <row r="17" spans="1:19" ht="14.4">
      <c r="A17" s="120" t="s">
        <v>181</v>
      </c>
      <c r="B17" s="121" t="s">
        <v>182</v>
      </c>
      <c r="C17" s="2296" t="s">
        <v>2275</v>
      </c>
      <c r="D17" s="107" t="s">
        <v>169</v>
      </c>
      <c r="E17" s="123" t="s">
        <v>170</v>
      </c>
      <c r="F17" s="124"/>
      <c r="G17" s="1364"/>
      <c r="H17" s="968" t="s">
        <v>183</v>
      </c>
      <c r="I17" s="969" t="s">
        <v>2274</v>
      </c>
      <c r="J17" s="1982"/>
      <c r="K17" s="3310" t="s">
        <v>2529</v>
      </c>
      <c r="L17" s="3311"/>
      <c r="M17" s="3312"/>
      <c r="N17" s="3310" t="s">
        <v>2530</v>
      </c>
      <c r="O17" s="3311"/>
      <c r="P17" s="3312"/>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tr">
        <f>定义!A2</f>
        <v>住宅用房</v>
      </c>
      <c r="D19" s="110">
        <f t="shared" ref="D19:D26" si="1">ROUND($D$3*E19/$E$3,2)</f>
        <v>33335.9</v>
      </c>
      <c r="E19" s="133">
        <f t="shared" ref="E19:E26" si="2">SUM(F19:G19)</f>
        <v>116675.65000000001</v>
      </c>
      <c r="F19" s="134">
        <f>'数据-基础表'!I13</f>
        <v>116675.65000000001</v>
      </c>
      <c r="G19" s="1366"/>
      <c r="H19" s="972">
        <f>ROUND($D$3*I19/$E$3,2)</f>
        <v>0</v>
      </c>
      <c r="I19" s="115">
        <f>IF($I$17="自定义",P19,M19)</f>
        <v>0</v>
      </c>
      <c r="J19" s="1982"/>
      <c r="K19" s="2606">
        <f t="shared" ref="K19:K26" si="3">ROUND(E$28*E19/E$27,2)</f>
        <v>0</v>
      </c>
      <c r="L19" s="274">
        <f t="shared" ref="L19:L26" si="4">ROUND(IF(COUNTIF(C19,"*住宅*")&gt;0,E$29*E19/E$32,0),2)</f>
        <v>0</v>
      </c>
      <c r="M19" s="2607">
        <f>K19+L19</f>
        <v>0</v>
      </c>
      <c r="N19" s="2608"/>
      <c r="O19" s="2609"/>
      <c r="P19" s="2610">
        <f>N19+O19</f>
        <v>0</v>
      </c>
      <c r="R19" s="274">
        <f t="shared" ref="R19:S26" si="5">D19+H19</f>
        <v>33335.9</v>
      </c>
      <c r="S19" s="2299">
        <f t="shared" si="5"/>
        <v>116675.65000000001</v>
      </c>
    </row>
    <row r="20" spans="1:19" ht="14.4">
      <c r="A20" s="137"/>
      <c r="B20" s="114" t="s">
        <v>191</v>
      </c>
      <c r="C20" s="3023"/>
      <c r="D20" s="110">
        <f t="shared" si="1"/>
        <v>0</v>
      </c>
      <c r="E20" s="133">
        <f t="shared" si="2"/>
        <v>0</v>
      </c>
      <c r="F20" s="134"/>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0</v>
      </c>
      <c r="S20" s="2299">
        <f t="shared" si="5"/>
        <v>0</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33335.9</v>
      </c>
      <c r="E27" s="142">
        <f>IF(SUM(E19:E26)='数据-基础表'!BA5,SUM(E19:E26),IF(F27="地上面积有误","面积有误","地下面积有误"))</f>
        <v>116675.65000000001</v>
      </c>
      <c r="F27" s="133">
        <f>IF(SUM(F19:F26)=E8,SUM(F19:F26),"地上面积有误")</f>
        <v>116675.65000000001</v>
      </c>
      <c r="G27" s="111">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33335.9</v>
      </c>
      <c r="S27" s="274">
        <f>IF(SUM(S19:S26)=$E$3,SUM(S19:S26),SUM(S19:S26)&amp;"误差"&amp;ROUND(SUM(S19:S26)-E3,2))</f>
        <v>116675.65000000001</v>
      </c>
    </row>
    <row r="28" spans="1:19" ht="14.4">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0</v>
      </c>
      <c r="E30" s="133">
        <f>SUM(E28:E29)</f>
        <v>0</v>
      </c>
      <c r="F30" s="133">
        <f>SUM(F28:F29)</f>
        <v>0</v>
      </c>
      <c r="G30" s="111">
        <f>SUM(G28:G29)</f>
        <v>0</v>
      </c>
      <c r="H30" s="1982"/>
      <c r="I30" s="1982"/>
      <c r="J30" s="1982"/>
      <c r="K30" s="1982"/>
      <c r="L30" s="1982"/>
    </row>
    <row r="31" spans="1:19" ht="32.25" customHeight="1" thickBot="1">
      <c r="A31" s="1368"/>
      <c r="B31" s="1369" t="s">
        <v>194</v>
      </c>
      <c r="C31" s="2328" t="s">
        <v>2284</v>
      </c>
      <c r="D31" s="1370">
        <f>D27+D30</f>
        <v>33335.9</v>
      </c>
      <c r="E31" s="1370">
        <f>E27+E30</f>
        <v>116675.65000000001</v>
      </c>
      <c r="F31" s="1371">
        <f>F27+F30</f>
        <v>116675.65000000001</v>
      </c>
      <c r="G31" s="1372">
        <f>G27+G30</f>
        <v>0</v>
      </c>
      <c r="H31" s="1982"/>
      <c r="I31" s="1982"/>
      <c r="J31" s="1982"/>
      <c r="K31" s="1982"/>
      <c r="L31" s="1982"/>
    </row>
    <row r="32" spans="1:19" ht="14.4">
      <c r="A32" s="1982"/>
      <c r="B32" s="2361" t="s">
        <v>2283</v>
      </c>
      <c r="C32" s="2645"/>
      <c r="D32" s="1199"/>
      <c r="E32" s="1199">
        <f>SUMIF(C19:C26,"*住宅*",E19:E26)</f>
        <v>116675.65000000001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B30" sqref="B30"/>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43718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住宅用房</v>
      </c>
      <c r="B6" s="2335" t="str">
        <f>IF(A6=0,"","经营性")</f>
        <v>经营性</v>
      </c>
      <c r="C6" s="172" t="s">
        <v>888</v>
      </c>
      <c r="D6" s="2306">
        <f>SUMIF(项目基本情况!D$15:I$15,C6,项目基本情况!D$18:I$18)</f>
        <v>50</v>
      </c>
      <c r="E6" s="2307">
        <f>IF(B6="","",SUMIF(项目基本情况!D$15:I$15,C6,项目基本情况!D$17:I$17))</f>
        <v>57681</v>
      </c>
      <c r="F6" s="173">
        <f>SUMIF(项目基本情况!D$15:I$15,C6,项目基本情况!D$19:I$19)</f>
        <v>38.25</v>
      </c>
      <c r="G6" s="174">
        <f>IF(ISERROR(ROUND(POWER(1+H6,D6-F6)*(POWER(1+H6,F6)-1)/(POWER(1+H6,D6)-1),3)),0,ROUND(POWER(1+H6,D6-F6)*(POWER(1+H6,F6)-1)/(POWER(1+H6,D6)-1),3))</f>
        <v>0.90400000000000003</v>
      </c>
      <c r="H6" s="3024">
        <v>0.04</v>
      </c>
      <c r="I6" s="3024">
        <v>4.4999999999999998E-2</v>
      </c>
      <c r="J6" s="175">
        <v>8.5000000000000006E-2</v>
      </c>
      <c r="K6" s="178">
        <f>SUMIF('数据-汇总表'!C$19:C$33,'数据-取费表'!A6,'数据-汇总表'!E$19:E$33)</f>
        <v>116675.65000000001</v>
      </c>
      <c r="L6" s="3025">
        <v>2200</v>
      </c>
      <c r="M6" s="176">
        <f t="shared" ref="M6:M14" si="0">ROUND(K6*L6/10000,0)</f>
        <v>25669</v>
      </c>
      <c r="N6" s="3026">
        <v>0</v>
      </c>
      <c r="O6" s="176">
        <f>IF($N$5="成新度","——",ROUND(M6*N6,0))</f>
        <v>0</v>
      </c>
      <c r="P6" s="177">
        <f>IF($N$5="成新度","——",M6-O6)</f>
        <v>25669</v>
      </c>
      <c r="Q6" s="3027">
        <v>0.1</v>
      </c>
      <c r="R6" s="178">
        <f>SUMIF('数据-汇总表'!C$19:C$33,A6,'数据-汇总表'!R$19:R$33)</f>
        <v>33335.9</v>
      </c>
      <c r="S6" s="131">
        <f>IF('数据-汇总表'!$I$17="按面积比例",SUMIF('数据-汇总表'!C$19:C$33,A6,'数据-汇总表'!K$19:K$33),SUMIF('数据-汇总表'!C$19:C$33,A6,'数据-汇总表'!N$19:N$33))</f>
        <v>0</v>
      </c>
      <c r="T6" s="2232" t="str">
        <f>IF($T$4="按面积比例",IF(ISERROR(ROUND($M$14*S6/S$16,0)),"0",ROUND($M$14*S6/S$16,0)),"需自行计算录入")</f>
        <v>0</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v>1.4999999999999999E-2</v>
      </c>
      <c r="AL6" s="189">
        <v>2E-3</v>
      </c>
      <c r="AM6" s="3038">
        <v>0.01</v>
      </c>
      <c r="AN6" s="2390"/>
      <c r="AO6" s="1998"/>
      <c r="AP6" s="1202">
        <f>ROUND(1-1/(1+H6)^F6,3)</f>
        <v>0.77700000000000002</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f>'数据-汇总表'!C20</f>
        <v>0</v>
      </c>
      <c r="B7" s="2335" t="str">
        <f t="shared" ref="B7:B13" si="1">IF(A7=0,"","经营性")</f>
        <v/>
      </c>
      <c r="C7" s="172" t="s">
        <v>2947</v>
      </c>
      <c r="D7" s="2306">
        <f>SUMIF(项目基本情况!D$15:I$15,C7,项目基本情况!D$18:I$18)</f>
        <v>40</v>
      </c>
      <c r="E7" s="2307"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v>0.05</v>
      </c>
      <c r="I7" s="3024">
        <v>5.5E-2</v>
      </c>
      <c r="J7" s="175">
        <v>8.5000000000000006E-2</v>
      </c>
      <c r="K7" s="178">
        <f>SUMIF('数据-汇总表'!C$19:C$33,'数据-取费表'!A7,'数据-汇总表'!E$19:E$33)</f>
        <v>0</v>
      </c>
      <c r="L7" s="3025">
        <f>L6</f>
        <v>2200</v>
      </c>
      <c r="M7" s="176">
        <f t="shared" si="0"/>
        <v>0</v>
      </c>
      <c r="N7" s="3026">
        <v>0</v>
      </c>
      <c r="O7" s="176">
        <f t="shared" ref="O7:O14" si="3">IF($N$5="成新度","——",ROUND(M7*N7,0))</f>
        <v>0</v>
      </c>
      <c r="P7" s="177">
        <f t="shared" ref="P7:P14" si="4">IF($N$5="成新度","——",M7-O7)</f>
        <v>0</v>
      </c>
      <c r="Q7" s="3027">
        <v>0.2</v>
      </c>
      <c r="R7" s="178">
        <f>SUMIF('数据-汇总表'!C$19:C$33,A7,'数据-汇总表'!R$19:R$33)</f>
        <v>0</v>
      </c>
      <c r="S7" s="131">
        <f>IF('数据-汇总表'!$I$17="按面积比例",SUMIF('数据-汇总表'!C$19:C$33,A7,'数据-汇总表'!K$19:K$33),SUMIF('数据-汇总表'!C$19:C$33,A7,'数据-汇总表'!N$19:N$33))</f>
        <v>0</v>
      </c>
      <c r="T7" s="2232" t="str">
        <f t="shared" ref="T7:T13" si="5">IF($T$4="按面积比例",IF(ISERROR(ROUND($M$14*S7/S$16,0)),"0",ROUND($M$14*S7/S$16,0)),"需自行计算录入")</f>
        <v>0</v>
      </c>
      <c r="U7" s="184">
        <v>2</v>
      </c>
      <c r="V7" s="180">
        <v>3.5000000000000003E-2</v>
      </c>
      <c r="W7" s="180">
        <v>0.1</v>
      </c>
      <c r="X7" s="2319"/>
      <c r="Y7" s="181">
        <v>1</v>
      </c>
      <c r="Z7" s="182"/>
      <c r="AA7" s="175"/>
      <c r="AB7" s="175"/>
      <c r="AC7" s="2322"/>
      <c r="AD7" s="183"/>
      <c r="AE7" s="970" t="e">
        <f t="shared" ref="AE7:AE13" ca="1" si="6">IF(AN7="",0,SUMIF(INDIRECT("'"&amp;AN7&amp;"'"&amp;"!E:E"),$AE$5,INDIRECT("'"&amp;AN7&amp;"'"&amp;"!F:F")))</f>
        <v>#N/A</v>
      </c>
      <c r="AF7" s="140"/>
      <c r="AG7" s="1211">
        <f t="shared" ref="AG7:AG13" si="7">IF(AF7="",0,AE7-AF7)</f>
        <v>0</v>
      </c>
      <c r="AH7" s="140"/>
      <c r="AI7" s="186">
        <v>365</v>
      </c>
      <c r="AJ7" s="187"/>
      <c r="AK7" s="188">
        <v>1.4999999999999999E-2</v>
      </c>
      <c r="AL7" s="189">
        <v>2E-3</v>
      </c>
      <c r="AM7" s="3038">
        <v>0.01</v>
      </c>
      <c r="AN7" s="2390" t="s">
        <v>2986</v>
      </c>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t="str">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t="str">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t="str">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t="str">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t="str">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t="str">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0</v>
      </c>
      <c r="L14" s="192"/>
      <c r="M14" s="176">
        <f t="shared" si="0"/>
        <v>0</v>
      </c>
      <c r="N14" s="193"/>
      <c r="O14" s="176">
        <f t="shared" si="3"/>
        <v>0</v>
      </c>
      <c r="P14" s="177">
        <f t="shared" si="4"/>
        <v>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0.90400000000000003</v>
      </c>
      <c r="H16" s="202">
        <f>ROUND(SUMPRODUCT(H6:H13,K6:K13)/SUMPRODUCT((H6:H13&gt;0)*(K6:K13)),3)</f>
        <v>0.04</v>
      </c>
      <c r="I16" s="203"/>
      <c r="J16" s="203"/>
      <c r="K16" s="204">
        <f>SUM(K6:K15)</f>
        <v>116675.65000000001</v>
      </c>
      <c r="L16" s="205">
        <f>ROUND(M16*10000/SUM(K6:K14),0)</f>
        <v>2200</v>
      </c>
      <c r="M16" s="205">
        <f>SUM(M6:M14)</f>
        <v>25669</v>
      </c>
      <c r="N16" s="206">
        <f>ROUND(SUMPRODUCT(M6:M14,N6:N14)/M16,3)</f>
        <v>0</v>
      </c>
      <c r="O16" s="205">
        <f>SUM(O6:O14)</f>
        <v>0</v>
      </c>
      <c r="P16" s="205">
        <f>SUM(P6:P14)</f>
        <v>25669</v>
      </c>
      <c r="Q16" s="207">
        <f>ROUND(SUMPRODUCT(Q6:Q13,K6:K13)/SUMPRODUCT((Q6:Q13&gt;0)*(K6:K13)),2)</f>
        <v>0.1</v>
      </c>
      <c r="R16" s="2309">
        <f>SUM(R6:R13)</f>
        <v>33335.9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0.77700000000000002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2</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75</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75</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9">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0.05</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1292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v>4</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6"/>
  <sheetViews>
    <sheetView workbookViewId="0">
      <selection activeCell="K18" sqref="K18"/>
    </sheetView>
  </sheetViews>
  <sheetFormatPr defaultRowHeight="14.4"/>
  <cols>
    <col min="2" max="2" width="17.109375" customWidth="1"/>
    <col min="4" max="4" width="12.77734375" customWidth="1"/>
  </cols>
  <sheetData>
    <row r="1" spans="1:12" ht="15" thickBot="1">
      <c r="A1" s="3192" t="s">
        <v>3325</v>
      </c>
      <c r="B1" s="3193">
        <v>43717</v>
      </c>
      <c r="C1" s="3194"/>
      <c r="D1" s="3194"/>
      <c r="E1" s="3194"/>
      <c r="F1" s="3194"/>
      <c r="G1" s="3194"/>
    </row>
    <row r="2" spans="1:12" ht="43.2">
      <c r="A2" s="3195" t="s">
        <v>3326</v>
      </c>
      <c r="B2" s="1226" t="s">
        <v>3327</v>
      </c>
      <c r="C2" s="3196" t="s">
        <v>3328</v>
      </c>
      <c r="D2" s="1226" t="s">
        <v>3329</v>
      </c>
      <c r="E2" s="3197" t="s">
        <v>3330</v>
      </c>
      <c r="F2" s="3194"/>
      <c r="G2" s="3194"/>
    </row>
    <row r="3" spans="1:12">
      <c r="A3" s="3198">
        <v>40</v>
      </c>
      <c r="B3" s="3199">
        <f>[1]项目基本情况!E17</f>
        <v>56430</v>
      </c>
      <c r="C3" s="173">
        <f>ROUNDDOWN(MIN((B3-$B$1)/365,A3),2)</f>
        <v>34.83</v>
      </c>
      <c r="D3" s="174">
        <f>IF(ISERROR(ROUND(POWER(1+E3,A3-C3)*(POWER(1+E3,C3)-1)/(POWER(1+E3,A3)-1),3)),0,ROUND(POWER(1+E3,A3-C3)*(POWER(1+E3,C3)-1)/(POWER(1+E3,A3)-1),3))</f>
        <v>0.94099999999999995</v>
      </c>
      <c r="E3" s="3200">
        <v>0.04</v>
      </c>
      <c r="F3" s="3194"/>
      <c r="G3" s="3194"/>
    </row>
    <row r="4" spans="1:12">
      <c r="A4" s="3198">
        <v>50</v>
      </c>
      <c r="B4" s="3199">
        <v>57681</v>
      </c>
      <c r="C4" s="173">
        <f>ROUNDDOWN(MIN((B4-$B$1)/365,A4),2)</f>
        <v>38.25</v>
      </c>
      <c r="D4" s="174">
        <f>IF(ISERROR(ROUND(POWER(1+E4,A4-C4)*(POWER(1+E4,C4)-1)/(POWER(1+E4,A4)-1),3)),0,ROUND(POWER(1+E4,A4-C4)*(POWER(1+E4,C4)-1)/(POWER(1+E4,A4)-1),3))</f>
        <v>0.90400000000000003</v>
      </c>
      <c r="E4" s="3200">
        <v>0.04</v>
      </c>
      <c r="F4" s="3194"/>
      <c r="G4" s="3194"/>
    </row>
    <row r="5" spans="1:12" ht="15" thickBot="1">
      <c r="A5" s="3201">
        <v>70</v>
      </c>
      <c r="B5" s="3199">
        <v>64986</v>
      </c>
      <c r="C5" s="3202">
        <f>ROUNDDOWN(MIN((B5-$B$1)/365,A5),2)</f>
        <v>58.27</v>
      </c>
      <c r="D5" s="3203">
        <f>IF(ISERROR(ROUND(POWER(1+E5,A5-C5)*(POWER(1+E5,C5)-1)/(POWER(1+E5,A5)-1),3)),0,ROUND(POWER(1+E5,A5-C5)*(POWER(1+E5,C5)-1)/(POWER(1+E5,A5)-1),3))</f>
        <v>0.96</v>
      </c>
      <c r="E5" s="3204">
        <v>0.04</v>
      </c>
      <c r="F5" s="3194"/>
      <c r="G5" s="3194"/>
    </row>
    <row r="6" spans="1:12" ht="15" thickBot="1">
      <c r="A6" s="3194"/>
      <c r="B6" s="3194"/>
      <c r="C6" s="3194"/>
      <c r="D6" s="3194"/>
      <c r="E6" s="3194"/>
      <c r="F6" s="3194"/>
      <c r="G6" s="3194"/>
    </row>
    <row r="7" spans="1:12" ht="15" thickBot="1">
      <c r="A7" s="3205" t="s">
        <v>3331</v>
      </c>
      <c r="B7" s="3206"/>
      <c r="C7" s="3207"/>
      <c r="D7" s="3207"/>
      <c r="E7" s="3207"/>
      <c r="F7" s="3207"/>
      <c r="G7" s="3207"/>
    </row>
    <row r="8" spans="1:12" ht="15" thickBot="1">
      <c r="A8" s="3322" t="s">
        <v>3332</v>
      </c>
      <c r="B8" s="3323"/>
      <c r="C8" s="3208"/>
      <c r="D8" s="3209" t="s">
        <v>3330</v>
      </c>
      <c r="E8" s="3208"/>
      <c r="F8" s="3210" t="s">
        <v>3329</v>
      </c>
      <c r="G8" s="3194"/>
    </row>
    <row r="9" spans="1:12">
      <c r="A9" s="3211" t="s">
        <v>3333</v>
      </c>
      <c r="B9" s="3212">
        <v>40</v>
      </c>
      <c r="C9" s="3213" t="s">
        <v>3334</v>
      </c>
      <c r="D9" s="3214">
        <f>E4</f>
        <v>0.04</v>
      </c>
      <c r="E9" s="3213" t="s">
        <v>3335</v>
      </c>
      <c r="F9" s="3215">
        <f>1-(1/(POWER(1+D9,B9)))</f>
        <v>0.79171095533705893</v>
      </c>
      <c r="G9" s="3194"/>
    </row>
    <row r="10" spans="1:12" ht="15" thickBot="1">
      <c r="A10" s="3216" t="s">
        <v>3336</v>
      </c>
      <c r="B10" s="3217">
        <v>50</v>
      </c>
      <c r="C10" s="3218" t="s">
        <v>3337</v>
      </c>
      <c r="D10" s="3219">
        <f>E3</f>
        <v>0.04</v>
      </c>
      <c r="E10" s="3218" t="s">
        <v>3338</v>
      </c>
      <c r="F10" s="3220">
        <f>1-(1/(POWER(1+D10,B10)))</f>
        <v>0.85928738466676058</v>
      </c>
      <c r="G10" s="3221"/>
    </row>
    <row r="11" spans="1:12" ht="15" thickBot="1">
      <c r="A11" s="3222" t="s">
        <v>3339</v>
      </c>
      <c r="B11" s="3223"/>
      <c r="C11" s="3223"/>
      <c r="D11" s="3223"/>
      <c r="E11" s="3223"/>
      <c r="F11" s="3223"/>
      <c r="G11" s="3194"/>
    </row>
    <row r="12" spans="1:12">
      <c r="A12" s="3211" t="s">
        <v>3340</v>
      </c>
      <c r="B12" s="3224">
        <f>L12</f>
        <v>3066.05</v>
      </c>
      <c r="C12" s="3194"/>
      <c r="D12" s="3194"/>
      <c r="E12" s="3225"/>
      <c r="F12" s="3225"/>
      <c r="G12" s="3194"/>
      <c r="H12" s="610">
        <f>[1]土地案例!AK19</f>
        <v>3461.44</v>
      </c>
      <c r="I12" s="611"/>
      <c r="J12" s="612">
        <f>[1]土地案例!AK20</f>
        <v>3653.23</v>
      </c>
      <c r="K12" s="613"/>
      <c r="L12" s="610">
        <f>[1]土地案例!AK25</f>
        <v>3066.05</v>
      </c>
    </row>
    <row r="13" spans="1:12" ht="15" thickBot="1">
      <c r="A13" s="3216" t="s">
        <v>3341</v>
      </c>
      <c r="B13" s="3226">
        <f>ROUND(B12*F10/F9,2)</f>
        <v>3327.75</v>
      </c>
      <c r="C13" s="3227">
        <f>ROUND(F10/F9,4)</f>
        <v>1.0853999999999999</v>
      </c>
      <c r="D13" s="3194"/>
      <c r="E13" s="3225"/>
      <c r="F13" s="3225"/>
      <c r="G13" s="3194"/>
    </row>
    <row r="14" spans="1:12" ht="15" thickBot="1">
      <c r="A14" s="3222" t="s">
        <v>3342</v>
      </c>
      <c r="B14" s="3228"/>
      <c r="C14" s="3225"/>
      <c r="D14" s="3194"/>
      <c r="E14" s="3194"/>
      <c r="F14" s="3194"/>
      <c r="G14" s="3194"/>
      <c r="H14">
        <v>3703</v>
      </c>
      <c r="J14">
        <v>3908</v>
      </c>
      <c r="L14">
        <v>3280</v>
      </c>
    </row>
    <row r="15" spans="1:12">
      <c r="A15" s="3213" t="s">
        <v>3343</v>
      </c>
      <c r="B15" s="3229">
        <f>B12</f>
        <v>3066.05</v>
      </c>
      <c r="C15" s="3225"/>
      <c r="D15" s="3194"/>
      <c r="E15" s="3194"/>
      <c r="F15" s="3194"/>
      <c r="G15" s="3194"/>
    </row>
    <row r="16" spans="1:12" ht="15" thickBot="1">
      <c r="A16" s="3218" t="s">
        <v>3344</v>
      </c>
      <c r="B16" s="3230">
        <f>ROUND(B15*F9/F10,2)</f>
        <v>2824.93</v>
      </c>
      <c r="C16" s="3227">
        <f>ROUND(F9/F10,4)</f>
        <v>0.9214</v>
      </c>
      <c r="D16" s="3194"/>
      <c r="E16" s="3194"/>
      <c r="F16" s="3194"/>
      <c r="G16" s="3194"/>
    </row>
  </sheetData>
  <mergeCells count="1">
    <mergeCell ref="A8:B8"/>
  </mergeCells>
  <phoneticPr fontId="23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324" t="s">
        <v>1628</v>
      </c>
      <c r="B1" s="3325"/>
      <c r="C1" s="3325"/>
      <c r="D1" s="3325"/>
      <c r="E1" s="3325"/>
      <c r="F1" s="3325"/>
      <c r="G1" s="3325"/>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3234" t="s">
        <v>3346</v>
      </c>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L7" sqref="L7"/>
    </sheetView>
  </sheetViews>
  <sheetFormatPr defaultColWidth="14.6640625" defaultRowHeight="14.4"/>
  <cols>
    <col min="1" max="1" width="24.33203125" customWidth="1"/>
  </cols>
  <sheetData>
    <row r="1" spans="1:9" ht="15.6">
      <c r="A1" s="3044" t="s">
        <v>2806</v>
      </c>
      <c r="B1" s="3044">
        <f>SUM(B14:B23)</f>
        <v>174122.65000000002</v>
      </c>
      <c r="C1" s="3045"/>
      <c r="D1" s="3045"/>
      <c r="E1" s="3045"/>
      <c r="F1" s="3045"/>
    </row>
    <row r="2" spans="1:9" ht="15.6">
      <c r="A2" s="3044" t="s">
        <v>2807</v>
      </c>
      <c r="B2" s="3044">
        <f>SUM(C14:C23)</f>
        <v>52484.9</v>
      </c>
      <c r="C2" s="3045"/>
      <c r="D2" s="3045"/>
      <c r="E2" s="3045"/>
      <c r="F2" s="3045"/>
    </row>
    <row r="3" spans="1:9" ht="15.6">
      <c r="A3" s="3044" t="s">
        <v>2808</v>
      </c>
      <c r="B3" s="3046">
        <f>项目基本情况!D3</f>
        <v>43718</v>
      </c>
      <c r="C3" s="3045"/>
      <c r="D3" s="3045"/>
      <c r="E3" s="3045"/>
      <c r="F3" s="3045"/>
    </row>
    <row r="4" spans="1:9" ht="31.2">
      <c r="A4" s="3044" t="s">
        <v>2809</v>
      </c>
      <c r="B4" s="3044" t="s">
        <v>2810</v>
      </c>
      <c r="C4" s="3044" t="s">
        <v>2811</v>
      </c>
      <c r="D4" s="3044" t="s">
        <v>2812</v>
      </c>
      <c r="E4" s="3045"/>
      <c r="F4" s="3045"/>
    </row>
    <row r="5" spans="1:9" ht="15.6">
      <c r="A5" s="3044" t="s">
        <v>2813</v>
      </c>
      <c r="B5" s="3044">
        <f ca="1">SUM(D14:D23)</f>
        <v>50585</v>
      </c>
      <c r="C5" s="3044">
        <f ca="1">ROUND(B5*10000/$B$1,0)</f>
        <v>2905</v>
      </c>
      <c r="D5" s="3044">
        <f ca="1">ROUND(B5*10000/$B$2,0)</f>
        <v>9638</v>
      </c>
      <c r="E5" s="3045"/>
      <c r="F5" s="3045"/>
    </row>
    <row r="6" spans="1:9" ht="15.6">
      <c r="A6" s="3044" t="s">
        <v>2814</v>
      </c>
      <c r="B6" s="3044">
        <f ca="1">SUM(G14:G23)</f>
        <v>50585</v>
      </c>
      <c r="C6" s="3044">
        <f t="shared" ref="C6:C8" ca="1" si="0">ROUND(B6*10000/$B$1,0)</f>
        <v>2905</v>
      </c>
      <c r="D6" s="3044">
        <f t="shared" ref="D6:D8" ca="1" si="1">ROUND(B6*10000/$B$2,0)</f>
        <v>9638</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116675.65000000001</v>
      </c>
      <c r="C14" s="3048">
        <f>结果表!K38</f>
        <v>33335.9</v>
      </c>
      <c r="D14" s="3048">
        <f ca="1">结果表!C42</f>
        <v>37455</v>
      </c>
      <c r="E14" s="3048">
        <f ca="1">ROUND(D14*10000/B14,0)</f>
        <v>3210</v>
      </c>
      <c r="F14" s="3048">
        <f ca="1">ROUND(D14*10000/C14,0)</f>
        <v>11236</v>
      </c>
      <c r="G14" s="3048">
        <f ca="1">结果表!C44</f>
        <v>37455</v>
      </c>
      <c r="H14" s="3048" t="str">
        <f>结果表!C45</f>
        <v>——</v>
      </c>
      <c r="I14" s="3048" t="str">
        <f>结果表!C46</f>
        <v>——</v>
      </c>
    </row>
    <row r="15" spans="1:9" ht="15.6">
      <c r="A15" s="3051" t="s">
        <v>2823</v>
      </c>
      <c r="B15" s="3052">
        <f>[2]系统读取表!$B$14</f>
        <v>57447</v>
      </c>
      <c r="C15" s="3052">
        <f>[2]系统读取表!$C$14</f>
        <v>19149</v>
      </c>
      <c r="D15" s="3052">
        <f>[2]系统读取表!$D$14</f>
        <v>13130</v>
      </c>
      <c r="E15" s="3048">
        <f t="shared" ref="E15:E23" si="2">ROUND(D15*10000/B15,0)</f>
        <v>2286</v>
      </c>
      <c r="F15" s="3048">
        <f t="shared" ref="F15:F23" si="3">ROUND(D15*10000/C15,0)</f>
        <v>6857</v>
      </c>
      <c r="G15" s="3049">
        <f>D15</f>
        <v>13130</v>
      </c>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F1" workbookViewId="0">
      <selection activeCell="AH30" sqref="AH30"/>
    </sheetView>
  </sheetViews>
  <sheetFormatPr defaultColWidth="8.88671875" defaultRowHeight="16.2"/>
  <cols>
    <col min="1" max="1" width="13.6640625" style="3185" customWidth="1"/>
    <col min="2" max="11" width="8.88671875" style="3185"/>
    <col min="12" max="12" width="14.109375" style="3185" customWidth="1"/>
    <col min="13" max="13" width="0" style="3185" hidden="1" customWidth="1"/>
    <col min="14" max="14" width="8.88671875" style="3185"/>
    <col min="15" max="22" width="0" style="3185" hidden="1" customWidth="1"/>
    <col min="23" max="23" width="8.88671875" style="3185"/>
    <col min="24" max="26" width="0" style="3185" hidden="1" customWidth="1"/>
    <col min="27" max="37" width="8.88671875" style="3185"/>
    <col min="38" max="39" width="0" style="3185" hidden="1" customWidth="1"/>
    <col min="40" max="41" width="8.88671875" style="3185"/>
    <col min="42" max="45" width="0" style="3185" hidden="1" customWidth="1"/>
    <col min="46" max="16384" width="8.88671875" style="3185"/>
  </cols>
  <sheetData>
    <row r="1" spans="1:44" s="3184" customFormat="1" ht="12.6">
      <c r="A1" s="3184" t="s">
        <v>3021</v>
      </c>
      <c r="B1" s="3184" t="s">
        <v>3022</v>
      </c>
      <c r="C1" s="3184" t="s">
        <v>3023</v>
      </c>
      <c r="D1" s="3184" t="s">
        <v>3024</v>
      </c>
      <c r="E1" s="3184" t="s">
        <v>3025</v>
      </c>
      <c r="F1" s="3184" t="s">
        <v>3026</v>
      </c>
      <c r="G1" s="3184" t="s">
        <v>3027</v>
      </c>
      <c r="H1" s="3184" t="s">
        <v>3028</v>
      </c>
      <c r="I1" s="3184" t="s">
        <v>3029</v>
      </c>
      <c r="J1" s="3184" t="s">
        <v>3030</v>
      </c>
      <c r="K1" s="3184" t="s">
        <v>3031</v>
      </c>
      <c r="L1" s="3184" t="s">
        <v>1994</v>
      </c>
      <c r="M1" s="3184" t="s">
        <v>3032</v>
      </c>
      <c r="N1" s="3184" t="s">
        <v>3033</v>
      </c>
      <c r="O1" s="3184" t="s">
        <v>3034</v>
      </c>
      <c r="P1" s="3184" t="s">
        <v>3035</v>
      </c>
      <c r="Q1" s="3184" t="s">
        <v>3036</v>
      </c>
      <c r="R1" s="3184" t="s">
        <v>3037</v>
      </c>
      <c r="S1" s="3184" t="s">
        <v>3038</v>
      </c>
      <c r="T1" s="3184" t="s">
        <v>3039</v>
      </c>
      <c r="U1" s="3184" t="s">
        <v>3040</v>
      </c>
      <c r="V1" s="3184" t="s">
        <v>3041</v>
      </c>
      <c r="W1" s="3184" t="s">
        <v>3042</v>
      </c>
      <c r="X1" s="3184" t="s">
        <v>3043</v>
      </c>
      <c r="Y1" s="3184" t="s">
        <v>3044</v>
      </c>
      <c r="Z1" s="3184" t="s">
        <v>3045</v>
      </c>
      <c r="AA1" s="3184" t="s">
        <v>3046</v>
      </c>
      <c r="AB1" s="3184" t="s">
        <v>3047</v>
      </c>
      <c r="AC1" s="3184" t="s">
        <v>3048</v>
      </c>
      <c r="AD1" s="3184" t="s">
        <v>3049</v>
      </c>
      <c r="AE1" s="3184" t="s">
        <v>3050</v>
      </c>
      <c r="AF1" s="3184" t="s">
        <v>3051</v>
      </c>
      <c r="AG1" s="3184" t="s">
        <v>3052</v>
      </c>
      <c r="AH1" s="3184" t="s">
        <v>3053</v>
      </c>
      <c r="AI1" s="3184" t="s">
        <v>3054</v>
      </c>
      <c r="AJ1" s="3184" t="s">
        <v>3055</v>
      </c>
      <c r="AK1" s="3184" t="s">
        <v>3056</v>
      </c>
      <c r="AL1" s="3184" t="s">
        <v>3057</v>
      </c>
      <c r="AM1" s="3184" t="s">
        <v>3058</v>
      </c>
      <c r="AN1" s="3184" t="s">
        <v>3059</v>
      </c>
      <c r="AO1" s="3184" t="s">
        <v>3060</v>
      </c>
      <c r="AP1" s="3184" t="s">
        <v>3061</v>
      </c>
      <c r="AQ1" s="3184" t="s">
        <v>3062</v>
      </c>
      <c r="AR1" s="3184" t="s">
        <v>3063</v>
      </c>
    </row>
    <row r="2" spans="1:44" s="3184" customFormat="1" ht="12.6">
      <c r="A2" s="3184" t="s">
        <v>3064</v>
      </c>
      <c r="B2" s="3184" t="s">
        <v>3065</v>
      </c>
      <c r="C2" s="3184" t="s">
        <v>3066</v>
      </c>
      <c r="D2" s="3184" t="s">
        <v>2991</v>
      </c>
      <c r="E2" s="3184" t="s">
        <v>2780</v>
      </c>
      <c r="F2" s="3184" t="s">
        <v>3064</v>
      </c>
      <c r="G2" s="3184" t="s">
        <v>3067</v>
      </c>
      <c r="H2" s="3184" t="s">
        <v>3068</v>
      </c>
      <c r="I2" s="3184" t="s">
        <v>3069</v>
      </c>
      <c r="J2" s="3184">
        <v>41505</v>
      </c>
      <c r="K2" s="3184">
        <v>83010</v>
      </c>
      <c r="L2" s="3184" t="s">
        <v>3070</v>
      </c>
      <c r="M2" s="3184" t="s">
        <v>2780</v>
      </c>
      <c r="N2" s="3184" t="s">
        <v>3071</v>
      </c>
      <c r="O2" s="3184" t="s">
        <v>2780</v>
      </c>
      <c r="P2" s="3184" t="s">
        <v>2780</v>
      </c>
      <c r="Q2" s="3184" t="s">
        <v>2780</v>
      </c>
      <c r="R2" s="3184" t="s">
        <v>2780</v>
      </c>
      <c r="S2" s="3184" t="s">
        <v>2780</v>
      </c>
      <c r="T2" s="3184" t="s">
        <v>2780</v>
      </c>
      <c r="U2" s="3184" t="s">
        <v>2780</v>
      </c>
      <c r="V2" s="3184" t="s">
        <v>2780</v>
      </c>
      <c r="W2" s="3184" t="s">
        <v>3072</v>
      </c>
      <c r="X2" s="3184" t="s">
        <v>3073</v>
      </c>
      <c r="Y2" s="3184" t="s">
        <v>3074</v>
      </c>
      <c r="Z2" s="3184" t="s">
        <v>3075</v>
      </c>
      <c r="AA2" s="3184" t="s">
        <v>3075</v>
      </c>
      <c r="AB2" s="3184" t="s">
        <v>3076</v>
      </c>
      <c r="AC2" s="3184" t="s">
        <v>3077</v>
      </c>
      <c r="AD2" s="3184" t="s">
        <v>3078</v>
      </c>
      <c r="AE2" s="3184">
        <v>6226</v>
      </c>
      <c r="AF2" s="3184">
        <v>31130</v>
      </c>
      <c r="AG2" s="3184">
        <v>47630</v>
      </c>
      <c r="AH2" s="3184">
        <v>500.02</v>
      </c>
      <c r="AI2" s="3184">
        <v>765.05</v>
      </c>
      <c r="AJ2" s="3184">
        <v>3750.15</v>
      </c>
      <c r="AK2" s="3184">
        <v>5737.85</v>
      </c>
      <c r="AL2" s="3184" t="s">
        <v>2780</v>
      </c>
      <c r="AM2" s="3184" t="s">
        <v>2780</v>
      </c>
      <c r="AN2" s="3184">
        <v>53</v>
      </c>
      <c r="AO2" s="3184" t="s">
        <v>3079</v>
      </c>
      <c r="AP2" s="3184" t="s">
        <v>2780</v>
      </c>
      <c r="AQ2" s="3184" t="s">
        <v>2780</v>
      </c>
      <c r="AR2" s="3184" t="s">
        <v>2780</v>
      </c>
    </row>
    <row r="3" spans="1:44" s="3184" customFormat="1" ht="12.6">
      <c r="A3" s="3184" t="s">
        <v>3080</v>
      </c>
      <c r="B3" s="3184" t="s">
        <v>3065</v>
      </c>
      <c r="C3" s="3184" t="s">
        <v>3066</v>
      </c>
      <c r="D3" s="3184" t="s">
        <v>2991</v>
      </c>
      <c r="E3" s="3184" t="s">
        <v>2780</v>
      </c>
      <c r="F3" s="3184" t="s">
        <v>3080</v>
      </c>
      <c r="G3" s="3184" t="s">
        <v>3067</v>
      </c>
      <c r="H3" s="3184" t="s">
        <v>3081</v>
      </c>
      <c r="I3" s="3184" t="s">
        <v>3069</v>
      </c>
      <c r="J3" s="3184">
        <v>4857</v>
      </c>
      <c r="K3" s="3184">
        <v>10685.4</v>
      </c>
      <c r="L3" s="3184" t="s">
        <v>3082</v>
      </c>
      <c r="M3" s="3184" t="s">
        <v>2780</v>
      </c>
      <c r="N3" s="3184" t="s">
        <v>3071</v>
      </c>
      <c r="O3" s="3184" t="s">
        <v>2780</v>
      </c>
      <c r="P3" s="3184" t="s">
        <v>2780</v>
      </c>
      <c r="Q3" s="3184" t="s">
        <v>2780</v>
      </c>
      <c r="R3" s="3184" t="s">
        <v>2780</v>
      </c>
      <c r="S3" s="3184" t="s">
        <v>2780</v>
      </c>
      <c r="T3" s="3184" t="s">
        <v>2780</v>
      </c>
      <c r="U3" s="3184" t="s">
        <v>2780</v>
      </c>
      <c r="V3" s="3184" t="s">
        <v>2780</v>
      </c>
      <c r="W3" s="3184" t="s">
        <v>3072</v>
      </c>
      <c r="X3" s="3184" t="s">
        <v>3073</v>
      </c>
      <c r="Y3" s="3184" t="s">
        <v>3074</v>
      </c>
      <c r="Z3" s="3184" t="s">
        <v>3075</v>
      </c>
      <c r="AA3" s="3184" t="s">
        <v>3075</v>
      </c>
      <c r="AB3" s="3184" t="s">
        <v>3083</v>
      </c>
      <c r="AC3" s="3184" t="s">
        <v>3077</v>
      </c>
      <c r="AD3" s="3184" t="s">
        <v>3084</v>
      </c>
      <c r="AE3" s="3184">
        <v>524</v>
      </c>
      <c r="AF3" s="3184">
        <v>2620</v>
      </c>
      <c r="AG3" s="3184">
        <v>2620</v>
      </c>
      <c r="AH3" s="3184">
        <v>359.62</v>
      </c>
      <c r="AI3" s="3184">
        <v>359.62</v>
      </c>
      <c r="AJ3" s="3184">
        <v>2451.94</v>
      </c>
      <c r="AK3" s="3184">
        <v>2451.94</v>
      </c>
      <c r="AL3" s="3184" t="s">
        <v>2780</v>
      </c>
      <c r="AM3" s="3184" t="s">
        <v>2780</v>
      </c>
      <c r="AN3" s="3184">
        <v>0</v>
      </c>
      <c r="AO3" s="3184" t="s">
        <v>3079</v>
      </c>
      <c r="AP3" s="3184" t="s">
        <v>2780</v>
      </c>
      <c r="AQ3" s="3184" t="s">
        <v>2780</v>
      </c>
      <c r="AR3" s="3184" t="s">
        <v>2780</v>
      </c>
    </row>
    <row r="4" spans="1:44" s="3184" customFormat="1" ht="12.6">
      <c r="A4" s="3184" t="s">
        <v>3085</v>
      </c>
      <c r="B4" s="3184" t="s">
        <v>3065</v>
      </c>
      <c r="C4" s="3184" t="s">
        <v>3066</v>
      </c>
      <c r="D4" s="3184" t="s">
        <v>2991</v>
      </c>
      <c r="E4" s="3184" t="s">
        <v>2780</v>
      </c>
      <c r="F4" s="3184" t="s">
        <v>3085</v>
      </c>
      <c r="G4" s="3184" t="s">
        <v>3067</v>
      </c>
      <c r="H4" s="3184" t="s">
        <v>3086</v>
      </c>
      <c r="I4" s="3184" t="s">
        <v>3069</v>
      </c>
      <c r="J4" s="3184">
        <v>22487</v>
      </c>
      <c r="K4" s="3184">
        <v>49471.4</v>
      </c>
      <c r="L4" s="3184" t="s">
        <v>3082</v>
      </c>
      <c r="M4" s="3184" t="s">
        <v>2780</v>
      </c>
      <c r="N4" s="3184" t="s">
        <v>3071</v>
      </c>
      <c r="O4" s="3184" t="s">
        <v>2780</v>
      </c>
      <c r="P4" s="3184" t="s">
        <v>2780</v>
      </c>
      <c r="Q4" s="3184" t="s">
        <v>2780</v>
      </c>
      <c r="R4" s="3184" t="s">
        <v>2780</v>
      </c>
      <c r="S4" s="3184" t="s">
        <v>2780</v>
      </c>
      <c r="T4" s="3184" t="s">
        <v>2780</v>
      </c>
      <c r="U4" s="3184" t="s">
        <v>2780</v>
      </c>
      <c r="V4" s="3184" t="s">
        <v>2780</v>
      </c>
      <c r="W4" s="3184" t="s">
        <v>3072</v>
      </c>
      <c r="X4" s="3184" t="s">
        <v>3073</v>
      </c>
      <c r="Y4" s="3184" t="s">
        <v>3074</v>
      </c>
      <c r="Z4" s="3184" t="s">
        <v>3075</v>
      </c>
      <c r="AA4" s="3184" t="s">
        <v>3075</v>
      </c>
      <c r="AB4" s="3184" t="s">
        <v>3087</v>
      </c>
      <c r="AC4" s="3184" t="s">
        <v>3077</v>
      </c>
      <c r="AD4" s="3184" t="s">
        <v>3088</v>
      </c>
      <c r="AE4" s="3184">
        <v>3240</v>
      </c>
      <c r="AF4" s="3184">
        <v>16200</v>
      </c>
      <c r="AG4" s="3184">
        <v>23600</v>
      </c>
      <c r="AH4" s="3184">
        <v>480.28</v>
      </c>
      <c r="AI4" s="3184">
        <v>699.66</v>
      </c>
      <c r="AJ4" s="3184">
        <v>3274.61</v>
      </c>
      <c r="AK4" s="3184">
        <v>4770.43</v>
      </c>
      <c r="AL4" s="3184" t="s">
        <v>2780</v>
      </c>
      <c r="AM4" s="3184" t="s">
        <v>2780</v>
      </c>
      <c r="AN4" s="3184">
        <v>45.68</v>
      </c>
      <c r="AO4" s="3184" t="s">
        <v>3079</v>
      </c>
      <c r="AP4" s="3184" t="s">
        <v>2780</v>
      </c>
      <c r="AQ4" s="3184" t="s">
        <v>2780</v>
      </c>
      <c r="AR4" s="3184" t="s">
        <v>2780</v>
      </c>
    </row>
    <row r="5" spans="1:44" s="3184" customFormat="1" ht="12.6">
      <c r="A5" s="3184" t="s">
        <v>3089</v>
      </c>
      <c r="B5" s="3184" t="s">
        <v>3065</v>
      </c>
      <c r="C5" s="3184" t="s">
        <v>3066</v>
      </c>
      <c r="D5" s="3184" t="s">
        <v>2991</v>
      </c>
      <c r="E5" s="3184" t="s">
        <v>2780</v>
      </c>
      <c r="F5" s="3184" t="s">
        <v>3089</v>
      </c>
      <c r="G5" s="3184" t="s">
        <v>3067</v>
      </c>
      <c r="H5" s="3184" t="s">
        <v>3090</v>
      </c>
      <c r="I5" s="3184" t="s">
        <v>3069</v>
      </c>
      <c r="J5" s="3184">
        <v>2524</v>
      </c>
      <c r="K5" s="3184">
        <v>8834</v>
      </c>
      <c r="L5" s="3184" t="s">
        <v>3091</v>
      </c>
      <c r="M5" s="3184" t="s">
        <v>2780</v>
      </c>
      <c r="N5" s="3184" t="s">
        <v>3071</v>
      </c>
      <c r="O5" s="3184" t="s">
        <v>2780</v>
      </c>
      <c r="P5" s="3184" t="s">
        <v>2780</v>
      </c>
      <c r="Q5" s="3184" t="s">
        <v>2780</v>
      </c>
      <c r="R5" s="3184" t="s">
        <v>2780</v>
      </c>
      <c r="S5" s="3184" t="s">
        <v>2780</v>
      </c>
      <c r="T5" s="3184" t="s">
        <v>2780</v>
      </c>
      <c r="U5" s="3184" t="s">
        <v>2780</v>
      </c>
      <c r="V5" s="3184" t="s">
        <v>2780</v>
      </c>
      <c r="W5" s="3184" t="s">
        <v>3072</v>
      </c>
      <c r="X5" s="3184" t="s">
        <v>3092</v>
      </c>
      <c r="Y5" s="3184" t="s">
        <v>3093</v>
      </c>
      <c r="Z5" s="3184" t="s">
        <v>3094</v>
      </c>
      <c r="AA5" s="3184" t="s">
        <v>3094</v>
      </c>
      <c r="AB5" s="3184" t="s">
        <v>3095</v>
      </c>
      <c r="AC5" s="3184" t="s">
        <v>3077</v>
      </c>
      <c r="AD5" s="3184" t="s">
        <v>3096</v>
      </c>
      <c r="AE5" s="3184">
        <v>606</v>
      </c>
      <c r="AF5" s="3184">
        <v>3030</v>
      </c>
      <c r="AG5" s="3184">
        <v>3030</v>
      </c>
      <c r="AH5" s="3184">
        <v>800.32</v>
      </c>
      <c r="AI5" s="3184">
        <v>800.32</v>
      </c>
      <c r="AJ5" s="3184">
        <v>3429.92</v>
      </c>
      <c r="AK5" s="3184">
        <v>3429.92</v>
      </c>
      <c r="AL5" s="3184" t="s">
        <v>2780</v>
      </c>
      <c r="AM5" s="3184" t="s">
        <v>2780</v>
      </c>
      <c r="AN5" s="3184">
        <v>0</v>
      </c>
      <c r="AO5" s="3184" t="s">
        <v>3079</v>
      </c>
      <c r="AP5" s="3184" t="s">
        <v>2780</v>
      </c>
      <c r="AQ5" s="3184" t="s">
        <v>2780</v>
      </c>
      <c r="AR5" s="3184" t="s">
        <v>2780</v>
      </c>
    </row>
    <row r="6" spans="1:44" s="3184" customFormat="1" ht="12.6">
      <c r="A6" s="3184" t="s">
        <v>3097</v>
      </c>
      <c r="B6" s="3184" t="s">
        <v>3065</v>
      </c>
      <c r="C6" s="3184" t="s">
        <v>3066</v>
      </c>
      <c r="D6" s="3184" t="s">
        <v>2991</v>
      </c>
      <c r="E6" s="3184" t="s">
        <v>2780</v>
      </c>
      <c r="F6" s="3184" t="s">
        <v>3097</v>
      </c>
      <c r="G6" s="3184" t="s">
        <v>3067</v>
      </c>
      <c r="H6" s="3184" t="s">
        <v>3098</v>
      </c>
      <c r="I6" s="3184" t="s">
        <v>3069</v>
      </c>
      <c r="J6" s="3184">
        <v>793</v>
      </c>
      <c r="K6" s="3184">
        <v>1982.5</v>
      </c>
      <c r="L6" s="3184" t="s">
        <v>3099</v>
      </c>
      <c r="M6" s="3184" t="s">
        <v>2780</v>
      </c>
      <c r="N6" s="3184" t="s">
        <v>3100</v>
      </c>
      <c r="O6" s="3184" t="s">
        <v>2780</v>
      </c>
      <c r="P6" s="3184" t="s">
        <v>2780</v>
      </c>
      <c r="Q6" s="3184" t="s">
        <v>2780</v>
      </c>
      <c r="R6" s="3184" t="s">
        <v>2780</v>
      </c>
      <c r="S6" s="3184" t="s">
        <v>2780</v>
      </c>
      <c r="T6" s="3184" t="s">
        <v>2780</v>
      </c>
      <c r="U6" s="3184" t="s">
        <v>2780</v>
      </c>
      <c r="V6" s="3184" t="s">
        <v>2780</v>
      </c>
      <c r="W6" s="3184" t="s">
        <v>3072</v>
      </c>
      <c r="X6" s="3184" t="s">
        <v>3092</v>
      </c>
      <c r="Y6" s="3184" t="s">
        <v>3093</v>
      </c>
      <c r="Z6" s="3184" t="s">
        <v>3094</v>
      </c>
      <c r="AA6" s="3184" t="s">
        <v>3094</v>
      </c>
      <c r="AB6" s="3184" t="s">
        <v>3101</v>
      </c>
      <c r="AC6" s="3184" t="s">
        <v>3077</v>
      </c>
      <c r="AD6" s="3184" t="s">
        <v>3102</v>
      </c>
      <c r="AE6" s="3184">
        <v>134</v>
      </c>
      <c r="AF6" s="3184">
        <v>670</v>
      </c>
      <c r="AG6" s="3184">
        <v>670</v>
      </c>
      <c r="AH6" s="3184">
        <v>563.26</v>
      </c>
      <c r="AI6" s="3184">
        <v>563.26</v>
      </c>
      <c r="AJ6" s="3184">
        <v>3379.57</v>
      </c>
      <c r="AK6" s="3184">
        <v>3379.57</v>
      </c>
      <c r="AL6" s="3184" t="s">
        <v>2780</v>
      </c>
      <c r="AM6" s="3184" t="s">
        <v>2780</v>
      </c>
      <c r="AN6" s="3184">
        <v>0</v>
      </c>
      <c r="AO6" s="3184" t="s">
        <v>3079</v>
      </c>
      <c r="AP6" s="3184" t="s">
        <v>2780</v>
      </c>
      <c r="AQ6" s="3184" t="s">
        <v>2780</v>
      </c>
      <c r="AR6" s="3184" t="s">
        <v>2780</v>
      </c>
    </row>
    <row r="7" spans="1:44" s="3184" customFormat="1" ht="12.6">
      <c r="A7" s="3184" t="s">
        <v>3103</v>
      </c>
      <c r="B7" s="3184" t="s">
        <v>3065</v>
      </c>
      <c r="C7" s="3184" t="s">
        <v>3066</v>
      </c>
      <c r="D7" s="3184" t="s">
        <v>2991</v>
      </c>
      <c r="E7" s="3184" t="s">
        <v>2780</v>
      </c>
      <c r="F7" s="3184" t="s">
        <v>3103</v>
      </c>
      <c r="G7" s="3184" t="s">
        <v>3067</v>
      </c>
      <c r="H7" s="3184" t="s">
        <v>3104</v>
      </c>
      <c r="I7" s="3184" t="s">
        <v>3069</v>
      </c>
      <c r="J7" s="3184">
        <v>13765</v>
      </c>
      <c r="K7" s="3184">
        <v>27530</v>
      </c>
      <c r="L7" s="3184" t="s">
        <v>3070</v>
      </c>
      <c r="M7" s="3184" t="s">
        <v>2780</v>
      </c>
      <c r="N7" s="3184" t="s">
        <v>3105</v>
      </c>
      <c r="O7" s="3184" t="s">
        <v>2780</v>
      </c>
      <c r="P7" s="3184" t="s">
        <v>2780</v>
      </c>
      <c r="Q7" s="3184" t="s">
        <v>2780</v>
      </c>
      <c r="R7" s="3184" t="s">
        <v>2780</v>
      </c>
      <c r="S7" s="3184" t="s">
        <v>2780</v>
      </c>
      <c r="T7" s="3184" t="s">
        <v>2780</v>
      </c>
      <c r="U7" s="3184" t="s">
        <v>2780</v>
      </c>
      <c r="V7" s="3184" t="s">
        <v>2780</v>
      </c>
      <c r="W7" s="3184" t="s">
        <v>3072</v>
      </c>
      <c r="X7" s="3184" t="s">
        <v>3092</v>
      </c>
      <c r="Y7" s="3184" t="s">
        <v>3093</v>
      </c>
      <c r="Z7" s="3184" t="s">
        <v>3094</v>
      </c>
      <c r="AA7" s="3184" t="s">
        <v>3094</v>
      </c>
      <c r="AB7" s="3184" t="s">
        <v>3106</v>
      </c>
      <c r="AC7" s="3184" t="s">
        <v>3077</v>
      </c>
      <c r="AD7" s="3184" t="s">
        <v>3107</v>
      </c>
      <c r="AE7" s="3184">
        <v>496</v>
      </c>
      <c r="AF7" s="3184">
        <v>2478</v>
      </c>
      <c r="AG7" s="3184">
        <v>2478</v>
      </c>
      <c r="AH7" s="3184">
        <v>120.01</v>
      </c>
      <c r="AI7" s="3184">
        <v>120.01</v>
      </c>
      <c r="AJ7" s="3184">
        <v>900.1</v>
      </c>
      <c r="AK7" s="3184">
        <v>900.11</v>
      </c>
      <c r="AL7" s="3184" t="s">
        <v>2780</v>
      </c>
      <c r="AM7" s="3184" t="s">
        <v>2780</v>
      </c>
      <c r="AN7" s="3184">
        <v>0</v>
      </c>
      <c r="AO7" s="3184" t="s">
        <v>3079</v>
      </c>
      <c r="AP7" s="3184" t="s">
        <v>2780</v>
      </c>
      <c r="AQ7" s="3184" t="s">
        <v>2780</v>
      </c>
      <c r="AR7" s="3184" t="s">
        <v>2780</v>
      </c>
    </row>
    <row r="8" spans="1:44" s="3184" customFormat="1" ht="12.6">
      <c r="A8" s="3184" t="s">
        <v>3097</v>
      </c>
      <c r="B8" s="3184" t="s">
        <v>3065</v>
      </c>
      <c r="C8" s="3184" t="s">
        <v>3066</v>
      </c>
      <c r="D8" s="3184" t="s">
        <v>2991</v>
      </c>
      <c r="E8" s="3184" t="s">
        <v>2780</v>
      </c>
      <c r="F8" s="3184" t="s">
        <v>3097</v>
      </c>
      <c r="G8" s="3184" t="s">
        <v>3067</v>
      </c>
      <c r="H8" s="3184" t="s">
        <v>3108</v>
      </c>
      <c r="I8" s="3184" t="s">
        <v>3069</v>
      </c>
      <c r="J8" s="3184">
        <v>10799</v>
      </c>
      <c r="K8" s="3184">
        <v>26997.5</v>
      </c>
      <c r="L8" s="3184" t="s">
        <v>3099</v>
      </c>
      <c r="M8" s="3184" t="s">
        <v>2780</v>
      </c>
      <c r="N8" s="3184" t="s">
        <v>3100</v>
      </c>
      <c r="O8" s="3184" t="s">
        <v>2780</v>
      </c>
      <c r="P8" s="3184" t="s">
        <v>2780</v>
      </c>
      <c r="Q8" s="3184" t="s">
        <v>2780</v>
      </c>
      <c r="R8" s="3184" t="s">
        <v>2780</v>
      </c>
      <c r="S8" s="3184" t="s">
        <v>2780</v>
      </c>
      <c r="T8" s="3184" t="s">
        <v>2780</v>
      </c>
      <c r="U8" s="3184" t="s">
        <v>2780</v>
      </c>
      <c r="V8" s="3184" t="s">
        <v>2780</v>
      </c>
      <c r="W8" s="3184" t="s">
        <v>3072</v>
      </c>
      <c r="X8" s="3184" t="s">
        <v>3092</v>
      </c>
      <c r="Y8" s="3184" t="s">
        <v>3093</v>
      </c>
      <c r="Z8" s="3184" t="s">
        <v>3094</v>
      </c>
      <c r="AA8" s="3184" t="s">
        <v>3094</v>
      </c>
      <c r="AB8" s="3184" t="s">
        <v>3109</v>
      </c>
      <c r="AC8" s="3184" t="s">
        <v>3077</v>
      </c>
      <c r="AD8" s="3184" t="s">
        <v>3102</v>
      </c>
      <c r="AE8" s="3184">
        <v>1816</v>
      </c>
      <c r="AF8" s="3184">
        <v>9080</v>
      </c>
      <c r="AG8" s="3184">
        <v>9080</v>
      </c>
      <c r="AH8" s="3184">
        <v>560.54999999999995</v>
      </c>
      <c r="AI8" s="3184">
        <v>560.54999999999995</v>
      </c>
      <c r="AJ8" s="3184">
        <v>3363.27</v>
      </c>
      <c r="AK8" s="3184">
        <v>3363.26</v>
      </c>
      <c r="AL8" s="3184" t="s">
        <v>2780</v>
      </c>
      <c r="AM8" s="3184" t="s">
        <v>2780</v>
      </c>
      <c r="AN8" s="3184">
        <v>0</v>
      </c>
      <c r="AO8" s="3184" t="s">
        <v>3079</v>
      </c>
      <c r="AP8" s="3184" t="s">
        <v>2780</v>
      </c>
      <c r="AQ8" s="3184" t="s">
        <v>2780</v>
      </c>
      <c r="AR8" s="3184" t="s">
        <v>2780</v>
      </c>
    </row>
    <row r="9" spans="1:44" s="3184" customFormat="1" ht="12.6">
      <c r="A9" s="3184" t="s">
        <v>3110</v>
      </c>
      <c r="B9" s="3184" t="s">
        <v>3065</v>
      </c>
      <c r="C9" s="3184" t="s">
        <v>3066</v>
      </c>
      <c r="D9" s="3184" t="s">
        <v>2991</v>
      </c>
      <c r="E9" s="3184" t="s">
        <v>2780</v>
      </c>
      <c r="F9" s="3184" t="s">
        <v>3110</v>
      </c>
      <c r="G9" s="3184" t="s">
        <v>3067</v>
      </c>
      <c r="H9" s="3184" t="s">
        <v>3111</v>
      </c>
      <c r="I9" s="3184" t="s">
        <v>3069</v>
      </c>
      <c r="J9" s="3184">
        <v>69847</v>
      </c>
      <c r="K9" s="3184">
        <v>153663.4</v>
      </c>
      <c r="L9" s="3184" t="s">
        <v>3082</v>
      </c>
      <c r="M9" s="3184" t="s">
        <v>2780</v>
      </c>
      <c r="N9" s="3184" t="s">
        <v>3071</v>
      </c>
      <c r="O9" s="3184" t="s">
        <v>2780</v>
      </c>
      <c r="P9" s="3184" t="s">
        <v>2780</v>
      </c>
      <c r="Q9" s="3184" t="s">
        <v>2780</v>
      </c>
      <c r="R9" s="3184" t="s">
        <v>2780</v>
      </c>
      <c r="S9" s="3184" t="s">
        <v>2780</v>
      </c>
      <c r="T9" s="3184" t="s">
        <v>2780</v>
      </c>
      <c r="U9" s="3184" t="s">
        <v>2780</v>
      </c>
      <c r="V9" s="3184" t="s">
        <v>2780</v>
      </c>
      <c r="W9" s="3184" t="s">
        <v>3072</v>
      </c>
      <c r="X9" s="3184" t="s">
        <v>3092</v>
      </c>
      <c r="Y9" s="3184" t="s">
        <v>3093</v>
      </c>
      <c r="Z9" s="3184" t="s">
        <v>3094</v>
      </c>
      <c r="AA9" s="3184" t="s">
        <v>3094</v>
      </c>
      <c r="AB9" s="3184" t="s">
        <v>3112</v>
      </c>
      <c r="AC9" s="3184" t="s">
        <v>3077</v>
      </c>
      <c r="AD9" s="3184" t="s">
        <v>3084</v>
      </c>
      <c r="AE9" s="3184">
        <v>8382</v>
      </c>
      <c r="AF9" s="3184">
        <v>41910</v>
      </c>
      <c r="AG9" s="3184">
        <v>41910</v>
      </c>
      <c r="AH9" s="3184">
        <v>400.02</v>
      </c>
      <c r="AI9" s="3184">
        <v>400.02</v>
      </c>
      <c r="AJ9" s="3184">
        <v>2727.38</v>
      </c>
      <c r="AK9" s="3184">
        <v>2727.38</v>
      </c>
      <c r="AL9" s="3184" t="s">
        <v>2780</v>
      </c>
      <c r="AM9" s="3184" t="s">
        <v>2780</v>
      </c>
      <c r="AN9" s="3184">
        <v>0</v>
      </c>
      <c r="AO9" s="3184" t="s">
        <v>3079</v>
      </c>
      <c r="AP9" s="3184" t="s">
        <v>2780</v>
      </c>
      <c r="AQ9" s="3184" t="s">
        <v>2780</v>
      </c>
      <c r="AR9" s="3184" t="s">
        <v>2780</v>
      </c>
    </row>
    <row r="10" spans="1:44" s="3184" customFormat="1" ht="12.6">
      <c r="A10" s="3184" t="s">
        <v>3113</v>
      </c>
      <c r="B10" s="3184" t="s">
        <v>3065</v>
      </c>
      <c r="C10" s="3184" t="s">
        <v>3066</v>
      </c>
      <c r="D10" s="3184" t="s">
        <v>2991</v>
      </c>
      <c r="E10" s="3184" t="s">
        <v>2780</v>
      </c>
      <c r="F10" s="3184" t="s">
        <v>3113</v>
      </c>
      <c r="G10" s="3184" t="s">
        <v>3067</v>
      </c>
      <c r="H10" s="3184" t="s">
        <v>3114</v>
      </c>
      <c r="I10" s="3184" t="s">
        <v>3069</v>
      </c>
      <c r="J10" s="3184">
        <v>24054</v>
      </c>
      <c r="K10" s="3184">
        <v>36081</v>
      </c>
      <c r="L10" s="3184" t="s">
        <v>3115</v>
      </c>
      <c r="M10" s="3184" t="s">
        <v>2780</v>
      </c>
      <c r="N10" s="3184" t="s">
        <v>3071</v>
      </c>
      <c r="O10" s="3184" t="s">
        <v>2780</v>
      </c>
      <c r="P10" s="3184" t="s">
        <v>2780</v>
      </c>
      <c r="Q10" s="3184" t="s">
        <v>2780</v>
      </c>
      <c r="R10" s="3184" t="s">
        <v>2780</v>
      </c>
      <c r="S10" s="3184" t="s">
        <v>2780</v>
      </c>
      <c r="T10" s="3184" t="s">
        <v>2780</v>
      </c>
      <c r="U10" s="3184" t="s">
        <v>2780</v>
      </c>
      <c r="V10" s="3184" t="s">
        <v>2780</v>
      </c>
      <c r="W10" s="3184" t="s">
        <v>3072</v>
      </c>
      <c r="X10" s="3184" t="s">
        <v>3092</v>
      </c>
      <c r="Y10" s="3184" t="s">
        <v>3093</v>
      </c>
      <c r="Z10" s="3184" t="s">
        <v>3094</v>
      </c>
      <c r="AA10" s="3184" t="s">
        <v>3094</v>
      </c>
      <c r="AB10" s="3184" t="s">
        <v>3116</v>
      </c>
      <c r="AC10" s="3184" t="s">
        <v>3077</v>
      </c>
      <c r="AD10" s="3184" t="s">
        <v>3117</v>
      </c>
      <c r="AE10" s="3184">
        <v>2744</v>
      </c>
      <c r="AF10" s="3184">
        <v>13720</v>
      </c>
      <c r="AG10" s="3184">
        <v>13920</v>
      </c>
      <c r="AH10" s="3184">
        <v>380.26</v>
      </c>
      <c r="AI10" s="3184">
        <v>385.8</v>
      </c>
      <c r="AJ10" s="3184">
        <v>3802.55</v>
      </c>
      <c r="AK10" s="3184">
        <v>3857.98</v>
      </c>
      <c r="AL10" s="3184" t="s">
        <v>2780</v>
      </c>
      <c r="AM10" s="3184" t="s">
        <v>2780</v>
      </c>
      <c r="AN10" s="3184">
        <v>1.46</v>
      </c>
      <c r="AO10" s="3184" t="s">
        <v>3079</v>
      </c>
      <c r="AP10" s="3184" t="s">
        <v>2780</v>
      </c>
      <c r="AQ10" s="3184" t="s">
        <v>2780</v>
      </c>
      <c r="AR10" s="3184" t="s">
        <v>2780</v>
      </c>
    </row>
    <row r="11" spans="1:44" s="3186" customFormat="1" ht="12.6">
      <c r="A11" s="3186" t="s">
        <v>3319</v>
      </c>
      <c r="B11" s="3186" t="s">
        <v>3065</v>
      </c>
      <c r="C11" s="3186" t="s">
        <v>3066</v>
      </c>
      <c r="D11" s="3186" t="s">
        <v>2991</v>
      </c>
      <c r="E11" s="3186" t="s">
        <v>2780</v>
      </c>
      <c r="F11" s="3186" t="s">
        <v>3118</v>
      </c>
      <c r="G11" s="3186" t="s">
        <v>3067</v>
      </c>
      <c r="H11" s="3186" t="s">
        <v>3119</v>
      </c>
      <c r="I11" s="3186" t="s">
        <v>3069</v>
      </c>
      <c r="J11" s="3186">
        <v>2615</v>
      </c>
      <c r="K11" s="3186">
        <v>6537.5</v>
      </c>
      <c r="L11" s="3186" t="s">
        <v>3120</v>
      </c>
      <c r="M11" s="3186" t="s">
        <v>2780</v>
      </c>
      <c r="N11" s="3186" t="s">
        <v>3121</v>
      </c>
      <c r="O11" s="3186" t="s">
        <v>2780</v>
      </c>
      <c r="P11" s="3186" t="s">
        <v>2780</v>
      </c>
      <c r="Q11" s="3186" t="s">
        <v>2780</v>
      </c>
      <c r="R11" s="3186" t="s">
        <v>2780</v>
      </c>
      <c r="S11" s="3186" t="s">
        <v>2780</v>
      </c>
      <c r="T11" s="3186" t="s">
        <v>2780</v>
      </c>
      <c r="U11" s="3186" t="s">
        <v>2780</v>
      </c>
      <c r="V11" s="3186" t="s">
        <v>2780</v>
      </c>
      <c r="W11" s="3186" t="s">
        <v>3122</v>
      </c>
      <c r="X11" s="3186" t="s">
        <v>3123</v>
      </c>
      <c r="Y11" s="3186" t="s">
        <v>3124</v>
      </c>
      <c r="Z11" s="3186" t="s">
        <v>3125</v>
      </c>
      <c r="AA11" s="3186" t="s">
        <v>3125</v>
      </c>
      <c r="AB11" s="3186" t="s">
        <v>3126</v>
      </c>
      <c r="AC11" s="3186" t="s">
        <v>3077</v>
      </c>
      <c r="AD11" s="3186" t="s">
        <v>3127</v>
      </c>
      <c r="AE11" s="3186">
        <v>354</v>
      </c>
      <c r="AF11" s="3186">
        <v>1180</v>
      </c>
      <c r="AG11" s="3186">
        <v>1180</v>
      </c>
      <c r="AH11" s="3186">
        <v>300.83</v>
      </c>
      <c r="AI11" s="3186">
        <v>300.83</v>
      </c>
      <c r="AJ11" s="3186">
        <v>1804.97</v>
      </c>
      <c r="AK11" s="3186">
        <v>1804.97</v>
      </c>
      <c r="AL11" s="3186" t="s">
        <v>2780</v>
      </c>
      <c r="AM11" s="3186" t="s">
        <v>2780</v>
      </c>
      <c r="AN11" s="3186">
        <v>0</v>
      </c>
      <c r="AO11" s="3186" t="s">
        <v>3079</v>
      </c>
      <c r="AP11" s="3186" t="s">
        <v>2780</v>
      </c>
      <c r="AQ11" s="3186" t="s">
        <v>2780</v>
      </c>
      <c r="AR11" s="3186" t="s">
        <v>2780</v>
      </c>
    </row>
    <row r="12" spans="1:44" s="3187" customFormat="1" ht="12.6">
      <c r="A12" s="3187" t="s">
        <v>3128</v>
      </c>
      <c r="B12" s="3187" t="s">
        <v>3065</v>
      </c>
      <c r="C12" s="3187" t="s">
        <v>3066</v>
      </c>
      <c r="D12" s="3187" t="s">
        <v>2991</v>
      </c>
      <c r="E12" s="3187" t="s">
        <v>2780</v>
      </c>
      <c r="F12" s="3187" t="s">
        <v>3128</v>
      </c>
      <c r="G12" s="3187" t="s">
        <v>3067</v>
      </c>
      <c r="H12" s="3187" t="s">
        <v>3129</v>
      </c>
      <c r="I12" s="3187" t="s">
        <v>3069</v>
      </c>
      <c r="J12" s="3187">
        <v>30365</v>
      </c>
      <c r="K12" s="3187">
        <v>39474.5</v>
      </c>
      <c r="L12" s="3187" t="s">
        <v>3130</v>
      </c>
      <c r="M12" s="3187" t="s">
        <v>2780</v>
      </c>
      <c r="N12" s="3187" t="s">
        <v>3131</v>
      </c>
      <c r="O12" s="3187" t="s">
        <v>2780</v>
      </c>
      <c r="P12" s="3187" t="s">
        <v>2780</v>
      </c>
      <c r="Q12" s="3187" t="s">
        <v>2780</v>
      </c>
      <c r="R12" s="3187" t="s">
        <v>2780</v>
      </c>
      <c r="S12" s="3187" t="s">
        <v>2780</v>
      </c>
      <c r="T12" s="3187" t="s">
        <v>2780</v>
      </c>
      <c r="U12" s="3187" t="s">
        <v>2780</v>
      </c>
      <c r="V12" s="3187" t="s">
        <v>2780</v>
      </c>
      <c r="W12" s="3187" t="s">
        <v>3122</v>
      </c>
      <c r="X12" s="3187" t="s">
        <v>3123</v>
      </c>
      <c r="Y12" s="3187" t="s">
        <v>3124</v>
      </c>
      <c r="Z12" s="3187" t="s">
        <v>3125</v>
      </c>
      <c r="AA12" s="3187" t="s">
        <v>3125</v>
      </c>
      <c r="AB12" s="3187" t="s">
        <v>3126</v>
      </c>
      <c r="AC12" s="3187" t="s">
        <v>3077</v>
      </c>
      <c r="AD12" s="3187" t="s">
        <v>3132</v>
      </c>
      <c r="AE12" s="3187">
        <v>684</v>
      </c>
      <c r="AF12" s="3187">
        <v>2280</v>
      </c>
      <c r="AG12" s="3187">
        <v>2280</v>
      </c>
      <c r="AH12" s="3187">
        <v>50.06</v>
      </c>
      <c r="AI12" s="3187">
        <v>50.06</v>
      </c>
      <c r="AJ12" s="3187">
        <v>577.58000000000004</v>
      </c>
      <c r="AK12" s="3187">
        <v>577.59</v>
      </c>
      <c r="AL12" s="3187" t="s">
        <v>2780</v>
      </c>
      <c r="AM12" s="3187" t="s">
        <v>2780</v>
      </c>
      <c r="AN12" s="3187">
        <v>0</v>
      </c>
      <c r="AO12" s="3187" t="s">
        <v>3079</v>
      </c>
      <c r="AP12" s="3187" t="s">
        <v>2780</v>
      </c>
      <c r="AQ12" s="3187" t="s">
        <v>2780</v>
      </c>
      <c r="AR12" s="3187" t="s">
        <v>2780</v>
      </c>
    </row>
    <row r="13" spans="1:44" s="3187" customFormat="1" ht="12.6">
      <c r="A13" s="3187" t="s">
        <v>3128</v>
      </c>
      <c r="B13" s="3187" t="s">
        <v>3065</v>
      </c>
      <c r="C13" s="3187" t="s">
        <v>3066</v>
      </c>
      <c r="D13" s="3187" t="s">
        <v>2991</v>
      </c>
      <c r="E13" s="3187" t="s">
        <v>2780</v>
      </c>
      <c r="F13" s="3187" t="s">
        <v>3128</v>
      </c>
      <c r="G13" s="3187" t="s">
        <v>3067</v>
      </c>
      <c r="H13" s="3187" t="s">
        <v>3133</v>
      </c>
      <c r="I13" s="3187" t="s">
        <v>3069</v>
      </c>
      <c r="J13" s="3187">
        <v>29560</v>
      </c>
      <c r="K13" s="3187">
        <v>38428</v>
      </c>
      <c r="L13" s="3187" t="s">
        <v>3130</v>
      </c>
      <c r="M13" s="3187" t="s">
        <v>2780</v>
      </c>
      <c r="N13" s="3187" t="s">
        <v>3131</v>
      </c>
      <c r="O13" s="3187" t="s">
        <v>2780</v>
      </c>
      <c r="P13" s="3187" t="s">
        <v>2780</v>
      </c>
      <c r="Q13" s="3187" t="s">
        <v>2780</v>
      </c>
      <c r="R13" s="3187" t="s">
        <v>2780</v>
      </c>
      <c r="S13" s="3187" t="s">
        <v>2780</v>
      </c>
      <c r="T13" s="3187" t="s">
        <v>2780</v>
      </c>
      <c r="U13" s="3187" t="s">
        <v>2780</v>
      </c>
      <c r="V13" s="3187" t="s">
        <v>2780</v>
      </c>
      <c r="W13" s="3187" t="s">
        <v>3122</v>
      </c>
      <c r="X13" s="3187" t="s">
        <v>3123</v>
      </c>
      <c r="Y13" s="3187" t="s">
        <v>3124</v>
      </c>
      <c r="Z13" s="3187" t="s">
        <v>3125</v>
      </c>
      <c r="AA13" s="3187" t="s">
        <v>3125</v>
      </c>
      <c r="AB13" s="3187" t="s">
        <v>3126</v>
      </c>
      <c r="AC13" s="3187" t="s">
        <v>3077</v>
      </c>
      <c r="AD13" s="3187" t="s">
        <v>3132</v>
      </c>
      <c r="AE13" s="3187">
        <v>666</v>
      </c>
      <c r="AF13" s="3187">
        <v>2220</v>
      </c>
      <c r="AG13" s="3187">
        <v>2220</v>
      </c>
      <c r="AH13" s="3187">
        <v>50.07</v>
      </c>
      <c r="AI13" s="3187">
        <v>50.07</v>
      </c>
      <c r="AJ13" s="3187">
        <v>577.70000000000005</v>
      </c>
      <c r="AK13" s="3187">
        <v>577.70000000000005</v>
      </c>
      <c r="AL13" s="3187" t="s">
        <v>2780</v>
      </c>
      <c r="AM13" s="3187" t="s">
        <v>2780</v>
      </c>
      <c r="AN13" s="3187">
        <v>0</v>
      </c>
      <c r="AO13" s="3187" t="s">
        <v>3079</v>
      </c>
      <c r="AP13" s="3187" t="s">
        <v>2780</v>
      </c>
      <c r="AQ13" s="3187" t="s">
        <v>2780</v>
      </c>
      <c r="AR13" s="3187" t="s">
        <v>2780</v>
      </c>
    </row>
    <row r="14" spans="1:44" s="3187" customFormat="1" ht="12.6">
      <c r="A14" s="3187" t="s">
        <v>3134</v>
      </c>
      <c r="B14" s="3187" t="s">
        <v>3065</v>
      </c>
      <c r="C14" s="3187" t="s">
        <v>3066</v>
      </c>
      <c r="D14" s="3187" t="s">
        <v>2991</v>
      </c>
      <c r="E14" s="3187" t="s">
        <v>2780</v>
      </c>
      <c r="F14" s="3187" t="s">
        <v>3134</v>
      </c>
      <c r="G14" s="3187" t="s">
        <v>3067</v>
      </c>
      <c r="H14" s="3187" t="s">
        <v>3135</v>
      </c>
      <c r="I14" s="3187" t="s">
        <v>3069</v>
      </c>
      <c r="J14" s="3187">
        <v>44892</v>
      </c>
      <c r="K14" s="3187">
        <v>80805.600000000006</v>
      </c>
      <c r="L14" s="3187" t="s">
        <v>3136</v>
      </c>
      <c r="M14" s="3187" t="s">
        <v>2780</v>
      </c>
      <c r="N14" s="3187" t="s">
        <v>3121</v>
      </c>
      <c r="O14" s="3187" t="s">
        <v>2780</v>
      </c>
      <c r="P14" s="3187" t="s">
        <v>2780</v>
      </c>
      <c r="Q14" s="3187" t="s">
        <v>2780</v>
      </c>
      <c r="R14" s="3187" t="s">
        <v>2780</v>
      </c>
      <c r="S14" s="3187" t="s">
        <v>2780</v>
      </c>
      <c r="T14" s="3187" t="s">
        <v>2780</v>
      </c>
      <c r="U14" s="3187" t="s">
        <v>2780</v>
      </c>
      <c r="V14" s="3187" t="s">
        <v>2780</v>
      </c>
      <c r="W14" s="3187" t="s">
        <v>3122</v>
      </c>
      <c r="X14" s="3187" t="s">
        <v>3123</v>
      </c>
      <c r="Y14" s="3187" t="s">
        <v>3124</v>
      </c>
      <c r="Z14" s="3187" t="s">
        <v>3125</v>
      </c>
      <c r="AA14" s="3187" t="s">
        <v>3125</v>
      </c>
      <c r="AB14" s="3187" t="s">
        <v>3126</v>
      </c>
      <c r="AC14" s="3187" t="s">
        <v>3077</v>
      </c>
      <c r="AD14" s="3187" t="s">
        <v>3127</v>
      </c>
      <c r="AE14" s="3187">
        <v>1617</v>
      </c>
      <c r="AF14" s="3187">
        <v>5390</v>
      </c>
      <c r="AG14" s="3187">
        <v>5390</v>
      </c>
      <c r="AH14" s="3187">
        <v>80.040000000000006</v>
      </c>
      <c r="AI14" s="3187">
        <v>80.040000000000006</v>
      </c>
      <c r="AJ14" s="3187">
        <v>667.03</v>
      </c>
      <c r="AK14" s="3187">
        <v>667.02</v>
      </c>
      <c r="AL14" s="3187" t="s">
        <v>2780</v>
      </c>
      <c r="AM14" s="3187" t="s">
        <v>2780</v>
      </c>
      <c r="AN14" s="3187">
        <v>0</v>
      </c>
      <c r="AO14" s="3187" t="s">
        <v>3079</v>
      </c>
      <c r="AP14" s="3187" t="s">
        <v>2780</v>
      </c>
      <c r="AQ14" s="3187" t="s">
        <v>2780</v>
      </c>
      <c r="AR14" s="3187" t="s">
        <v>2780</v>
      </c>
    </row>
    <row r="15" spans="1:44" s="3187" customFormat="1" ht="12.6">
      <c r="A15" s="3187" t="s">
        <v>3137</v>
      </c>
      <c r="B15" s="3187" t="s">
        <v>3065</v>
      </c>
      <c r="C15" s="3187" t="s">
        <v>3066</v>
      </c>
      <c r="D15" s="3187" t="s">
        <v>2991</v>
      </c>
      <c r="E15" s="3187" t="s">
        <v>2780</v>
      </c>
      <c r="F15" s="3187" t="s">
        <v>3137</v>
      </c>
      <c r="G15" s="3187" t="s">
        <v>3067</v>
      </c>
      <c r="H15" s="3187" t="s">
        <v>3138</v>
      </c>
      <c r="I15" s="3187" t="s">
        <v>3069</v>
      </c>
      <c r="J15" s="3187">
        <v>9505</v>
      </c>
      <c r="K15" s="3187">
        <v>23762.5</v>
      </c>
      <c r="L15" s="3187" t="s">
        <v>3120</v>
      </c>
      <c r="M15" s="3187" t="s">
        <v>2780</v>
      </c>
      <c r="N15" s="3187" t="s">
        <v>3121</v>
      </c>
      <c r="O15" s="3187" t="s">
        <v>2780</v>
      </c>
      <c r="P15" s="3187" t="s">
        <v>2780</v>
      </c>
      <c r="Q15" s="3187" t="s">
        <v>2780</v>
      </c>
      <c r="R15" s="3187" t="s">
        <v>2780</v>
      </c>
      <c r="S15" s="3187" t="s">
        <v>2780</v>
      </c>
      <c r="T15" s="3187" t="s">
        <v>2780</v>
      </c>
      <c r="U15" s="3187" t="s">
        <v>2780</v>
      </c>
      <c r="V15" s="3187" t="s">
        <v>2780</v>
      </c>
      <c r="W15" s="3187" t="s">
        <v>3122</v>
      </c>
      <c r="X15" s="3187" t="s">
        <v>3123</v>
      </c>
      <c r="Y15" s="3187" t="s">
        <v>3124</v>
      </c>
      <c r="Z15" s="3187" t="s">
        <v>3125</v>
      </c>
      <c r="AA15" s="3187" t="s">
        <v>3125</v>
      </c>
      <c r="AB15" s="3187" t="s">
        <v>3126</v>
      </c>
      <c r="AC15" s="3187" t="s">
        <v>3077</v>
      </c>
      <c r="AD15" s="3187" t="s">
        <v>3139</v>
      </c>
      <c r="AE15" s="3187">
        <v>642</v>
      </c>
      <c r="AF15" s="3187">
        <v>2140</v>
      </c>
      <c r="AG15" s="3187">
        <v>2140</v>
      </c>
      <c r="AH15" s="3187">
        <v>150.1</v>
      </c>
      <c r="AI15" s="3187">
        <v>150.1</v>
      </c>
      <c r="AJ15" s="3187">
        <v>900.57</v>
      </c>
      <c r="AK15" s="3187">
        <v>900.58</v>
      </c>
      <c r="AL15" s="3187" t="s">
        <v>2780</v>
      </c>
      <c r="AM15" s="3187" t="s">
        <v>2780</v>
      </c>
      <c r="AN15" s="3187">
        <v>0</v>
      </c>
      <c r="AO15" s="3187" t="s">
        <v>3079</v>
      </c>
      <c r="AP15" s="3187" t="s">
        <v>2780</v>
      </c>
      <c r="AQ15" s="3187" t="s">
        <v>2780</v>
      </c>
      <c r="AR15" s="3187" t="s">
        <v>2780</v>
      </c>
    </row>
    <row r="16" spans="1:44" s="3187" customFormat="1" ht="12.6">
      <c r="A16" s="3187" t="s">
        <v>2993</v>
      </c>
      <c r="B16" s="3187" t="s">
        <v>3065</v>
      </c>
      <c r="C16" s="3187" t="s">
        <v>3066</v>
      </c>
      <c r="D16" s="3187" t="s">
        <v>2991</v>
      </c>
      <c r="E16" s="3187" t="s">
        <v>2780</v>
      </c>
      <c r="F16" s="3187" t="s">
        <v>2993</v>
      </c>
      <c r="G16" s="3187" t="s">
        <v>3067</v>
      </c>
      <c r="H16" s="3187" t="s">
        <v>3140</v>
      </c>
      <c r="I16" s="3187" t="s">
        <v>3069</v>
      </c>
      <c r="J16" s="3187">
        <v>29970</v>
      </c>
      <c r="K16" s="3187">
        <v>89910</v>
      </c>
      <c r="L16" s="3187" t="s">
        <v>3141</v>
      </c>
      <c r="M16" s="3187" t="s">
        <v>2780</v>
      </c>
      <c r="N16" s="3187" t="s">
        <v>3142</v>
      </c>
      <c r="O16" s="3187" t="s">
        <v>2780</v>
      </c>
      <c r="P16" s="3187" t="s">
        <v>2780</v>
      </c>
      <c r="Q16" s="3187" t="s">
        <v>2780</v>
      </c>
      <c r="R16" s="3187" t="s">
        <v>2780</v>
      </c>
      <c r="S16" s="3187" t="s">
        <v>2780</v>
      </c>
      <c r="T16" s="3187" t="s">
        <v>2780</v>
      </c>
      <c r="U16" s="3187" t="s">
        <v>2780</v>
      </c>
      <c r="V16" s="3187" t="s">
        <v>2780</v>
      </c>
      <c r="W16" s="3187" t="s">
        <v>3122</v>
      </c>
      <c r="X16" s="3187" t="s">
        <v>3123</v>
      </c>
      <c r="Y16" s="3187" t="s">
        <v>3124</v>
      </c>
      <c r="Z16" s="3187" t="s">
        <v>3125</v>
      </c>
      <c r="AA16" s="3187" t="s">
        <v>3125</v>
      </c>
      <c r="AB16" s="3187" t="s">
        <v>3126</v>
      </c>
      <c r="AC16" s="3187" t="s">
        <v>3077</v>
      </c>
      <c r="AD16" s="3187" t="s">
        <v>3127</v>
      </c>
      <c r="AE16" s="3187">
        <v>3372</v>
      </c>
      <c r="AF16" s="3187">
        <v>11240</v>
      </c>
      <c r="AG16" s="3187">
        <v>11240</v>
      </c>
      <c r="AH16" s="3187">
        <v>250.03</v>
      </c>
      <c r="AI16" s="3187">
        <v>250.03</v>
      </c>
      <c r="AJ16" s="3187">
        <v>1250.1300000000001</v>
      </c>
      <c r="AK16" s="3187">
        <v>1250.1400000000001</v>
      </c>
      <c r="AL16" s="3187" t="s">
        <v>2780</v>
      </c>
      <c r="AM16" s="3187" t="s">
        <v>2780</v>
      </c>
      <c r="AN16" s="3187">
        <v>0</v>
      </c>
      <c r="AO16" s="3187" t="s">
        <v>3079</v>
      </c>
      <c r="AP16" s="3187" t="s">
        <v>2780</v>
      </c>
      <c r="AQ16" s="3187" t="s">
        <v>2780</v>
      </c>
      <c r="AR16" s="3187" t="s">
        <v>2780</v>
      </c>
    </row>
    <row r="17" spans="1:44" s="3186" customFormat="1" ht="12.6">
      <c r="A17" s="3186" t="s">
        <v>3263</v>
      </c>
      <c r="B17" s="3186" t="s">
        <v>3065</v>
      </c>
      <c r="C17" s="3186" t="s">
        <v>3066</v>
      </c>
      <c r="D17" s="3186" t="s">
        <v>2991</v>
      </c>
      <c r="E17" s="3186" t="s">
        <v>2780</v>
      </c>
      <c r="F17" s="3186" t="s">
        <v>3143</v>
      </c>
      <c r="G17" s="3186" t="s">
        <v>3067</v>
      </c>
      <c r="H17" s="3186" t="s">
        <v>3144</v>
      </c>
      <c r="I17" s="3186" t="s">
        <v>3069</v>
      </c>
      <c r="J17" s="3186">
        <v>2904</v>
      </c>
      <c r="K17" s="3186">
        <v>7260</v>
      </c>
      <c r="L17" s="3186" t="s">
        <v>3120</v>
      </c>
      <c r="M17" s="3186" t="s">
        <v>2780</v>
      </c>
      <c r="N17" s="3186" t="s">
        <v>3121</v>
      </c>
      <c r="O17" s="3186" t="s">
        <v>2780</v>
      </c>
      <c r="P17" s="3186" t="s">
        <v>2780</v>
      </c>
      <c r="Q17" s="3186" t="s">
        <v>2780</v>
      </c>
      <c r="R17" s="3186" t="s">
        <v>2780</v>
      </c>
      <c r="S17" s="3186" t="s">
        <v>2780</v>
      </c>
      <c r="T17" s="3186" t="s">
        <v>2780</v>
      </c>
      <c r="U17" s="3186" t="s">
        <v>2780</v>
      </c>
      <c r="V17" s="3186" t="s">
        <v>2780</v>
      </c>
      <c r="W17" s="3186" t="s">
        <v>3122</v>
      </c>
      <c r="X17" s="3186" t="s">
        <v>3123</v>
      </c>
      <c r="Y17" s="3186" t="s">
        <v>3124</v>
      </c>
      <c r="Z17" s="3186" t="s">
        <v>3125</v>
      </c>
      <c r="AA17" s="3186" t="s">
        <v>3125</v>
      </c>
      <c r="AB17" s="3186" t="s">
        <v>3126</v>
      </c>
      <c r="AC17" s="3186" t="s">
        <v>3077</v>
      </c>
      <c r="AD17" s="3186" t="s">
        <v>3127</v>
      </c>
      <c r="AE17" s="3186">
        <v>459</v>
      </c>
      <c r="AF17" s="3186">
        <v>1530</v>
      </c>
      <c r="AG17" s="3186">
        <v>1530</v>
      </c>
      <c r="AH17" s="3186">
        <v>351.24</v>
      </c>
      <c r="AI17" s="3186">
        <v>351.24</v>
      </c>
      <c r="AJ17" s="3186">
        <v>2107.4299999999998</v>
      </c>
      <c r="AK17" s="3186">
        <v>2107.44</v>
      </c>
      <c r="AL17" s="3186" t="s">
        <v>2780</v>
      </c>
      <c r="AM17" s="3186" t="s">
        <v>2780</v>
      </c>
      <c r="AN17" s="3186">
        <v>0</v>
      </c>
      <c r="AO17" s="3186" t="s">
        <v>3079</v>
      </c>
      <c r="AP17" s="3186" t="s">
        <v>2780</v>
      </c>
      <c r="AQ17" s="3186" t="s">
        <v>2780</v>
      </c>
      <c r="AR17" s="3186" t="s">
        <v>2780</v>
      </c>
    </row>
    <row r="18" spans="1:44" s="3187" customFormat="1" ht="12.6">
      <c r="A18" s="3187" t="s">
        <v>3145</v>
      </c>
      <c r="B18" s="3187" t="s">
        <v>3065</v>
      </c>
      <c r="C18" s="3187" t="s">
        <v>3066</v>
      </c>
      <c r="D18" s="3187" t="s">
        <v>2991</v>
      </c>
      <c r="E18" s="3187" t="s">
        <v>2780</v>
      </c>
      <c r="F18" s="3187" t="s">
        <v>3145</v>
      </c>
      <c r="G18" s="3187" t="s">
        <v>3067</v>
      </c>
      <c r="H18" s="3187" t="s">
        <v>3146</v>
      </c>
      <c r="I18" s="3187" t="s">
        <v>3066</v>
      </c>
      <c r="J18" s="3187">
        <v>58092</v>
      </c>
      <c r="K18" s="3187">
        <v>127802.4</v>
      </c>
      <c r="L18" s="3187" t="s">
        <v>3147</v>
      </c>
      <c r="M18" s="3187" t="s">
        <v>2780</v>
      </c>
      <c r="N18" s="3187" t="s">
        <v>3148</v>
      </c>
      <c r="O18" s="3187" t="s">
        <v>2780</v>
      </c>
      <c r="P18" s="3187" t="s">
        <v>2780</v>
      </c>
      <c r="Q18" s="3187" t="s">
        <v>2780</v>
      </c>
      <c r="R18" s="3187" t="s">
        <v>2780</v>
      </c>
      <c r="S18" s="3187" t="s">
        <v>2780</v>
      </c>
      <c r="T18" s="3187" t="s">
        <v>2780</v>
      </c>
      <c r="U18" s="3187" t="s">
        <v>2780</v>
      </c>
      <c r="V18" s="3187" t="s">
        <v>2780</v>
      </c>
      <c r="W18" s="3187" t="s">
        <v>3122</v>
      </c>
      <c r="X18" s="3187" t="s">
        <v>3149</v>
      </c>
      <c r="Y18" s="3187" t="s">
        <v>3150</v>
      </c>
      <c r="Z18" s="3187" t="s">
        <v>3151</v>
      </c>
      <c r="AA18" s="3187" t="s">
        <v>3151</v>
      </c>
      <c r="AB18" s="3187" t="s">
        <v>3152</v>
      </c>
      <c r="AC18" s="3187" t="s">
        <v>3077</v>
      </c>
      <c r="AD18" s="3187" t="s">
        <v>3084</v>
      </c>
      <c r="AE18" s="3187">
        <v>9150</v>
      </c>
      <c r="AF18" s="3187">
        <v>30500</v>
      </c>
      <c r="AG18" s="3187">
        <v>31300</v>
      </c>
      <c r="AH18" s="3187">
        <v>350.02</v>
      </c>
      <c r="AI18" s="3187">
        <v>359.2</v>
      </c>
      <c r="AJ18" s="3187">
        <v>2386.4899999999998</v>
      </c>
      <c r="AK18" s="3187">
        <v>2449.09</v>
      </c>
      <c r="AL18" s="3187" t="s">
        <v>2780</v>
      </c>
      <c r="AM18" s="3187" t="s">
        <v>2780</v>
      </c>
      <c r="AN18" s="3187">
        <v>2.62</v>
      </c>
      <c r="AO18" s="3187">
        <v>70</v>
      </c>
      <c r="AP18" s="3187" t="s">
        <v>2780</v>
      </c>
      <c r="AQ18" s="3187" t="s">
        <v>2780</v>
      </c>
      <c r="AR18" s="3187" t="s">
        <v>2780</v>
      </c>
    </row>
    <row r="19" spans="1:44" s="3186" customFormat="1" ht="12.6">
      <c r="A19" s="3186" t="s">
        <v>3262</v>
      </c>
      <c r="B19" s="3186" t="s">
        <v>3065</v>
      </c>
      <c r="C19" s="3186" t="s">
        <v>3066</v>
      </c>
      <c r="D19" s="3186" t="s">
        <v>2991</v>
      </c>
      <c r="E19" s="3186" t="s">
        <v>2780</v>
      </c>
      <c r="F19" s="3186" t="s">
        <v>3153</v>
      </c>
      <c r="G19" s="3186" t="s">
        <v>3067</v>
      </c>
      <c r="H19" s="3186" t="s">
        <v>3154</v>
      </c>
      <c r="I19" s="3186" t="s">
        <v>3066</v>
      </c>
      <c r="J19" s="3186">
        <v>10590</v>
      </c>
      <c r="K19" s="3186">
        <v>37065</v>
      </c>
      <c r="L19" s="3186" t="s">
        <v>3155</v>
      </c>
      <c r="M19" s="3186" t="s">
        <v>2780</v>
      </c>
      <c r="N19" s="3186" t="s">
        <v>3148</v>
      </c>
      <c r="O19" s="3186" t="s">
        <v>2780</v>
      </c>
      <c r="P19" s="3186" t="s">
        <v>2780</v>
      </c>
      <c r="Q19" s="3186" t="s">
        <v>2780</v>
      </c>
      <c r="R19" s="3186" t="s">
        <v>2780</v>
      </c>
      <c r="S19" s="3186" t="s">
        <v>2780</v>
      </c>
      <c r="T19" s="3186" t="s">
        <v>2780</v>
      </c>
      <c r="U19" s="3186" t="s">
        <v>2780</v>
      </c>
      <c r="V19" s="3186" t="s">
        <v>2780</v>
      </c>
      <c r="W19" s="3186" t="s">
        <v>3122</v>
      </c>
      <c r="X19" s="3186" t="s">
        <v>3149</v>
      </c>
      <c r="Y19" s="3186" t="s">
        <v>3150</v>
      </c>
      <c r="Z19" s="3186" t="s">
        <v>3151</v>
      </c>
      <c r="AA19" s="3186" t="s">
        <v>3151</v>
      </c>
      <c r="AB19" s="3186" t="s">
        <v>3152</v>
      </c>
      <c r="AC19" s="3186" t="s">
        <v>3077</v>
      </c>
      <c r="AD19" s="3186" t="s">
        <v>3156</v>
      </c>
      <c r="AE19" s="3186">
        <v>1431</v>
      </c>
      <c r="AF19" s="3186">
        <v>4770</v>
      </c>
      <c r="AG19" s="3186">
        <v>6070</v>
      </c>
      <c r="AH19" s="3186">
        <v>300.27999999999997</v>
      </c>
      <c r="AI19" s="3186">
        <v>382.12</v>
      </c>
      <c r="AJ19" s="3186">
        <v>1286.92</v>
      </c>
      <c r="AK19" s="3186">
        <v>1637.66</v>
      </c>
      <c r="AL19" s="3186" t="s">
        <v>2780</v>
      </c>
      <c r="AM19" s="3186" t="s">
        <v>2780</v>
      </c>
      <c r="AN19" s="3186">
        <v>27.25</v>
      </c>
      <c r="AO19" s="3186">
        <v>70</v>
      </c>
      <c r="AP19" s="3186" t="s">
        <v>2780</v>
      </c>
      <c r="AQ19" s="3186" t="s">
        <v>2780</v>
      </c>
      <c r="AR19" s="3186" t="s">
        <v>2780</v>
      </c>
    </row>
    <row r="20" spans="1:44" s="3184" customFormat="1" ht="12.6">
      <c r="A20" s="3184" t="s">
        <v>3145</v>
      </c>
      <c r="B20" s="3184" t="s">
        <v>3065</v>
      </c>
      <c r="C20" s="3184" t="s">
        <v>3066</v>
      </c>
      <c r="D20" s="3184" t="s">
        <v>2991</v>
      </c>
      <c r="E20" s="3184" t="s">
        <v>2780</v>
      </c>
      <c r="F20" s="3184" t="s">
        <v>3145</v>
      </c>
      <c r="G20" s="3184" t="s">
        <v>3067</v>
      </c>
      <c r="H20" s="3184" t="s">
        <v>3157</v>
      </c>
      <c r="I20" s="3184" t="s">
        <v>3066</v>
      </c>
      <c r="J20" s="3184">
        <v>69062</v>
      </c>
      <c r="K20" s="3184">
        <v>151936.4</v>
      </c>
      <c r="L20" s="3184" t="s">
        <v>3147</v>
      </c>
      <c r="M20" s="3184" t="s">
        <v>2780</v>
      </c>
      <c r="N20" s="3184" t="s">
        <v>3148</v>
      </c>
      <c r="O20" s="3184" t="s">
        <v>2780</v>
      </c>
      <c r="P20" s="3184" t="s">
        <v>2780</v>
      </c>
      <c r="Q20" s="3184" t="s">
        <v>2780</v>
      </c>
      <c r="R20" s="3184" t="s">
        <v>2780</v>
      </c>
      <c r="S20" s="3184" t="s">
        <v>2780</v>
      </c>
      <c r="T20" s="3184" t="s">
        <v>2780</v>
      </c>
      <c r="U20" s="3184" t="s">
        <v>2780</v>
      </c>
      <c r="V20" s="3184" t="s">
        <v>2780</v>
      </c>
      <c r="W20" s="3184" t="s">
        <v>3122</v>
      </c>
      <c r="X20" s="3184" t="s">
        <v>3149</v>
      </c>
      <c r="Y20" s="3184" t="s">
        <v>3150</v>
      </c>
      <c r="Z20" s="3184" t="s">
        <v>3151</v>
      </c>
      <c r="AA20" s="3184" t="s">
        <v>3151</v>
      </c>
      <c r="AB20" s="3184" t="s">
        <v>3152</v>
      </c>
      <c r="AC20" s="3184" t="s">
        <v>3077</v>
      </c>
      <c r="AD20" s="3184" t="s">
        <v>3158</v>
      </c>
      <c r="AE20" s="3184">
        <v>10878</v>
      </c>
      <c r="AF20" s="3184">
        <v>36260</v>
      </c>
      <c r="AG20" s="3184">
        <v>36860</v>
      </c>
      <c r="AH20" s="3184">
        <v>350.02</v>
      </c>
      <c r="AI20" s="3184">
        <v>355.82</v>
      </c>
      <c r="AJ20" s="3184">
        <v>2386.52</v>
      </c>
      <c r="AK20" s="3184">
        <v>2426.0100000000002</v>
      </c>
      <c r="AL20" s="3184" t="s">
        <v>2780</v>
      </c>
      <c r="AM20" s="3184" t="s">
        <v>2780</v>
      </c>
      <c r="AN20" s="3184">
        <v>1.65</v>
      </c>
      <c r="AO20" s="3184">
        <v>70</v>
      </c>
      <c r="AP20" s="3184" t="s">
        <v>2780</v>
      </c>
      <c r="AQ20" s="3184" t="s">
        <v>2780</v>
      </c>
      <c r="AR20" s="3184" t="s">
        <v>2780</v>
      </c>
    </row>
    <row r="21" spans="1:44" s="3184" customFormat="1" ht="12.6">
      <c r="A21" s="3184" t="s">
        <v>3159</v>
      </c>
      <c r="B21" s="3184" t="s">
        <v>3065</v>
      </c>
      <c r="C21" s="3184" t="s">
        <v>3066</v>
      </c>
      <c r="D21" s="3184" t="s">
        <v>2991</v>
      </c>
      <c r="E21" s="3184" t="s">
        <v>2780</v>
      </c>
      <c r="F21" s="3184" t="s">
        <v>3159</v>
      </c>
      <c r="G21" s="3184" t="s">
        <v>3067</v>
      </c>
      <c r="H21" s="3184" t="s">
        <v>3160</v>
      </c>
      <c r="I21" s="3184" t="s">
        <v>3066</v>
      </c>
      <c r="J21" s="3184">
        <v>88498</v>
      </c>
      <c r="K21" s="3184">
        <v>221245</v>
      </c>
      <c r="L21" s="3184" t="s">
        <v>3161</v>
      </c>
      <c r="M21" s="3184" t="s">
        <v>2780</v>
      </c>
      <c r="N21" s="3184" t="s">
        <v>3148</v>
      </c>
      <c r="O21" s="3184" t="s">
        <v>2780</v>
      </c>
      <c r="P21" s="3184" t="s">
        <v>2780</v>
      </c>
      <c r="Q21" s="3184" t="s">
        <v>2780</v>
      </c>
      <c r="R21" s="3184" t="s">
        <v>2780</v>
      </c>
      <c r="S21" s="3184" t="s">
        <v>2780</v>
      </c>
      <c r="T21" s="3184" t="s">
        <v>2780</v>
      </c>
      <c r="U21" s="3184" t="s">
        <v>2780</v>
      </c>
      <c r="V21" s="3184" t="s">
        <v>2780</v>
      </c>
      <c r="W21" s="3184" t="s">
        <v>3122</v>
      </c>
      <c r="X21" s="3184" t="s">
        <v>3149</v>
      </c>
      <c r="Y21" s="3184" t="s">
        <v>3150</v>
      </c>
      <c r="Z21" s="3184" t="s">
        <v>3151</v>
      </c>
      <c r="AA21" s="3184" t="s">
        <v>3151</v>
      </c>
      <c r="AB21" s="3184" t="s">
        <v>3152</v>
      </c>
      <c r="AC21" s="3184" t="s">
        <v>3077</v>
      </c>
      <c r="AD21" s="3184" t="s">
        <v>3162</v>
      </c>
      <c r="AE21" s="3184">
        <v>15930</v>
      </c>
      <c r="AF21" s="3184">
        <v>53100</v>
      </c>
      <c r="AG21" s="3184">
        <v>54700</v>
      </c>
      <c r="AH21" s="3184">
        <v>400.01</v>
      </c>
      <c r="AI21" s="3184">
        <v>412.06</v>
      </c>
      <c r="AJ21" s="3184">
        <v>2400.0500000000002</v>
      </c>
      <c r="AK21" s="3184">
        <v>2472.36</v>
      </c>
      <c r="AL21" s="3184" t="s">
        <v>2780</v>
      </c>
      <c r="AM21" s="3184" t="s">
        <v>2780</v>
      </c>
      <c r="AN21" s="3184">
        <v>3.01</v>
      </c>
      <c r="AO21" s="3184">
        <v>70</v>
      </c>
      <c r="AP21" s="3184" t="s">
        <v>2780</v>
      </c>
      <c r="AQ21" s="3184" t="s">
        <v>2780</v>
      </c>
      <c r="AR21" s="3184" t="s">
        <v>2780</v>
      </c>
    </row>
    <row r="22" spans="1:44" s="3184" customFormat="1" ht="12.6">
      <c r="A22" s="3184" t="s">
        <v>3163</v>
      </c>
      <c r="B22" s="3184" t="s">
        <v>3065</v>
      </c>
      <c r="C22" s="3184" t="s">
        <v>3066</v>
      </c>
      <c r="D22" s="3184" t="s">
        <v>2991</v>
      </c>
      <c r="E22" s="3184" t="s">
        <v>2780</v>
      </c>
      <c r="F22" s="3184" t="s">
        <v>3163</v>
      </c>
      <c r="G22" s="3184" t="s">
        <v>3067</v>
      </c>
      <c r="H22" s="3184" t="s">
        <v>3164</v>
      </c>
      <c r="I22" s="3184" t="s">
        <v>3069</v>
      </c>
      <c r="J22" s="3184">
        <v>37399</v>
      </c>
      <c r="K22" s="3184">
        <v>93497.5</v>
      </c>
      <c r="L22" s="3184" t="s">
        <v>3120</v>
      </c>
      <c r="M22" s="3184" t="s">
        <v>2780</v>
      </c>
      <c r="N22" s="3184" t="s">
        <v>3121</v>
      </c>
      <c r="O22" s="3184" t="s">
        <v>2780</v>
      </c>
      <c r="P22" s="3184" t="s">
        <v>2780</v>
      </c>
      <c r="Q22" s="3184" t="s">
        <v>2780</v>
      </c>
      <c r="R22" s="3184" t="s">
        <v>2780</v>
      </c>
      <c r="S22" s="3184" t="s">
        <v>2780</v>
      </c>
      <c r="T22" s="3184" t="s">
        <v>2780</v>
      </c>
      <c r="U22" s="3184" t="s">
        <v>2780</v>
      </c>
      <c r="V22" s="3184" t="s">
        <v>2780</v>
      </c>
      <c r="W22" s="3184" t="s">
        <v>3122</v>
      </c>
      <c r="X22" s="3184" t="s">
        <v>3165</v>
      </c>
      <c r="Y22" s="3184" t="s">
        <v>3166</v>
      </c>
      <c r="Z22" s="3184" t="s">
        <v>3167</v>
      </c>
      <c r="AA22" s="3184" t="s">
        <v>3167</v>
      </c>
      <c r="AB22" s="3184" t="s">
        <v>3168</v>
      </c>
      <c r="AC22" s="3184" t="s">
        <v>3077</v>
      </c>
      <c r="AD22" s="3184" t="s">
        <v>3169</v>
      </c>
      <c r="AE22" s="3184">
        <v>4041</v>
      </c>
      <c r="AF22" s="3184">
        <v>13470</v>
      </c>
      <c r="AG22" s="3184">
        <v>33770</v>
      </c>
      <c r="AH22" s="3184">
        <v>240.11</v>
      </c>
      <c r="AI22" s="3184">
        <v>601.98</v>
      </c>
      <c r="AJ22" s="3184">
        <v>1440.68</v>
      </c>
      <c r="AK22" s="3184">
        <v>3611.86</v>
      </c>
      <c r="AL22" s="3184" t="s">
        <v>2780</v>
      </c>
      <c r="AM22" s="3184" t="s">
        <v>2780</v>
      </c>
      <c r="AN22" s="3184">
        <v>150.71</v>
      </c>
      <c r="AO22" s="3184" t="s">
        <v>3079</v>
      </c>
      <c r="AP22" s="3184" t="s">
        <v>2780</v>
      </c>
      <c r="AQ22" s="3184" t="s">
        <v>2780</v>
      </c>
      <c r="AR22" s="3184" t="s">
        <v>2780</v>
      </c>
    </row>
    <row r="23" spans="1:44" s="3184" customFormat="1" ht="12.6">
      <c r="A23" s="3184" t="s">
        <v>3170</v>
      </c>
      <c r="B23" s="3184" t="s">
        <v>3065</v>
      </c>
      <c r="C23" s="3184" t="s">
        <v>3066</v>
      </c>
      <c r="D23" s="3184" t="s">
        <v>2991</v>
      </c>
      <c r="E23" s="3184" t="s">
        <v>2780</v>
      </c>
      <c r="F23" s="3184" t="s">
        <v>3170</v>
      </c>
      <c r="G23" s="3184" t="s">
        <v>3067</v>
      </c>
      <c r="H23" s="3184" t="s">
        <v>3171</v>
      </c>
      <c r="I23" s="3184" t="s">
        <v>3069</v>
      </c>
      <c r="J23" s="3184">
        <v>33491</v>
      </c>
      <c r="K23" s="3184">
        <v>83727.5</v>
      </c>
      <c r="L23" s="3184" t="s">
        <v>3120</v>
      </c>
      <c r="M23" s="3184" t="s">
        <v>2780</v>
      </c>
      <c r="N23" s="3184" t="s">
        <v>3121</v>
      </c>
      <c r="O23" s="3184" t="s">
        <v>2780</v>
      </c>
      <c r="P23" s="3184" t="s">
        <v>2780</v>
      </c>
      <c r="Q23" s="3184" t="s">
        <v>2780</v>
      </c>
      <c r="R23" s="3184" t="s">
        <v>2780</v>
      </c>
      <c r="S23" s="3184" t="s">
        <v>2780</v>
      </c>
      <c r="T23" s="3184" t="s">
        <v>2780</v>
      </c>
      <c r="U23" s="3184" t="s">
        <v>2780</v>
      </c>
      <c r="V23" s="3184" t="s">
        <v>2780</v>
      </c>
      <c r="W23" s="3184" t="s">
        <v>3122</v>
      </c>
      <c r="X23" s="3184" t="s">
        <v>3165</v>
      </c>
      <c r="Y23" s="3184" t="s">
        <v>3166</v>
      </c>
      <c r="Z23" s="3184" t="s">
        <v>3167</v>
      </c>
      <c r="AA23" s="3184" t="s">
        <v>3167</v>
      </c>
      <c r="AB23" s="3184" t="s">
        <v>3172</v>
      </c>
      <c r="AC23" s="3184" t="s">
        <v>3077</v>
      </c>
      <c r="AD23" s="3184" t="s">
        <v>3169</v>
      </c>
      <c r="AE23" s="3184">
        <v>3618</v>
      </c>
      <c r="AF23" s="3184">
        <v>12060</v>
      </c>
      <c r="AG23" s="3184">
        <v>42960</v>
      </c>
      <c r="AH23" s="3184">
        <v>240.06</v>
      </c>
      <c r="AI23" s="3184">
        <v>855.16</v>
      </c>
      <c r="AJ23" s="3184">
        <v>1440.38</v>
      </c>
      <c r="AK23" s="3184">
        <v>5130.93</v>
      </c>
      <c r="AL23" s="3184" t="s">
        <v>2780</v>
      </c>
      <c r="AM23" s="3184" t="s">
        <v>2780</v>
      </c>
      <c r="AN23" s="3184">
        <v>256.22000000000003</v>
      </c>
      <c r="AO23" s="3184" t="s">
        <v>3079</v>
      </c>
      <c r="AP23" s="3184" t="s">
        <v>2780</v>
      </c>
      <c r="AQ23" s="3184" t="s">
        <v>2780</v>
      </c>
      <c r="AR23" s="3184" t="s">
        <v>2780</v>
      </c>
    </row>
    <row r="24" spans="1:44" s="3184" customFormat="1" ht="12.6">
      <c r="A24" s="3184" t="s">
        <v>3173</v>
      </c>
      <c r="B24" s="3184" t="s">
        <v>3065</v>
      </c>
      <c r="C24" s="3184" t="s">
        <v>3066</v>
      </c>
      <c r="D24" s="3184" t="s">
        <v>2991</v>
      </c>
      <c r="E24" s="3184" t="s">
        <v>2780</v>
      </c>
      <c r="F24" s="3184" t="s">
        <v>3173</v>
      </c>
      <c r="G24" s="3184" t="s">
        <v>3067</v>
      </c>
      <c r="H24" s="3184" t="s">
        <v>3174</v>
      </c>
      <c r="I24" s="3184" t="s">
        <v>3069</v>
      </c>
      <c r="J24" s="3184">
        <v>58122</v>
      </c>
      <c r="K24" s="3184">
        <v>174366</v>
      </c>
      <c r="L24" s="3184" t="s">
        <v>3175</v>
      </c>
      <c r="M24" s="3184" t="s">
        <v>2780</v>
      </c>
      <c r="N24" s="3184" t="s">
        <v>3142</v>
      </c>
      <c r="O24" s="3184" t="s">
        <v>2780</v>
      </c>
      <c r="P24" s="3184" t="s">
        <v>2780</v>
      </c>
      <c r="Q24" s="3184" t="s">
        <v>2780</v>
      </c>
      <c r="R24" s="3184" t="s">
        <v>2780</v>
      </c>
      <c r="S24" s="3184" t="s">
        <v>2780</v>
      </c>
      <c r="T24" s="3184" t="s">
        <v>2780</v>
      </c>
      <c r="U24" s="3184" t="s">
        <v>2780</v>
      </c>
      <c r="V24" s="3184" t="s">
        <v>2780</v>
      </c>
      <c r="W24" s="3184" t="s">
        <v>3122</v>
      </c>
      <c r="X24" s="3184" t="s">
        <v>3165</v>
      </c>
      <c r="Y24" s="3184" t="s">
        <v>3166</v>
      </c>
      <c r="Z24" s="3184" t="s">
        <v>3167</v>
      </c>
      <c r="AA24" s="3184" t="s">
        <v>3167</v>
      </c>
      <c r="AB24" s="3184" t="s">
        <v>3176</v>
      </c>
      <c r="AC24" s="3184" t="s">
        <v>3077</v>
      </c>
      <c r="AD24" s="3184" t="s">
        <v>3177</v>
      </c>
      <c r="AE24" s="3184">
        <v>1572</v>
      </c>
      <c r="AF24" s="3184">
        <v>5240</v>
      </c>
      <c r="AG24" s="3184">
        <v>5240</v>
      </c>
      <c r="AH24" s="3184">
        <v>60.1</v>
      </c>
      <c r="AI24" s="3184">
        <v>60.1</v>
      </c>
      <c r="AJ24" s="3184">
        <v>300.51</v>
      </c>
      <c r="AK24" s="3184">
        <v>300.51</v>
      </c>
      <c r="AL24" s="3184" t="s">
        <v>2780</v>
      </c>
      <c r="AM24" s="3184" t="s">
        <v>2780</v>
      </c>
      <c r="AN24" s="3184">
        <v>0</v>
      </c>
      <c r="AO24" s="3184" t="s">
        <v>3079</v>
      </c>
      <c r="AP24" s="3184" t="s">
        <v>2780</v>
      </c>
      <c r="AQ24" s="3184" t="s">
        <v>2780</v>
      </c>
      <c r="AR24" s="3184" t="s">
        <v>2780</v>
      </c>
    </row>
    <row r="25" spans="1:44" s="3184" customFormat="1" ht="12.6">
      <c r="A25" s="3184" t="s">
        <v>3178</v>
      </c>
      <c r="B25" s="3184" t="s">
        <v>3065</v>
      </c>
      <c r="C25" s="3184" t="s">
        <v>3066</v>
      </c>
      <c r="D25" s="3184" t="s">
        <v>2991</v>
      </c>
      <c r="E25" s="3184" t="s">
        <v>2780</v>
      </c>
      <c r="F25" s="3184" t="s">
        <v>3178</v>
      </c>
      <c r="G25" s="3184" t="s">
        <v>3067</v>
      </c>
      <c r="H25" s="3184" t="s">
        <v>3179</v>
      </c>
      <c r="I25" s="3184" t="s">
        <v>3069</v>
      </c>
      <c r="J25" s="3184">
        <v>15590</v>
      </c>
      <c r="K25" s="3184">
        <v>46770</v>
      </c>
      <c r="L25" s="3184" t="s">
        <v>3175</v>
      </c>
      <c r="M25" s="3184" t="s">
        <v>2780</v>
      </c>
      <c r="N25" s="3184" t="s">
        <v>3180</v>
      </c>
      <c r="O25" s="3184" t="s">
        <v>2780</v>
      </c>
      <c r="P25" s="3184" t="s">
        <v>2780</v>
      </c>
      <c r="Q25" s="3184" t="s">
        <v>2780</v>
      </c>
      <c r="R25" s="3184" t="s">
        <v>2780</v>
      </c>
      <c r="S25" s="3184" t="s">
        <v>2780</v>
      </c>
      <c r="T25" s="3184" t="s">
        <v>2780</v>
      </c>
      <c r="U25" s="3184" t="s">
        <v>2780</v>
      </c>
      <c r="V25" s="3184" t="s">
        <v>2780</v>
      </c>
      <c r="W25" s="3184" t="s">
        <v>3122</v>
      </c>
      <c r="X25" s="3184" t="s">
        <v>3165</v>
      </c>
      <c r="Y25" s="3184" t="s">
        <v>3166</v>
      </c>
      <c r="Z25" s="3184" t="s">
        <v>3167</v>
      </c>
      <c r="AA25" s="3184" t="s">
        <v>3167</v>
      </c>
      <c r="AB25" s="3184" t="s">
        <v>3181</v>
      </c>
      <c r="AC25" s="3184" t="s">
        <v>3077</v>
      </c>
      <c r="AD25" s="3184" t="s">
        <v>3182</v>
      </c>
      <c r="AE25" s="3184">
        <v>1053</v>
      </c>
      <c r="AF25" s="3184">
        <v>3510</v>
      </c>
      <c r="AG25" s="3184">
        <v>3510</v>
      </c>
      <c r="AH25" s="3184">
        <v>150.1</v>
      </c>
      <c r="AI25" s="3184">
        <v>150.1</v>
      </c>
      <c r="AJ25" s="3184">
        <v>750.48</v>
      </c>
      <c r="AK25" s="3184">
        <v>750.48</v>
      </c>
      <c r="AL25" s="3184" t="s">
        <v>2780</v>
      </c>
      <c r="AM25" s="3184" t="s">
        <v>2780</v>
      </c>
      <c r="AN25" s="3184">
        <v>0</v>
      </c>
      <c r="AO25" s="3184" t="s">
        <v>3079</v>
      </c>
      <c r="AP25" s="3184" t="s">
        <v>2780</v>
      </c>
      <c r="AQ25" s="3184" t="s">
        <v>2780</v>
      </c>
      <c r="AR25" s="3184" t="s">
        <v>2780</v>
      </c>
    </row>
    <row r="26" spans="1:44" s="3184" customFormat="1" ht="12.6">
      <c r="A26" s="3184" t="s">
        <v>3170</v>
      </c>
      <c r="B26" s="3184" t="s">
        <v>3065</v>
      </c>
      <c r="C26" s="3184" t="s">
        <v>3066</v>
      </c>
      <c r="D26" s="3184" t="s">
        <v>2991</v>
      </c>
      <c r="E26" s="3184" t="s">
        <v>2780</v>
      </c>
      <c r="F26" s="3184" t="s">
        <v>3170</v>
      </c>
      <c r="G26" s="3184" t="s">
        <v>3067</v>
      </c>
      <c r="H26" s="3184" t="s">
        <v>3183</v>
      </c>
      <c r="I26" s="3184" t="s">
        <v>3069</v>
      </c>
      <c r="J26" s="3184">
        <v>62381</v>
      </c>
      <c r="K26" s="3184">
        <v>155952.5</v>
      </c>
      <c r="L26" s="3184" t="s">
        <v>3120</v>
      </c>
      <c r="M26" s="3184" t="s">
        <v>2780</v>
      </c>
      <c r="N26" s="3184" t="s">
        <v>3121</v>
      </c>
      <c r="O26" s="3184" t="s">
        <v>2780</v>
      </c>
      <c r="P26" s="3184" t="s">
        <v>2780</v>
      </c>
      <c r="Q26" s="3184" t="s">
        <v>2780</v>
      </c>
      <c r="R26" s="3184" t="s">
        <v>2780</v>
      </c>
      <c r="S26" s="3184" t="s">
        <v>2780</v>
      </c>
      <c r="T26" s="3184" t="s">
        <v>2780</v>
      </c>
      <c r="U26" s="3184" t="s">
        <v>2780</v>
      </c>
      <c r="V26" s="3184" t="s">
        <v>2780</v>
      </c>
      <c r="W26" s="3184" t="s">
        <v>3122</v>
      </c>
      <c r="X26" s="3184" t="s">
        <v>3165</v>
      </c>
      <c r="Y26" s="3184" t="s">
        <v>3166</v>
      </c>
      <c r="Z26" s="3184" t="s">
        <v>3167</v>
      </c>
      <c r="AA26" s="3184" t="s">
        <v>3167</v>
      </c>
      <c r="AB26" s="3184" t="s">
        <v>3184</v>
      </c>
      <c r="AC26" s="3184" t="s">
        <v>3077</v>
      </c>
      <c r="AD26" s="3184" t="s">
        <v>3169</v>
      </c>
      <c r="AE26" s="3184">
        <v>6522</v>
      </c>
      <c r="AF26" s="3184">
        <v>21740</v>
      </c>
      <c r="AG26" s="3184">
        <v>52640</v>
      </c>
      <c r="AH26" s="3184">
        <v>232.34</v>
      </c>
      <c r="AI26" s="3184">
        <v>562.55999999999995</v>
      </c>
      <c r="AJ26" s="3184">
        <v>1394.01</v>
      </c>
      <c r="AK26" s="3184">
        <v>3375.38</v>
      </c>
      <c r="AL26" s="3184" t="s">
        <v>2780</v>
      </c>
      <c r="AM26" s="3184" t="s">
        <v>2780</v>
      </c>
      <c r="AN26" s="3184">
        <v>142.13</v>
      </c>
      <c r="AO26" s="3184" t="s">
        <v>3079</v>
      </c>
      <c r="AP26" s="3184" t="s">
        <v>2780</v>
      </c>
      <c r="AQ26" s="3184" t="s">
        <v>2780</v>
      </c>
      <c r="AR26" s="3184" t="s">
        <v>2780</v>
      </c>
    </row>
    <row r="27" spans="1:44" s="3184" customFormat="1" ht="12.6">
      <c r="A27" s="3184" t="s">
        <v>3173</v>
      </c>
      <c r="B27" s="3184" t="s">
        <v>3065</v>
      </c>
      <c r="C27" s="3184" t="s">
        <v>3066</v>
      </c>
      <c r="D27" s="3184" t="s">
        <v>2991</v>
      </c>
      <c r="E27" s="3184" t="s">
        <v>2780</v>
      </c>
      <c r="F27" s="3184" t="s">
        <v>3173</v>
      </c>
      <c r="G27" s="3184" t="s">
        <v>3067</v>
      </c>
      <c r="H27" s="3184" t="s">
        <v>3185</v>
      </c>
      <c r="I27" s="3184" t="s">
        <v>3069</v>
      </c>
      <c r="J27" s="3184">
        <v>61337</v>
      </c>
      <c r="K27" s="3184">
        <v>184011</v>
      </c>
      <c r="L27" s="3184" t="s">
        <v>3175</v>
      </c>
      <c r="M27" s="3184" t="s">
        <v>2780</v>
      </c>
      <c r="N27" s="3184" t="s">
        <v>3142</v>
      </c>
      <c r="O27" s="3184" t="s">
        <v>2780</v>
      </c>
      <c r="P27" s="3184" t="s">
        <v>2780</v>
      </c>
      <c r="Q27" s="3184" t="s">
        <v>2780</v>
      </c>
      <c r="R27" s="3184" t="s">
        <v>2780</v>
      </c>
      <c r="S27" s="3184" t="s">
        <v>2780</v>
      </c>
      <c r="T27" s="3184" t="s">
        <v>2780</v>
      </c>
      <c r="U27" s="3184" t="s">
        <v>2780</v>
      </c>
      <c r="V27" s="3184" t="s">
        <v>2780</v>
      </c>
      <c r="W27" s="3184" t="s">
        <v>3122</v>
      </c>
      <c r="X27" s="3184" t="s">
        <v>3165</v>
      </c>
      <c r="Y27" s="3184" t="s">
        <v>3166</v>
      </c>
      <c r="Z27" s="3184" t="s">
        <v>3167</v>
      </c>
      <c r="AA27" s="3184" t="s">
        <v>3167</v>
      </c>
      <c r="AB27" s="3184" t="s">
        <v>3186</v>
      </c>
      <c r="AC27" s="3184" t="s">
        <v>3077</v>
      </c>
      <c r="AD27" s="3184" t="s">
        <v>3177</v>
      </c>
      <c r="AE27" s="3184">
        <v>1659</v>
      </c>
      <c r="AF27" s="3184">
        <v>5530</v>
      </c>
      <c r="AG27" s="3184">
        <v>5530</v>
      </c>
      <c r="AH27" s="3184">
        <v>60.11</v>
      </c>
      <c r="AI27" s="3184">
        <v>60.11</v>
      </c>
      <c r="AJ27" s="3184">
        <v>300.52</v>
      </c>
      <c r="AK27" s="3184">
        <v>300.52</v>
      </c>
      <c r="AL27" s="3184" t="s">
        <v>2780</v>
      </c>
      <c r="AM27" s="3184" t="s">
        <v>2780</v>
      </c>
      <c r="AN27" s="3184">
        <v>0</v>
      </c>
      <c r="AO27" s="3184" t="s">
        <v>3079</v>
      </c>
      <c r="AP27" s="3184" t="s">
        <v>2780</v>
      </c>
      <c r="AQ27" s="3184" t="s">
        <v>2780</v>
      </c>
      <c r="AR27" s="3184" t="s">
        <v>2780</v>
      </c>
    </row>
    <row r="28" spans="1:44" s="3187" customFormat="1" ht="12.6">
      <c r="A28" s="3187" t="s">
        <v>3187</v>
      </c>
      <c r="B28" s="3187" t="s">
        <v>3065</v>
      </c>
      <c r="C28" s="3187" t="s">
        <v>3066</v>
      </c>
      <c r="D28" s="3187" t="s">
        <v>2991</v>
      </c>
      <c r="E28" s="3187" t="s">
        <v>2780</v>
      </c>
      <c r="F28" s="3187" t="s">
        <v>3187</v>
      </c>
      <c r="G28" s="3187" t="s">
        <v>3067</v>
      </c>
      <c r="H28" s="3187" t="s">
        <v>3188</v>
      </c>
      <c r="I28" s="3187" t="s">
        <v>3069</v>
      </c>
      <c r="J28" s="3187">
        <v>17218</v>
      </c>
      <c r="K28" s="3187">
        <v>27548.799999999999</v>
      </c>
      <c r="L28" s="3187" t="s">
        <v>3189</v>
      </c>
      <c r="M28" s="3187" t="s">
        <v>2780</v>
      </c>
      <c r="N28" s="3187" t="s">
        <v>3180</v>
      </c>
      <c r="O28" s="3187" t="s">
        <v>2780</v>
      </c>
      <c r="P28" s="3187" t="s">
        <v>2780</v>
      </c>
      <c r="Q28" s="3187" t="s">
        <v>2780</v>
      </c>
      <c r="R28" s="3187" t="s">
        <v>2780</v>
      </c>
      <c r="S28" s="3187" t="s">
        <v>2780</v>
      </c>
      <c r="T28" s="3187" t="s">
        <v>2780</v>
      </c>
      <c r="U28" s="3187" t="s">
        <v>2780</v>
      </c>
      <c r="V28" s="3187" t="s">
        <v>2780</v>
      </c>
      <c r="W28" s="3187" t="s">
        <v>3122</v>
      </c>
      <c r="X28" s="3187" t="s">
        <v>3165</v>
      </c>
      <c r="Y28" s="3187" t="s">
        <v>3166</v>
      </c>
      <c r="Z28" s="3187" t="s">
        <v>3167</v>
      </c>
      <c r="AA28" s="3187" t="s">
        <v>3167</v>
      </c>
      <c r="AB28" s="3187" t="s">
        <v>3190</v>
      </c>
      <c r="AC28" s="3187" t="s">
        <v>3077</v>
      </c>
      <c r="AD28" s="3187" t="s">
        <v>3127</v>
      </c>
      <c r="AE28" s="3187">
        <v>1551</v>
      </c>
      <c r="AF28" s="3187">
        <v>5170</v>
      </c>
      <c r="AG28" s="3187">
        <v>5170</v>
      </c>
      <c r="AH28" s="3187">
        <v>200.18</v>
      </c>
      <c r="AI28" s="3187">
        <v>200.18</v>
      </c>
      <c r="AJ28" s="3187">
        <v>1876.66</v>
      </c>
      <c r="AK28" s="3187">
        <v>1876.67</v>
      </c>
      <c r="AL28" s="3187" t="s">
        <v>2780</v>
      </c>
      <c r="AM28" s="3187" t="s">
        <v>2780</v>
      </c>
      <c r="AN28" s="3187">
        <v>0</v>
      </c>
      <c r="AO28" s="3187" t="s">
        <v>3079</v>
      </c>
      <c r="AP28" s="3187" t="s">
        <v>2780</v>
      </c>
      <c r="AQ28" s="3187" t="s">
        <v>2780</v>
      </c>
      <c r="AR28" s="3187" t="s">
        <v>2780</v>
      </c>
    </row>
    <row r="29" spans="1:44" s="3184" customFormat="1" ht="12.6">
      <c r="A29" s="3184" t="s">
        <v>3173</v>
      </c>
      <c r="B29" s="3184" t="s">
        <v>3065</v>
      </c>
      <c r="C29" s="3184" t="s">
        <v>3066</v>
      </c>
      <c r="D29" s="3184" t="s">
        <v>2991</v>
      </c>
      <c r="E29" s="3184" t="s">
        <v>2780</v>
      </c>
      <c r="F29" s="3184" t="s">
        <v>3173</v>
      </c>
      <c r="G29" s="3184" t="s">
        <v>3067</v>
      </c>
      <c r="H29" s="3184" t="s">
        <v>3191</v>
      </c>
      <c r="I29" s="3184" t="s">
        <v>3069</v>
      </c>
      <c r="J29" s="3184">
        <v>41871</v>
      </c>
      <c r="K29" s="3184">
        <v>125613</v>
      </c>
      <c r="L29" s="3184" t="s">
        <v>3175</v>
      </c>
      <c r="M29" s="3184" t="s">
        <v>2780</v>
      </c>
      <c r="N29" s="3184" t="s">
        <v>3142</v>
      </c>
      <c r="O29" s="3184" t="s">
        <v>2780</v>
      </c>
      <c r="P29" s="3184" t="s">
        <v>2780</v>
      </c>
      <c r="Q29" s="3184" t="s">
        <v>2780</v>
      </c>
      <c r="R29" s="3184" t="s">
        <v>2780</v>
      </c>
      <c r="S29" s="3184" t="s">
        <v>2780</v>
      </c>
      <c r="T29" s="3184" t="s">
        <v>2780</v>
      </c>
      <c r="U29" s="3184" t="s">
        <v>2780</v>
      </c>
      <c r="V29" s="3184" t="s">
        <v>2780</v>
      </c>
      <c r="W29" s="3184" t="s">
        <v>3122</v>
      </c>
      <c r="X29" s="3184" t="s">
        <v>3165</v>
      </c>
      <c r="Y29" s="3184" t="s">
        <v>3166</v>
      </c>
      <c r="Z29" s="3184" t="s">
        <v>3167</v>
      </c>
      <c r="AA29" s="3184" t="s">
        <v>3167</v>
      </c>
      <c r="AB29" s="3184" t="s">
        <v>3192</v>
      </c>
      <c r="AC29" s="3184" t="s">
        <v>3077</v>
      </c>
      <c r="AD29" s="3184" t="s">
        <v>3177</v>
      </c>
      <c r="AE29" s="3184">
        <v>1131</v>
      </c>
      <c r="AF29" s="3184">
        <v>3770</v>
      </c>
      <c r="AG29" s="3184">
        <v>3770</v>
      </c>
      <c r="AH29" s="3184">
        <v>60.03</v>
      </c>
      <c r="AI29" s="3184">
        <v>60.03</v>
      </c>
      <c r="AJ29" s="3184">
        <v>300.12</v>
      </c>
      <c r="AK29" s="3184">
        <v>300.12</v>
      </c>
      <c r="AL29" s="3184" t="s">
        <v>2780</v>
      </c>
      <c r="AM29" s="3184" t="s">
        <v>2780</v>
      </c>
      <c r="AN29" s="3184">
        <v>0</v>
      </c>
      <c r="AO29" s="3184" t="s">
        <v>3079</v>
      </c>
      <c r="AP29" s="3184" t="s">
        <v>2780</v>
      </c>
      <c r="AQ29" s="3184" t="s">
        <v>2780</v>
      </c>
      <c r="AR29" s="3184" t="s">
        <v>2780</v>
      </c>
    </row>
    <row r="30" spans="1:44" s="3184" customFormat="1" ht="12.6">
      <c r="A30" s="3184" t="s">
        <v>3170</v>
      </c>
      <c r="B30" s="3184" t="s">
        <v>3065</v>
      </c>
      <c r="C30" s="3184" t="s">
        <v>3066</v>
      </c>
      <c r="D30" s="3184" t="s">
        <v>2991</v>
      </c>
      <c r="E30" s="3184" t="s">
        <v>2780</v>
      </c>
      <c r="F30" s="3184" t="s">
        <v>3170</v>
      </c>
      <c r="G30" s="3184" t="s">
        <v>3067</v>
      </c>
      <c r="H30" s="3184" t="s">
        <v>3193</v>
      </c>
      <c r="I30" s="3184" t="s">
        <v>3069</v>
      </c>
      <c r="J30" s="3184">
        <v>58070</v>
      </c>
      <c r="K30" s="3184">
        <v>145175</v>
      </c>
      <c r="L30" s="3184" t="s">
        <v>3120</v>
      </c>
      <c r="M30" s="3184" t="s">
        <v>2780</v>
      </c>
      <c r="N30" s="3184" t="s">
        <v>3121</v>
      </c>
      <c r="O30" s="3184" t="s">
        <v>2780</v>
      </c>
      <c r="P30" s="3184" t="s">
        <v>2780</v>
      </c>
      <c r="Q30" s="3184" t="s">
        <v>2780</v>
      </c>
      <c r="R30" s="3184" t="s">
        <v>2780</v>
      </c>
      <c r="S30" s="3184" t="s">
        <v>2780</v>
      </c>
      <c r="T30" s="3184" t="s">
        <v>2780</v>
      </c>
      <c r="U30" s="3184" t="s">
        <v>2780</v>
      </c>
      <c r="V30" s="3184" t="s">
        <v>2780</v>
      </c>
      <c r="W30" s="3184" t="s">
        <v>3122</v>
      </c>
      <c r="X30" s="3184" t="s">
        <v>3165</v>
      </c>
      <c r="Y30" s="3184" t="s">
        <v>3166</v>
      </c>
      <c r="Z30" s="3184" t="s">
        <v>3167</v>
      </c>
      <c r="AA30" s="3184" t="s">
        <v>3167</v>
      </c>
      <c r="AB30" s="3184" t="s">
        <v>3194</v>
      </c>
      <c r="AC30" s="3184" t="s">
        <v>3077</v>
      </c>
      <c r="AD30" s="3184" t="s">
        <v>3169</v>
      </c>
      <c r="AE30" s="3184">
        <v>6273</v>
      </c>
      <c r="AF30" s="3184">
        <v>20910</v>
      </c>
      <c r="AG30" s="3184">
        <v>51810</v>
      </c>
      <c r="AH30" s="3184">
        <v>240.06</v>
      </c>
      <c r="AI30" s="3184">
        <v>594.79999999999995</v>
      </c>
      <c r="AJ30" s="3184">
        <v>1440.33</v>
      </c>
      <c r="AK30" s="3184">
        <v>3568.8</v>
      </c>
      <c r="AL30" s="3184" t="s">
        <v>2780</v>
      </c>
      <c r="AM30" s="3184" t="s">
        <v>2780</v>
      </c>
      <c r="AN30" s="3184">
        <v>147.78</v>
      </c>
      <c r="AO30" s="3184" t="s">
        <v>3079</v>
      </c>
      <c r="AP30" s="3184" t="s">
        <v>2780</v>
      </c>
      <c r="AQ30" s="3184" t="s">
        <v>2780</v>
      </c>
      <c r="AR30" s="3184" t="s">
        <v>2780</v>
      </c>
    </row>
    <row r="31" spans="1:44" s="3184" customFormat="1" ht="12.6">
      <c r="A31" s="3184" t="s">
        <v>3163</v>
      </c>
      <c r="B31" s="3184" t="s">
        <v>3065</v>
      </c>
      <c r="C31" s="3184" t="s">
        <v>3066</v>
      </c>
      <c r="D31" s="3184" t="s">
        <v>2991</v>
      </c>
      <c r="E31" s="3184" t="s">
        <v>2780</v>
      </c>
      <c r="F31" s="3184" t="s">
        <v>3163</v>
      </c>
      <c r="G31" s="3184" t="s">
        <v>3067</v>
      </c>
      <c r="H31" s="3184" t="s">
        <v>3195</v>
      </c>
      <c r="I31" s="3184" t="s">
        <v>3069</v>
      </c>
      <c r="J31" s="3184">
        <v>44718</v>
      </c>
      <c r="K31" s="3184">
        <v>111795</v>
      </c>
      <c r="L31" s="3184" t="s">
        <v>3120</v>
      </c>
      <c r="M31" s="3184" t="s">
        <v>2780</v>
      </c>
      <c r="N31" s="3184" t="s">
        <v>3121</v>
      </c>
      <c r="O31" s="3184" t="s">
        <v>2780</v>
      </c>
      <c r="P31" s="3184" t="s">
        <v>2780</v>
      </c>
      <c r="Q31" s="3184" t="s">
        <v>2780</v>
      </c>
      <c r="R31" s="3184" t="s">
        <v>2780</v>
      </c>
      <c r="S31" s="3184" t="s">
        <v>2780</v>
      </c>
      <c r="T31" s="3184" t="s">
        <v>2780</v>
      </c>
      <c r="U31" s="3184" t="s">
        <v>2780</v>
      </c>
      <c r="V31" s="3184" t="s">
        <v>2780</v>
      </c>
      <c r="W31" s="3184" t="s">
        <v>3122</v>
      </c>
      <c r="X31" s="3184" t="s">
        <v>3165</v>
      </c>
      <c r="Y31" s="3184" t="s">
        <v>3166</v>
      </c>
      <c r="Z31" s="3184" t="s">
        <v>3167</v>
      </c>
      <c r="AA31" s="3184" t="s">
        <v>3167</v>
      </c>
      <c r="AB31" s="3184" t="s">
        <v>3196</v>
      </c>
      <c r="AC31" s="3184" t="s">
        <v>3077</v>
      </c>
      <c r="AD31" s="3184" t="s">
        <v>3169</v>
      </c>
      <c r="AE31" s="3184">
        <v>4830</v>
      </c>
      <c r="AF31" s="3184">
        <v>16100</v>
      </c>
      <c r="AG31" s="3184">
        <v>36400</v>
      </c>
      <c r="AH31" s="3184">
        <v>240.02</v>
      </c>
      <c r="AI31" s="3184">
        <v>542.66</v>
      </c>
      <c r="AJ31" s="3184">
        <v>1440.13</v>
      </c>
      <c r="AK31" s="3184">
        <v>3255.96</v>
      </c>
      <c r="AL31" s="3184" t="s">
        <v>2780</v>
      </c>
      <c r="AM31" s="3184" t="s">
        <v>2780</v>
      </c>
      <c r="AN31" s="3184">
        <v>126.09</v>
      </c>
      <c r="AO31" s="3184" t="s">
        <v>3079</v>
      </c>
      <c r="AP31" s="3184" t="s">
        <v>2780</v>
      </c>
      <c r="AQ31" s="3184" t="s">
        <v>2780</v>
      </c>
      <c r="AR31" s="3184" t="s">
        <v>2780</v>
      </c>
    </row>
    <row r="32" spans="1:44" s="3184" customFormat="1" ht="12.6">
      <c r="A32" s="3184" t="s">
        <v>3173</v>
      </c>
      <c r="B32" s="3184" t="s">
        <v>3065</v>
      </c>
      <c r="C32" s="3184" t="s">
        <v>3066</v>
      </c>
      <c r="D32" s="3184" t="s">
        <v>2991</v>
      </c>
      <c r="E32" s="3184" t="s">
        <v>2780</v>
      </c>
      <c r="F32" s="3184" t="s">
        <v>3173</v>
      </c>
      <c r="G32" s="3184" t="s">
        <v>3067</v>
      </c>
      <c r="H32" s="3184" t="s">
        <v>3197</v>
      </c>
      <c r="I32" s="3184" t="s">
        <v>3069</v>
      </c>
      <c r="J32" s="3184">
        <v>53544</v>
      </c>
      <c r="K32" s="3184">
        <v>160632</v>
      </c>
      <c r="L32" s="3184" t="s">
        <v>3175</v>
      </c>
      <c r="M32" s="3184" t="s">
        <v>2780</v>
      </c>
      <c r="N32" s="3184" t="s">
        <v>3142</v>
      </c>
      <c r="O32" s="3184" t="s">
        <v>2780</v>
      </c>
      <c r="P32" s="3184" t="s">
        <v>2780</v>
      </c>
      <c r="Q32" s="3184" t="s">
        <v>2780</v>
      </c>
      <c r="R32" s="3184" t="s">
        <v>2780</v>
      </c>
      <c r="S32" s="3184" t="s">
        <v>2780</v>
      </c>
      <c r="T32" s="3184" t="s">
        <v>2780</v>
      </c>
      <c r="U32" s="3184" t="s">
        <v>2780</v>
      </c>
      <c r="V32" s="3184" t="s">
        <v>2780</v>
      </c>
      <c r="W32" s="3184" t="s">
        <v>3122</v>
      </c>
      <c r="X32" s="3184" t="s">
        <v>3165</v>
      </c>
      <c r="Y32" s="3184" t="s">
        <v>3166</v>
      </c>
      <c r="Z32" s="3184" t="s">
        <v>3167</v>
      </c>
      <c r="AA32" s="3184" t="s">
        <v>3167</v>
      </c>
      <c r="AB32" s="3184" t="s">
        <v>3198</v>
      </c>
      <c r="AC32" s="3184" t="s">
        <v>3077</v>
      </c>
      <c r="AD32" s="3184" t="s">
        <v>3177</v>
      </c>
      <c r="AE32" s="3184">
        <v>1446</v>
      </c>
      <c r="AF32" s="3184">
        <v>4820</v>
      </c>
      <c r="AG32" s="3184">
        <v>4820</v>
      </c>
      <c r="AH32" s="3184">
        <v>60.01</v>
      </c>
      <c r="AI32" s="3184">
        <v>60.01</v>
      </c>
      <c r="AJ32" s="3184">
        <v>300.06</v>
      </c>
      <c r="AK32" s="3184">
        <v>300.06</v>
      </c>
      <c r="AL32" s="3184" t="s">
        <v>2780</v>
      </c>
      <c r="AM32" s="3184" t="s">
        <v>2780</v>
      </c>
      <c r="AN32" s="3184">
        <v>0</v>
      </c>
      <c r="AO32" s="3184" t="s">
        <v>3079</v>
      </c>
      <c r="AP32" s="3184" t="s">
        <v>2780</v>
      </c>
      <c r="AQ32" s="3184" t="s">
        <v>2780</v>
      </c>
      <c r="AR32" s="3184" t="s">
        <v>2780</v>
      </c>
    </row>
    <row r="33" spans="1:44" s="3184" customFormat="1" ht="12.6">
      <c r="A33" s="3184" t="s">
        <v>3173</v>
      </c>
      <c r="B33" s="3184" t="s">
        <v>3065</v>
      </c>
      <c r="C33" s="3184" t="s">
        <v>3066</v>
      </c>
      <c r="D33" s="3184" t="s">
        <v>2991</v>
      </c>
      <c r="E33" s="3184" t="s">
        <v>2780</v>
      </c>
      <c r="F33" s="3184" t="s">
        <v>3173</v>
      </c>
      <c r="G33" s="3184" t="s">
        <v>3067</v>
      </c>
      <c r="H33" s="3184" t="s">
        <v>3199</v>
      </c>
      <c r="I33" s="3184" t="s">
        <v>3069</v>
      </c>
      <c r="J33" s="3184">
        <v>42448</v>
      </c>
      <c r="K33" s="3184">
        <v>127344</v>
      </c>
      <c r="L33" s="3184" t="s">
        <v>3175</v>
      </c>
      <c r="M33" s="3184" t="s">
        <v>2780</v>
      </c>
      <c r="N33" s="3184" t="s">
        <v>3142</v>
      </c>
      <c r="O33" s="3184" t="s">
        <v>2780</v>
      </c>
      <c r="P33" s="3184" t="s">
        <v>2780</v>
      </c>
      <c r="Q33" s="3184" t="s">
        <v>2780</v>
      </c>
      <c r="R33" s="3184" t="s">
        <v>2780</v>
      </c>
      <c r="S33" s="3184" t="s">
        <v>2780</v>
      </c>
      <c r="T33" s="3184" t="s">
        <v>2780</v>
      </c>
      <c r="U33" s="3184" t="s">
        <v>2780</v>
      </c>
      <c r="V33" s="3184" t="s">
        <v>2780</v>
      </c>
      <c r="W33" s="3184" t="s">
        <v>3122</v>
      </c>
      <c r="X33" s="3184" t="s">
        <v>3165</v>
      </c>
      <c r="Y33" s="3184" t="s">
        <v>3166</v>
      </c>
      <c r="Z33" s="3184" t="s">
        <v>3167</v>
      </c>
      <c r="AA33" s="3184" t="s">
        <v>3167</v>
      </c>
      <c r="AB33" s="3184" t="s">
        <v>3200</v>
      </c>
      <c r="AC33" s="3184" t="s">
        <v>3077</v>
      </c>
      <c r="AD33" s="3184" t="s">
        <v>3177</v>
      </c>
      <c r="AE33" s="3184">
        <v>1149</v>
      </c>
      <c r="AF33" s="3184">
        <v>3830</v>
      </c>
      <c r="AG33" s="3184">
        <v>3830</v>
      </c>
      <c r="AH33" s="3184">
        <v>60.15</v>
      </c>
      <c r="AI33" s="3184">
        <v>60.15</v>
      </c>
      <c r="AJ33" s="3184">
        <v>300.76</v>
      </c>
      <c r="AK33" s="3184">
        <v>300.75</v>
      </c>
      <c r="AL33" s="3184" t="s">
        <v>2780</v>
      </c>
      <c r="AM33" s="3184" t="s">
        <v>2780</v>
      </c>
      <c r="AN33" s="3184">
        <v>0</v>
      </c>
      <c r="AO33" s="3184" t="s">
        <v>3079</v>
      </c>
      <c r="AP33" s="3184" t="s">
        <v>2780</v>
      </c>
      <c r="AQ33" s="3184" t="s">
        <v>2780</v>
      </c>
      <c r="AR33" s="3184" t="s">
        <v>2780</v>
      </c>
    </row>
    <row r="34" spans="1:44" s="3184" customFormat="1" ht="12.6">
      <c r="A34" s="3184" t="s">
        <v>3110</v>
      </c>
      <c r="B34" s="3184" t="s">
        <v>3065</v>
      </c>
      <c r="C34" s="3184" t="s">
        <v>3066</v>
      </c>
      <c r="D34" s="3184" t="s">
        <v>2991</v>
      </c>
      <c r="E34" s="3184" t="s">
        <v>2780</v>
      </c>
      <c r="F34" s="3184" t="s">
        <v>3110</v>
      </c>
      <c r="G34" s="3184" t="s">
        <v>3067</v>
      </c>
      <c r="H34" s="3184" t="s">
        <v>3201</v>
      </c>
      <c r="I34" s="3184" t="s">
        <v>3069</v>
      </c>
      <c r="J34" s="3184">
        <v>9271</v>
      </c>
      <c r="K34" s="3184">
        <v>27813</v>
      </c>
      <c r="L34" s="3184" t="s">
        <v>3175</v>
      </c>
      <c r="M34" s="3184" t="s">
        <v>2780</v>
      </c>
      <c r="N34" s="3184" t="s">
        <v>3180</v>
      </c>
      <c r="O34" s="3184" t="s">
        <v>2780</v>
      </c>
      <c r="P34" s="3184" t="s">
        <v>2780</v>
      </c>
      <c r="Q34" s="3184" t="s">
        <v>2780</v>
      </c>
      <c r="R34" s="3184" t="s">
        <v>2780</v>
      </c>
      <c r="S34" s="3184" t="s">
        <v>2780</v>
      </c>
      <c r="T34" s="3184" t="s">
        <v>2780</v>
      </c>
      <c r="U34" s="3184" t="s">
        <v>2780</v>
      </c>
      <c r="V34" s="3184" t="s">
        <v>2780</v>
      </c>
      <c r="W34" s="3184" t="s">
        <v>3122</v>
      </c>
      <c r="X34" s="3184" t="s">
        <v>3202</v>
      </c>
      <c r="Y34" s="3184" t="s">
        <v>3165</v>
      </c>
      <c r="Z34" s="3184" t="s">
        <v>3203</v>
      </c>
      <c r="AA34" s="3184" t="s">
        <v>3203</v>
      </c>
      <c r="AB34" s="3184" t="s">
        <v>3204</v>
      </c>
      <c r="AC34" s="3184" t="s">
        <v>3077</v>
      </c>
      <c r="AD34" s="3184" t="s">
        <v>3205</v>
      </c>
      <c r="AE34" s="3184">
        <v>1002</v>
      </c>
      <c r="AF34" s="3184">
        <v>3340</v>
      </c>
      <c r="AG34" s="3184">
        <v>4440</v>
      </c>
      <c r="AH34" s="3184">
        <v>240.18</v>
      </c>
      <c r="AI34" s="3184">
        <v>319.27999999999997</v>
      </c>
      <c r="AJ34" s="3184">
        <v>1200.8699999999999</v>
      </c>
      <c r="AK34" s="3184">
        <v>1596.38</v>
      </c>
      <c r="AL34" s="3184" t="s">
        <v>2780</v>
      </c>
      <c r="AM34" s="3184" t="s">
        <v>2780</v>
      </c>
      <c r="AN34" s="3184">
        <v>32.93</v>
      </c>
      <c r="AO34" s="3184" t="s">
        <v>3079</v>
      </c>
      <c r="AP34" s="3184" t="s">
        <v>2780</v>
      </c>
      <c r="AQ34" s="3184" t="s">
        <v>2780</v>
      </c>
      <c r="AR34" s="3184" t="s">
        <v>2780</v>
      </c>
    </row>
    <row r="35" spans="1:44" s="3184" customFormat="1" ht="12.6">
      <c r="A35" s="3184" t="s">
        <v>3143</v>
      </c>
      <c r="B35" s="3184" t="s">
        <v>3065</v>
      </c>
      <c r="C35" s="3184" t="s">
        <v>3066</v>
      </c>
      <c r="D35" s="3184" t="s">
        <v>2991</v>
      </c>
      <c r="E35" s="3184" t="s">
        <v>2780</v>
      </c>
      <c r="F35" s="3184" t="s">
        <v>3143</v>
      </c>
      <c r="G35" s="3184" t="s">
        <v>3067</v>
      </c>
      <c r="H35" s="3184" t="s">
        <v>3206</v>
      </c>
      <c r="I35" s="3184" t="s">
        <v>3069</v>
      </c>
      <c r="J35" s="3184">
        <v>10538</v>
      </c>
      <c r="K35" s="3184">
        <v>26345</v>
      </c>
      <c r="L35" s="3184" t="s">
        <v>3120</v>
      </c>
      <c r="M35" s="3184" t="s">
        <v>2780</v>
      </c>
      <c r="N35" s="3184" t="s">
        <v>3121</v>
      </c>
      <c r="O35" s="3184" t="s">
        <v>2780</v>
      </c>
      <c r="P35" s="3184" t="s">
        <v>2780</v>
      </c>
      <c r="Q35" s="3184" t="s">
        <v>2780</v>
      </c>
      <c r="R35" s="3184" t="s">
        <v>2780</v>
      </c>
      <c r="S35" s="3184" t="s">
        <v>2780</v>
      </c>
      <c r="T35" s="3184" t="s">
        <v>2780</v>
      </c>
      <c r="U35" s="3184" t="s">
        <v>2780</v>
      </c>
      <c r="V35" s="3184" t="s">
        <v>2780</v>
      </c>
      <c r="W35" s="3184" t="s">
        <v>3122</v>
      </c>
      <c r="X35" s="3184" t="s">
        <v>3202</v>
      </c>
      <c r="Y35" s="3184" t="s">
        <v>3165</v>
      </c>
      <c r="Z35" s="3184" t="s">
        <v>3203</v>
      </c>
      <c r="AA35" s="3184" t="s">
        <v>3203</v>
      </c>
      <c r="AB35" s="3184" t="s">
        <v>3207</v>
      </c>
      <c r="AC35" s="3184" t="s">
        <v>3077</v>
      </c>
      <c r="AD35" s="3184" t="s">
        <v>3127</v>
      </c>
      <c r="AE35" s="3184">
        <v>1233</v>
      </c>
      <c r="AF35" s="3184">
        <v>4110</v>
      </c>
      <c r="AG35" s="3184">
        <v>4110</v>
      </c>
      <c r="AH35" s="3184">
        <v>260.01</v>
      </c>
      <c r="AI35" s="3184">
        <v>260.01</v>
      </c>
      <c r="AJ35" s="3184">
        <v>1560.06</v>
      </c>
      <c r="AK35" s="3184">
        <v>1560.06</v>
      </c>
      <c r="AL35" s="3184" t="s">
        <v>2780</v>
      </c>
      <c r="AM35" s="3184" t="s">
        <v>2780</v>
      </c>
      <c r="AN35" s="3184">
        <v>0</v>
      </c>
      <c r="AO35" s="3184" t="s">
        <v>3079</v>
      </c>
      <c r="AP35" s="3184" t="s">
        <v>2780</v>
      </c>
      <c r="AQ35" s="3184" t="s">
        <v>2780</v>
      </c>
      <c r="AR35" s="3184" t="s">
        <v>2780</v>
      </c>
    </row>
    <row r="36" spans="1:44" s="3184" customFormat="1" ht="12.6">
      <c r="A36" s="3184" t="s">
        <v>3208</v>
      </c>
      <c r="B36" s="3184" t="s">
        <v>3065</v>
      </c>
      <c r="C36" s="3184" t="s">
        <v>3066</v>
      </c>
      <c r="D36" s="3184" t="s">
        <v>2991</v>
      </c>
      <c r="E36" s="3184" t="s">
        <v>2780</v>
      </c>
      <c r="F36" s="3184" t="s">
        <v>3208</v>
      </c>
      <c r="G36" s="3184" t="s">
        <v>3067</v>
      </c>
      <c r="H36" s="3184" t="s">
        <v>3209</v>
      </c>
      <c r="I36" s="3184" t="s">
        <v>3069</v>
      </c>
      <c r="J36" s="3184">
        <v>32327</v>
      </c>
      <c r="K36" s="3184">
        <v>96981</v>
      </c>
      <c r="L36" s="3184" t="s">
        <v>3175</v>
      </c>
      <c r="M36" s="3184" t="s">
        <v>2780</v>
      </c>
      <c r="N36" s="3184" t="s">
        <v>3180</v>
      </c>
      <c r="O36" s="3184" t="s">
        <v>2780</v>
      </c>
      <c r="P36" s="3184" t="s">
        <v>2780</v>
      </c>
      <c r="Q36" s="3184" t="s">
        <v>2780</v>
      </c>
      <c r="R36" s="3184" t="s">
        <v>2780</v>
      </c>
      <c r="S36" s="3184" t="s">
        <v>2780</v>
      </c>
      <c r="T36" s="3184" t="s">
        <v>2780</v>
      </c>
      <c r="U36" s="3184" t="s">
        <v>2780</v>
      </c>
      <c r="V36" s="3184" t="s">
        <v>2780</v>
      </c>
      <c r="W36" s="3184" t="s">
        <v>3122</v>
      </c>
      <c r="X36" s="3184" t="s">
        <v>3202</v>
      </c>
      <c r="Y36" s="3184" t="s">
        <v>3165</v>
      </c>
      <c r="Z36" s="3184" t="s">
        <v>3203</v>
      </c>
      <c r="AA36" s="3184" t="s">
        <v>3203</v>
      </c>
      <c r="AB36" s="3184" t="s">
        <v>3210</v>
      </c>
      <c r="AC36" s="3184" t="s">
        <v>3077</v>
      </c>
      <c r="AD36" s="3184" t="s">
        <v>3205</v>
      </c>
      <c r="AE36" s="3184">
        <v>3492</v>
      </c>
      <c r="AF36" s="3184">
        <v>11640</v>
      </c>
      <c r="AG36" s="3184">
        <v>14540</v>
      </c>
      <c r="AH36" s="3184">
        <v>240.05</v>
      </c>
      <c r="AI36" s="3184">
        <v>299.85000000000002</v>
      </c>
      <c r="AJ36" s="3184">
        <v>1200.23</v>
      </c>
      <c r="AK36" s="3184">
        <v>1499.25</v>
      </c>
      <c r="AL36" s="3184" t="s">
        <v>2780</v>
      </c>
      <c r="AM36" s="3184" t="s">
        <v>2780</v>
      </c>
      <c r="AN36" s="3184">
        <v>24.91</v>
      </c>
      <c r="AO36" s="3184" t="s">
        <v>3079</v>
      </c>
      <c r="AP36" s="3184" t="s">
        <v>2780</v>
      </c>
      <c r="AQ36" s="3184" t="s">
        <v>2780</v>
      </c>
      <c r="AR36" s="3184" t="s">
        <v>2780</v>
      </c>
    </row>
    <row r="37" spans="1:44" s="3184" customFormat="1" ht="12.6">
      <c r="A37" s="3184" t="s">
        <v>3211</v>
      </c>
      <c r="B37" s="3184" t="s">
        <v>3065</v>
      </c>
      <c r="C37" s="3184" t="s">
        <v>3066</v>
      </c>
      <c r="D37" s="3184" t="s">
        <v>2991</v>
      </c>
      <c r="E37" s="3184" t="s">
        <v>2780</v>
      </c>
      <c r="F37" s="3184" t="s">
        <v>3211</v>
      </c>
      <c r="G37" s="3184" t="s">
        <v>3067</v>
      </c>
      <c r="H37" s="3184" t="s">
        <v>3212</v>
      </c>
      <c r="I37" s="3184" t="s">
        <v>3069</v>
      </c>
      <c r="J37" s="3184">
        <v>19135</v>
      </c>
      <c r="K37" s="3184">
        <v>57405</v>
      </c>
      <c r="L37" s="3184" t="s">
        <v>3175</v>
      </c>
      <c r="M37" s="3184" t="s">
        <v>2780</v>
      </c>
      <c r="N37" s="3184" t="s">
        <v>3180</v>
      </c>
      <c r="O37" s="3184" t="s">
        <v>2780</v>
      </c>
      <c r="P37" s="3184" t="s">
        <v>2780</v>
      </c>
      <c r="Q37" s="3184" t="s">
        <v>2780</v>
      </c>
      <c r="R37" s="3184" t="s">
        <v>2780</v>
      </c>
      <c r="S37" s="3184" t="s">
        <v>2780</v>
      </c>
      <c r="T37" s="3184" t="s">
        <v>2780</v>
      </c>
      <c r="U37" s="3184" t="s">
        <v>2780</v>
      </c>
      <c r="V37" s="3184" t="s">
        <v>2780</v>
      </c>
      <c r="W37" s="3184" t="s">
        <v>3122</v>
      </c>
      <c r="X37" s="3184" t="s">
        <v>3202</v>
      </c>
      <c r="Y37" s="3184" t="s">
        <v>3165</v>
      </c>
      <c r="Z37" s="3184" t="s">
        <v>3203</v>
      </c>
      <c r="AA37" s="3184" t="s">
        <v>3203</v>
      </c>
      <c r="AB37" s="3184" t="s">
        <v>3213</v>
      </c>
      <c r="AC37" s="3184" t="s">
        <v>3077</v>
      </c>
      <c r="AD37" s="3184" t="s">
        <v>3205</v>
      </c>
      <c r="AE37" s="3184">
        <v>2067</v>
      </c>
      <c r="AF37" s="3184">
        <v>6890</v>
      </c>
      <c r="AG37" s="3184">
        <v>8690</v>
      </c>
      <c r="AH37" s="3184">
        <v>240.05</v>
      </c>
      <c r="AI37" s="3184">
        <v>302.76</v>
      </c>
      <c r="AJ37" s="3184">
        <v>1200.24</v>
      </c>
      <c r="AK37" s="3184">
        <v>1513.8</v>
      </c>
      <c r="AL37" s="3184" t="s">
        <v>2780</v>
      </c>
      <c r="AM37" s="3184" t="s">
        <v>2780</v>
      </c>
      <c r="AN37" s="3184">
        <v>26.12</v>
      </c>
      <c r="AO37" s="3184" t="s">
        <v>3079</v>
      </c>
      <c r="AP37" s="3184" t="s">
        <v>2780</v>
      </c>
      <c r="AQ37" s="3184" t="s">
        <v>2780</v>
      </c>
      <c r="AR37" s="3184" t="s">
        <v>2780</v>
      </c>
    </row>
    <row r="38" spans="1:44" s="3184" customFormat="1" ht="12.6">
      <c r="A38" s="3184" t="s">
        <v>3110</v>
      </c>
      <c r="B38" s="3184" t="s">
        <v>3065</v>
      </c>
      <c r="C38" s="3184" t="s">
        <v>3066</v>
      </c>
      <c r="D38" s="3184" t="s">
        <v>2991</v>
      </c>
      <c r="E38" s="3184" t="s">
        <v>2780</v>
      </c>
      <c r="F38" s="3184" t="s">
        <v>3110</v>
      </c>
      <c r="G38" s="3184" t="s">
        <v>3067</v>
      </c>
      <c r="H38" s="3184" t="s">
        <v>3214</v>
      </c>
      <c r="I38" s="3184" t="s">
        <v>3069</v>
      </c>
      <c r="J38" s="3184">
        <v>66123</v>
      </c>
      <c r="K38" s="3184">
        <v>198369</v>
      </c>
      <c r="L38" s="3184" t="s">
        <v>3175</v>
      </c>
      <c r="M38" s="3184" t="s">
        <v>2780</v>
      </c>
      <c r="N38" s="3184" t="s">
        <v>3180</v>
      </c>
      <c r="O38" s="3184" t="s">
        <v>2780</v>
      </c>
      <c r="P38" s="3184" t="s">
        <v>2780</v>
      </c>
      <c r="Q38" s="3184" t="s">
        <v>2780</v>
      </c>
      <c r="R38" s="3184" t="s">
        <v>2780</v>
      </c>
      <c r="S38" s="3184" t="s">
        <v>2780</v>
      </c>
      <c r="T38" s="3184" t="s">
        <v>2780</v>
      </c>
      <c r="U38" s="3184" t="s">
        <v>2780</v>
      </c>
      <c r="V38" s="3184" t="s">
        <v>2780</v>
      </c>
      <c r="W38" s="3184" t="s">
        <v>3122</v>
      </c>
      <c r="X38" s="3184" t="s">
        <v>3202</v>
      </c>
      <c r="Y38" s="3184" t="s">
        <v>3165</v>
      </c>
      <c r="Z38" s="3184" t="s">
        <v>3203</v>
      </c>
      <c r="AA38" s="3184" t="s">
        <v>3203</v>
      </c>
      <c r="AB38" s="3184" t="s">
        <v>3215</v>
      </c>
      <c r="AC38" s="3184" t="s">
        <v>3077</v>
      </c>
      <c r="AD38" s="3184" t="s">
        <v>3205</v>
      </c>
      <c r="AE38" s="3184">
        <v>7143</v>
      </c>
      <c r="AF38" s="3184">
        <v>23810</v>
      </c>
      <c r="AG38" s="3184">
        <v>31810</v>
      </c>
      <c r="AH38" s="3184">
        <v>240.06</v>
      </c>
      <c r="AI38" s="3184">
        <v>320.72000000000003</v>
      </c>
      <c r="AJ38" s="3184">
        <v>1200.28</v>
      </c>
      <c r="AK38" s="3184">
        <v>1603.57</v>
      </c>
      <c r="AL38" s="3184" t="s">
        <v>2780</v>
      </c>
      <c r="AM38" s="3184" t="s">
        <v>2780</v>
      </c>
      <c r="AN38" s="3184">
        <v>33.6</v>
      </c>
      <c r="AO38" s="3184" t="s">
        <v>3079</v>
      </c>
      <c r="AP38" s="3184" t="s">
        <v>2780</v>
      </c>
      <c r="AQ38" s="3184" t="s">
        <v>2780</v>
      </c>
      <c r="AR38" s="3184" t="s">
        <v>2780</v>
      </c>
    </row>
    <row r="39" spans="1:44" s="3184" customFormat="1" ht="12.6">
      <c r="A39" s="3184" t="s">
        <v>3216</v>
      </c>
      <c r="B39" s="3184" t="s">
        <v>3065</v>
      </c>
      <c r="C39" s="3184" t="s">
        <v>3066</v>
      </c>
      <c r="D39" s="3184" t="s">
        <v>2991</v>
      </c>
      <c r="E39" s="3184" t="s">
        <v>2780</v>
      </c>
      <c r="F39" s="3184" t="s">
        <v>3216</v>
      </c>
      <c r="G39" s="3184" t="s">
        <v>3067</v>
      </c>
      <c r="H39" s="3184" t="s">
        <v>3217</v>
      </c>
      <c r="I39" s="3184" t="s">
        <v>3069</v>
      </c>
      <c r="J39" s="3184">
        <v>7460</v>
      </c>
      <c r="K39" s="3184">
        <v>22380</v>
      </c>
      <c r="L39" s="3184" t="s">
        <v>3175</v>
      </c>
      <c r="M39" s="3184" t="s">
        <v>2780</v>
      </c>
      <c r="N39" s="3184" t="s">
        <v>3180</v>
      </c>
      <c r="O39" s="3184" t="s">
        <v>2780</v>
      </c>
      <c r="P39" s="3184" t="s">
        <v>2780</v>
      </c>
      <c r="Q39" s="3184" t="s">
        <v>2780</v>
      </c>
      <c r="R39" s="3184" t="s">
        <v>2780</v>
      </c>
      <c r="S39" s="3184" t="s">
        <v>2780</v>
      </c>
      <c r="T39" s="3184" t="s">
        <v>2780</v>
      </c>
      <c r="U39" s="3184" t="s">
        <v>2780</v>
      </c>
      <c r="V39" s="3184" t="s">
        <v>2780</v>
      </c>
      <c r="W39" s="3184" t="s">
        <v>3122</v>
      </c>
      <c r="X39" s="3184" t="s">
        <v>3202</v>
      </c>
      <c r="Y39" s="3184" t="s">
        <v>3165</v>
      </c>
      <c r="Z39" s="3184" t="s">
        <v>3203</v>
      </c>
      <c r="AA39" s="3184" t="s">
        <v>3203</v>
      </c>
      <c r="AB39" s="3184" t="s">
        <v>3218</v>
      </c>
      <c r="AC39" s="3184" t="s">
        <v>3077</v>
      </c>
      <c r="AD39" s="3184" t="s">
        <v>3205</v>
      </c>
      <c r="AE39" s="3184">
        <v>807</v>
      </c>
      <c r="AF39" s="3184">
        <v>2690</v>
      </c>
      <c r="AG39" s="3184">
        <v>3140</v>
      </c>
      <c r="AH39" s="3184">
        <v>240.39</v>
      </c>
      <c r="AI39" s="3184">
        <v>280.61</v>
      </c>
      <c r="AJ39" s="3184">
        <v>1201.96</v>
      </c>
      <c r="AK39" s="3184">
        <v>1403.03</v>
      </c>
      <c r="AL39" s="3184" t="s">
        <v>2780</v>
      </c>
      <c r="AM39" s="3184" t="s">
        <v>2780</v>
      </c>
      <c r="AN39" s="3184">
        <v>16.73</v>
      </c>
      <c r="AO39" s="3184" t="s">
        <v>3079</v>
      </c>
      <c r="AP39" s="3184" t="s">
        <v>2780</v>
      </c>
      <c r="AQ39" s="3184" t="s">
        <v>2780</v>
      </c>
      <c r="AR39" s="3184" t="s">
        <v>2780</v>
      </c>
    </row>
    <row r="40" spans="1:44" s="3184" customFormat="1" ht="12.6">
      <c r="A40" s="3184" t="s">
        <v>3219</v>
      </c>
      <c r="B40" s="3184" t="s">
        <v>3065</v>
      </c>
      <c r="C40" s="3184" t="s">
        <v>3066</v>
      </c>
      <c r="D40" s="3184" t="s">
        <v>2991</v>
      </c>
      <c r="E40" s="3184" t="s">
        <v>2780</v>
      </c>
      <c r="F40" s="3184" t="s">
        <v>3219</v>
      </c>
      <c r="G40" s="3184" t="s">
        <v>3067</v>
      </c>
      <c r="H40" s="3184" t="s">
        <v>3220</v>
      </c>
      <c r="I40" s="3184" t="s">
        <v>3069</v>
      </c>
      <c r="J40" s="3184">
        <v>21371</v>
      </c>
      <c r="K40" s="3184">
        <v>53427.5</v>
      </c>
      <c r="L40" s="3184" t="s">
        <v>3120</v>
      </c>
      <c r="M40" s="3184" t="s">
        <v>2780</v>
      </c>
      <c r="N40" s="3184" t="s">
        <v>3121</v>
      </c>
      <c r="O40" s="3184" t="s">
        <v>2780</v>
      </c>
      <c r="P40" s="3184" t="s">
        <v>2780</v>
      </c>
      <c r="Q40" s="3184" t="s">
        <v>2780</v>
      </c>
      <c r="R40" s="3184" t="s">
        <v>2780</v>
      </c>
      <c r="S40" s="3184" t="s">
        <v>2780</v>
      </c>
      <c r="T40" s="3184" t="s">
        <v>2780</v>
      </c>
      <c r="U40" s="3184" t="s">
        <v>2780</v>
      </c>
      <c r="V40" s="3184" t="s">
        <v>2780</v>
      </c>
      <c r="W40" s="3184" t="s">
        <v>3122</v>
      </c>
      <c r="X40" s="3184" t="s">
        <v>3202</v>
      </c>
      <c r="Y40" s="3184" t="s">
        <v>3165</v>
      </c>
      <c r="Z40" s="3184" t="s">
        <v>3203</v>
      </c>
      <c r="AA40" s="3184" t="s">
        <v>3203</v>
      </c>
      <c r="AB40" s="3184" t="s">
        <v>3221</v>
      </c>
      <c r="AC40" s="3184" t="s">
        <v>3077</v>
      </c>
      <c r="AD40" s="3184" t="s">
        <v>3139</v>
      </c>
      <c r="AE40" s="3184">
        <v>1443</v>
      </c>
      <c r="AF40" s="3184">
        <v>4810</v>
      </c>
      <c r="AG40" s="3184">
        <v>4810</v>
      </c>
      <c r="AH40" s="3184">
        <v>150.05000000000001</v>
      </c>
      <c r="AI40" s="3184">
        <v>150.05000000000001</v>
      </c>
      <c r="AJ40" s="3184">
        <v>900.28</v>
      </c>
      <c r="AK40" s="3184">
        <v>900.28</v>
      </c>
      <c r="AL40" s="3184" t="s">
        <v>2780</v>
      </c>
      <c r="AM40" s="3184" t="s">
        <v>2780</v>
      </c>
      <c r="AN40" s="3184">
        <v>0</v>
      </c>
      <c r="AO40" s="3184" t="s">
        <v>3079</v>
      </c>
      <c r="AP40" s="3184" t="s">
        <v>2780</v>
      </c>
      <c r="AQ40" s="3184" t="s">
        <v>2780</v>
      </c>
      <c r="AR40" s="3184" t="s">
        <v>2780</v>
      </c>
    </row>
    <row r="41" spans="1:44" s="3184" customFormat="1" ht="12.6">
      <c r="A41" s="3184" t="s">
        <v>3137</v>
      </c>
      <c r="B41" s="3184" t="s">
        <v>3065</v>
      </c>
      <c r="C41" s="3184" t="s">
        <v>3066</v>
      </c>
      <c r="D41" s="3184" t="s">
        <v>2991</v>
      </c>
      <c r="E41" s="3184" t="s">
        <v>2780</v>
      </c>
      <c r="F41" s="3184" t="s">
        <v>3137</v>
      </c>
      <c r="G41" s="3184" t="s">
        <v>3067</v>
      </c>
      <c r="H41" s="3184" t="s">
        <v>3222</v>
      </c>
      <c r="I41" s="3184" t="s">
        <v>3069</v>
      </c>
      <c r="J41" s="3184">
        <v>10729</v>
      </c>
      <c r="K41" s="3184">
        <v>32187</v>
      </c>
      <c r="L41" s="3184" t="s">
        <v>3141</v>
      </c>
      <c r="M41" s="3184" t="s">
        <v>2780</v>
      </c>
      <c r="N41" s="3184" t="s">
        <v>3121</v>
      </c>
      <c r="O41" s="3184" t="s">
        <v>2780</v>
      </c>
      <c r="P41" s="3184" t="s">
        <v>2780</v>
      </c>
      <c r="Q41" s="3184" t="s">
        <v>2780</v>
      </c>
      <c r="R41" s="3184" t="s">
        <v>2780</v>
      </c>
      <c r="S41" s="3184" t="s">
        <v>2780</v>
      </c>
      <c r="T41" s="3184" t="s">
        <v>2780</v>
      </c>
      <c r="U41" s="3184" t="s">
        <v>2780</v>
      </c>
      <c r="V41" s="3184" t="s">
        <v>2780</v>
      </c>
      <c r="W41" s="3184" t="s">
        <v>3122</v>
      </c>
      <c r="X41" s="3184" t="s">
        <v>3223</v>
      </c>
      <c r="Y41" s="3184" t="s">
        <v>3224</v>
      </c>
      <c r="Z41" s="3184" t="s">
        <v>3225</v>
      </c>
      <c r="AA41" s="3184" t="s">
        <v>3225</v>
      </c>
      <c r="AB41" s="3184" t="s">
        <v>3226</v>
      </c>
      <c r="AC41" s="3184" t="s">
        <v>3077</v>
      </c>
      <c r="AD41" s="3184" t="s">
        <v>3139</v>
      </c>
      <c r="AE41" s="3184">
        <v>484</v>
      </c>
      <c r="AF41" s="3184">
        <v>2420</v>
      </c>
      <c r="AG41" s="3184">
        <v>2420</v>
      </c>
      <c r="AH41" s="3184">
        <v>150.37</v>
      </c>
      <c r="AI41" s="3184">
        <v>150.37</v>
      </c>
      <c r="AJ41" s="3184">
        <v>751.85</v>
      </c>
      <c r="AK41" s="3184">
        <v>751.86</v>
      </c>
      <c r="AL41" s="3184" t="s">
        <v>2780</v>
      </c>
      <c r="AM41" s="3184" t="s">
        <v>2780</v>
      </c>
      <c r="AN41" s="3184">
        <v>0</v>
      </c>
      <c r="AO41" s="3184" t="s">
        <v>3079</v>
      </c>
      <c r="AP41" s="3184" t="s">
        <v>2780</v>
      </c>
      <c r="AQ41" s="3184" t="s">
        <v>2780</v>
      </c>
      <c r="AR41" s="3184" t="s">
        <v>2780</v>
      </c>
    </row>
    <row r="42" spans="1:44" s="3184" customFormat="1" ht="12.6">
      <c r="A42" s="3184" t="s">
        <v>3137</v>
      </c>
      <c r="B42" s="3184" t="s">
        <v>3065</v>
      </c>
      <c r="C42" s="3184" t="s">
        <v>3066</v>
      </c>
      <c r="D42" s="3184" t="s">
        <v>2991</v>
      </c>
      <c r="E42" s="3184" t="s">
        <v>2780</v>
      </c>
      <c r="F42" s="3184" t="s">
        <v>3137</v>
      </c>
      <c r="G42" s="3184" t="s">
        <v>3067</v>
      </c>
      <c r="H42" s="3184" t="s">
        <v>3227</v>
      </c>
      <c r="I42" s="3184" t="s">
        <v>3069</v>
      </c>
      <c r="J42" s="3184">
        <v>32484</v>
      </c>
      <c r="K42" s="3184">
        <v>97452</v>
      </c>
      <c r="L42" s="3184" t="s">
        <v>3141</v>
      </c>
      <c r="M42" s="3184" t="s">
        <v>2780</v>
      </c>
      <c r="N42" s="3184" t="s">
        <v>3121</v>
      </c>
      <c r="O42" s="3184" t="s">
        <v>2780</v>
      </c>
      <c r="P42" s="3184" t="s">
        <v>2780</v>
      </c>
      <c r="Q42" s="3184" t="s">
        <v>2780</v>
      </c>
      <c r="R42" s="3184" t="s">
        <v>2780</v>
      </c>
      <c r="S42" s="3184" t="s">
        <v>2780</v>
      </c>
      <c r="T42" s="3184" t="s">
        <v>2780</v>
      </c>
      <c r="U42" s="3184" t="s">
        <v>2780</v>
      </c>
      <c r="V42" s="3184" t="s">
        <v>2780</v>
      </c>
      <c r="W42" s="3184" t="s">
        <v>3122</v>
      </c>
      <c r="X42" s="3184" t="s">
        <v>3223</v>
      </c>
      <c r="Y42" s="3184" t="s">
        <v>3224</v>
      </c>
      <c r="Z42" s="3184" t="s">
        <v>3225</v>
      </c>
      <c r="AA42" s="3184" t="s">
        <v>3225</v>
      </c>
      <c r="AB42" s="3184" t="s">
        <v>3228</v>
      </c>
      <c r="AC42" s="3184" t="s">
        <v>3077</v>
      </c>
      <c r="AD42" s="3184" t="s">
        <v>3139</v>
      </c>
      <c r="AE42" s="3184">
        <v>1462</v>
      </c>
      <c r="AF42" s="3184">
        <v>7310</v>
      </c>
      <c r="AG42" s="3184">
        <v>7310</v>
      </c>
      <c r="AH42" s="3184">
        <v>150.02000000000001</v>
      </c>
      <c r="AI42" s="3184">
        <v>150.02000000000001</v>
      </c>
      <c r="AJ42" s="3184">
        <v>750.11</v>
      </c>
      <c r="AK42" s="3184">
        <v>750.11</v>
      </c>
      <c r="AL42" s="3184" t="s">
        <v>2780</v>
      </c>
      <c r="AM42" s="3184" t="s">
        <v>2780</v>
      </c>
      <c r="AN42" s="3184">
        <v>0</v>
      </c>
      <c r="AO42" s="3184" t="s">
        <v>3079</v>
      </c>
      <c r="AP42" s="3184" t="s">
        <v>2780</v>
      </c>
      <c r="AQ42" s="3184" t="s">
        <v>2780</v>
      </c>
      <c r="AR42" s="3184" t="s">
        <v>2780</v>
      </c>
    </row>
    <row r="43" spans="1:44" s="3184" customFormat="1" ht="12.6">
      <c r="A43" s="3184" t="s">
        <v>3137</v>
      </c>
      <c r="B43" s="3184" t="s">
        <v>3065</v>
      </c>
      <c r="C43" s="3184" t="s">
        <v>3066</v>
      </c>
      <c r="D43" s="3184" t="s">
        <v>2991</v>
      </c>
      <c r="E43" s="3184" t="s">
        <v>2780</v>
      </c>
      <c r="F43" s="3184" t="s">
        <v>3137</v>
      </c>
      <c r="G43" s="3184" t="s">
        <v>3067</v>
      </c>
      <c r="H43" s="3184" t="s">
        <v>3229</v>
      </c>
      <c r="I43" s="3184" t="s">
        <v>3069</v>
      </c>
      <c r="J43" s="3184">
        <v>42183</v>
      </c>
      <c r="K43" s="3184">
        <v>126549</v>
      </c>
      <c r="L43" s="3184" t="s">
        <v>3141</v>
      </c>
      <c r="M43" s="3184" t="s">
        <v>2780</v>
      </c>
      <c r="N43" s="3184" t="s">
        <v>3121</v>
      </c>
      <c r="O43" s="3184" t="s">
        <v>2780</v>
      </c>
      <c r="P43" s="3184" t="s">
        <v>2780</v>
      </c>
      <c r="Q43" s="3184" t="s">
        <v>2780</v>
      </c>
      <c r="R43" s="3184" t="s">
        <v>2780</v>
      </c>
      <c r="S43" s="3184" t="s">
        <v>2780</v>
      </c>
      <c r="T43" s="3184" t="s">
        <v>2780</v>
      </c>
      <c r="U43" s="3184" t="s">
        <v>2780</v>
      </c>
      <c r="V43" s="3184" t="s">
        <v>2780</v>
      </c>
      <c r="W43" s="3184" t="s">
        <v>3122</v>
      </c>
      <c r="X43" s="3184" t="s">
        <v>3223</v>
      </c>
      <c r="Y43" s="3184" t="s">
        <v>3224</v>
      </c>
      <c r="Z43" s="3184" t="s">
        <v>3225</v>
      </c>
      <c r="AA43" s="3184" t="s">
        <v>3225</v>
      </c>
      <c r="AB43" s="3184" t="s">
        <v>3230</v>
      </c>
      <c r="AC43" s="3184" t="s">
        <v>3077</v>
      </c>
      <c r="AD43" s="3184" t="s">
        <v>3139</v>
      </c>
      <c r="AE43" s="3184">
        <v>1900</v>
      </c>
      <c r="AF43" s="3184">
        <v>9500</v>
      </c>
      <c r="AG43" s="3184">
        <v>9500</v>
      </c>
      <c r="AH43" s="3184">
        <v>150.13999999999999</v>
      </c>
      <c r="AI43" s="3184">
        <v>150.13999999999999</v>
      </c>
      <c r="AJ43" s="3184">
        <v>750.69</v>
      </c>
      <c r="AK43" s="3184">
        <v>750.7</v>
      </c>
      <c r="AL43" s="3184" t="s">
        <v>2780</v>
      </c>
      <c r="AM43" s="3184" t="s">
        <v>2780</v>
      </c>
      <c r="AN43" s="3184">
        <v>0</v>
      </c>
      <c r="AO43" s="3184" t="s">
        <v>3079</v>
      </c>
      <c r="AP43" s="3184" t="s">
        <v>2780</v>
      </c>
      <c r="AQ43" s="3184" t="s">
        <v>2780</v>
      </c>
      <c r="AR43" s="3184" t="s">
        <v>2780</v>
      </c>
    </row>
    <row r="44" spans="1:44" s="3184" customFormat="1" ht="12.6">
      <c r="A44" s="3184" t="s">
        <v>3137</v>
      </c>
      <c r="B44" s="3184" t="s">
        <v>3065</v>
      </c>
      <c r="C44" s="3184" t="s">
        <v>3066</v>
      </c>
      <c r="D44" s="3184" t="s">
        <v>2991</v>
      </c>
      <c r="E44" s="3184" t="s">
        <v>2780</v>
      </c>
      <c r="F44" s="3184" t="s">
        <v>3137</v>
      </c>
      <c r="G44" s="3184" t="s">
        <v>3067</v>
      </c>
      <c r="H44" s="3184" t="s">
        <v>3231</v>
      </c>
      <c r="I44" s="3184" t="s">
        <v>3069</v>
      </c>
      <c r="J44" s="3184">
        <v>21232</v>
      </c>
      <c r="K44" s="3184">
        <v>63696</v>
      </c>
      <c r="L44" s="3184" t="s">
        <v>3141</v>
      </c>
      <c r="M44" s="3184" t="s">
        <v>2780</v>
      </c>
      <c r="N44" s="3184" t="s">
        <v>3121</v>
      </c>
      <c r="O44" s="3184" t="s">
        <v>2780</v>
      </c>
      <c r="P44" s="3184" t="s">
        <v>2780</v>
      </c>
      <c r="Q44" s="3184" t="s">
        <v>2780</v>
      </c>
      <c r="R44" s="3184" t="s">
        <v>2780</v>
      </c>
      <c r="S44" s="3184" t="s">
        <v>2780</v>
      </c>
      <c r="T44" s="3184" t="s">
        <v>2780</v>
      </c>
      <c r="U44" s="3184" t="s">
        <v>2780</v>
      </c>
      <c r="V44" s="3184" t="s">
        <v>2780</v>
      </c>
      <c r="W44" s="3184" t="s">
        <v>3122</v>
      </c>
      <c r="X44" s="3184" t="s">
        <v>3223</v>
      </c>
      <c r="Y44" s="3184" t="s">
        <v>3224</v>
      </c>
      <c r="Z44" s="3184" t="s">
        <v>3225</v>
      </c>
      <c r="AA44" s="3184" t="s">
        <v>3225</v>
      </c>
      <c r="AB44" s="3184" t="s">
        <v>3232</v>
      </c>
      <c r="AC44" s="3184" t="s">
        <v>3077</v>
      </c>
      <c r="AD44" s="3184" t="s">
        <v>3139</v>
      </c>
      <c r="AE44" s="3184">
        <v>956</v>
      </c>
      <c r="AF44" s="3184">
        <v>4780</v>
      </c>
      <c r="AG44" s="3184">
        <v>4780</v>
      </c>
      <c r="AH44" s="3184">
        <v>150.09</v>
      </c>
      <c r="AI44" s="3184">
        <v>150.09</v>
      </c>
      <c r="AJ44" s="3184">
        <v>750.43</v>
      </c>
      <c r="AK44" s="3184">
        <v>750.44</v>
      </c>
      <c r="AL44" s="3184" t="s">
        <v>2780</v>
      </c>
      <c r="AM44" s="3184" t="s">
        <v>2780</v>
      </c>
      <c r="AN44" s="3184">
        <v>0</v>
      </c>
      <c r="AO44" s="3184" t="s">
        <v>3079</v>
      </c>
      <c r="AP44" s="3184" t="s">
        <v>2780</v>
      </c>
      <c r="AQ44" s="3184" t="s">
        <v>2780</v>
      </c>
      <c r="AR44" s="3184" t="s">
        <v>2780</v>
      </c>
    </row>
    <row r="45" spans="1:44" s="3184" customFormat="1" ht="12.6">
      <c r="A45" s="3184" t="s">
        <v>3137</v>
      </c>
      <c r="B45" s="3184" t="s">
        <v>3065</v>
      </c>
      <c r="C45" s="3184" t="s">
        <v>3066</v>
      </c>
      <c r="D45" s="3184" t="s">
        <v>2991</v>
      </c>
      <c r="E45" s="3184" t="s">
        <v>2780</v>
      </c>
      <c r="F45" s="3184" t="s">
        <v>3137</v>
      </c>
      <c r="G45" s="3184" t="s">
        <v>3067</v>
      </c>
      <c r="H45" s="3184" t="s">
        <v>3233</v>
      </c>
      <c r="I45" s="3184" t="s">
        <v>3069</v>
      </c>
      <c r="J45" s="3184">
        <v>31570</v>
      </c>
      <c r="K45" s="3184">
        <v>94710</v>
      </c>
      <c r="L45" s="3184" t="s">
        <v>3141</v>
      </c>
      <c r="M45" s="3184" t="s">
        <v>2780</v>
      </c>
      <c r="N45" s="3184" t="s">
        <v>3121</v>
      </c>
      <c r="O45" s="3184" t="s">
        <v>2780</v>
      </c>
      <c r="P45" s="3184" t="s">
        <v>2780</v>
      </c>
      <c r="Q45" s="3184" t="s">
        <v>2780</v>
      </c>
      <c r="R45" s="3184" t="s">
        <v>2780</v>
      </c>
      <c r="S45" s="3184" t="s">
        <v>2780</v>
      </c>
      <c r="T45" s="3184" t="s">
        <v>2780</v>
      </c>
      <c r="U45" s="3184" t="s">
        <v>2780</v>
      </c>
      <c r="V45" s="3184" t="s">
        <v>2780</v>
      </c>
      <c r="W45" s="3184" t="s">
        <v>3122</v>
      </c>
      <c r="X45" s="3184" t="s">
        <v>3223</v>
      </c>
      <c r="Y45" s="3184" t="s">
        <v>3224</v>
      </c>
      <c r="Z45" s="3184" t="s">
        <v>3225</v>
      </c>
      <c r="AA45" s="3184" t="s">
        <v>3225</v>
      </c>
      <c r="AB45" s="3184" t="s">
        <v>3234</v>
      </c>
      <c r="AC45" s="3184" t="s">
        <v>3077</v>
      </c>
      <c r="AD45" s="3184" t="s">
        <v>3139</v>
      </c>
      <c r="AE45" s="3184">
        <v>1422</v>
      </c>
      <c r="AF45" s="3184">
        <v>7110</v>
      </c>
      <c r="AG45" s="3184">
        <v>7110</v>
      </c>
      <c r="AH45" s="3184">
        <v>150.13999999999999</v>
      </c>
      <c r="AI45" s="3184">
        <v>150.13999999999999</v>
      </c>
      <c r="AJ45" s="3184">
        <v>750.71</v>
      </c>
      <c r="AK45" s="3184">
        <v>750.71</v>
      </c>
      <c r="AL45" s="3184" t="s">
        <v>2780</v>
      </c>
      <c r="AM45" s="3184" t="s">
        <v>2780</v>
      </c>
      <c r="AN45" s="3184">
        <v>0</v>
      </c>
      <c r="AO45" s="3184" t="s">
        <v>3079</v>
      </c>
      <c r="AP45" s="3184" t="s">
        <v>2780</v>
      </c>
      <c r="AQ45" s="3184" t="s">
        <v>2780</v>
      </c>
      <c r="AR45" s="3184" t="s">
        <v>2780</v>
      </c>
    </row>
    <row r="46" spans="1:44" s="3184" customFormat="1" ht="12.6">
      <c r="A46" s="3184" t="s">
        <v>3137</v>
      </c>
      <c r="B46" s="3184" t="s">
        <v>3065</v>
      </c>
      <c r="C46" s="3184" t="s">
        <v>3066</v>
      </c>
      <c r="D46" s="3184" t="s">
        <v>2991</v>
      </c>
      <c r="E46" s="3184" t="s">
        <v>2780</v>
      </c>
      <c r="F46" s="3184" t="s">
        <v>3137</v>
      </c>
      <c r="G46" s="3184" t="s">
        <v>3067</v>
      </c>
      <c r="H46" s="3184" t="s">
        <v>3235</v>
      </c>
      <c r="I46" s="3184" t="s">
        <v>3069</v>
      </c>
      <c r="J46" s="3184">
        <v>66652</v>
      </c>
      <c r="K46" s="3184">
        <v>199956</v>
      </c>
      <c r="L46" s="3184" t="s">
        <v>3141</v>
      </c>
      <c r="M46" s="3184" t="s">
        <v>2780</v>
      </c>
      <c r="N46" s="3184" t="s">
        <v>3121</v>
      </c>
      <c r="O46" s="3184" t="s">
        <v>2780</v>
      </c>
      <c r="P46" s="3184" t="s">
        <v>2780</v>
      </c>
      <c r="Q46" s="3184" t="s">
        <v>2780</v>
      </c>
      <c r="R46" s="3184" t="s">
        <v>2780</v>
      </c>
      <c r="S46" s="3184" t="s">
        <v>2780</v>
      </c>
      <c r="T46" s="3184" t="s">
        <v>2780</v>
      </c>
      <c r="U46" s="3184" t="s">
        <v>2780</v>
      </c>
      <c r="V46" s="3184" t="s">
        <v>2780</v>
      </c>
      <c r="W46" s="3184" t="s">
        <v>3122</v>
      </c>
      <c r="X46" s="3184" t="s">
        <v>3223</v>
      </c>
      <c r="Y46" s="3184" t="s">
        <v>3224</v>
      </c>
      <c r="Z46" s="3184" t="s">
        <v>3225</v>
      </c>
      <c r="AA46" s="3184" t="s">
        <v>3225</v>
      </c>
      <c r="AB46" s="3184" t="s">
        <v>3236</v>
      </c>
      <c r="AC46" s="3184" t="s">
        <v>3077</v>
      </c>
      <c r="AD46" s="3184" t="s">
        <v>3139</v>
      </c>
      <c r="AE46" s="3184">
        <v>3000</v>
      </c>
      <c r="AF46" s="3184">
        <v>15000</v>
      </c>
      <c r="AG46" s="3184">
        <v>15000</v>
      </c>
      <c r="AH46" s="3184">
        <v>150.03</v>
      </c>
      <c r="AI46" s="3184">
        <v>150.03</v>
      </c>
      <c r="AJ46" s="3184">
        <v>750.16</v>
      </c>
      <c r="AK46" s="3184">
        <v>750.16</v>
      </c>
      <c r="AL46" s="3184" t="s">
        <v>2780</v>
      </c>
      <c r="AM46" s="3184" t="s">
        <v>2780</v>
      </c>
      <c r="AN46" s="3184">
        <v>0</v>
      </c>
      <c r="AO46" s="3184" t="s">
        <v>3079</v>
      </c>
      <c r="AP46" s="3184" t="s">
        <v>2780</v>
      </c>
      <c r="AQ46" s="3184" t="s">
        <v>2780</v>
      </c>
      <c r="AR46" s="3184" t="s">
        <v>2780</v>
      </c>
    </row>
    <row r="47" spans="1:44" s="3184" customFormat="1" ht="12.6">
      <c r="A47" s="3184" t="s">
        <v>3237</v>
      </c>
      <c r="B47" s="3184" t="s">
        <v>3065</v>
      </c>
      <c r="C47" s="3184" t="s">
        <v>3066</v>
      </c>
      <c r="D47" s="3184" t="s">
        <v>2991</v>
      </c>
      <c r="E47" s="3184" t="s">
        <v>2780</v>
      </c>
      <c r="F47" s="3184" t="s">
        <v>3237</v>
      </c>
      <c r="G47" s="3184" t="s">
        <v>3067</v>
      </c>
      <c r="H47" s="3184" t="s">
        <v>3238</v>
      </c>
      <c r="I47" s="3184" t="s">
        <v>3069</v>
      </c>
      <c r="J47" s="3184">
        <v>26701</v>
      </c>
      <c r="K47" s="3184">
        <v>64082.400000000001</v>
      </c>
      <c r="L47" s="3184" t="s">
        <v>3239</v>
      </c>
      <c r="M47" s="3184" t="s">
        <v>2780</v>
      </c>
      <c r="N47" s="3184" t="s">
        <v>3180</v>
      </c>
      <c r="O47" s="3184" t="s">
        <v>2780</v>
      </c>
      <c r="P47" s="3184" t="s">
        <v>2780</v>
      </c>
      <c r="Q47" s="3184" t="s">
        <v>2780</v>
      </c>
      <c r="R47" s="3184" t="s">
        <v>2780</v>
      </c>
      <c r="S47" s="3184" t="s">
        <v>2780</v>
      </c>
      <c r="T47" s="3184" t="s">
        <v>2780</v>
      </c>
      <c r="U47" s="3184" t="s">
        <v>2780</v>
      </c>
      <c r="V47" s="3184" t="s">
        <v>2780</v>
      </c>
      <c r="W47" s="3184" t="s">
        <v>3122</v>
      </c>
      <c r="X47" s="3184" t="s">
        <v>3240</v>
      </c>
      <c r="Y47" s="3184" t="s">
        <v>3241</v>
      </c>
      <c r="Z47" s="3184" t="s">
        <v>3242</v>
      </c>
      <c r="AA47" s="3184" t="s">
        <v>3242</v>
      </c>
      <c r="AB47" s="3184" t="s">
        <v>3243</v>
      </c>
      <c r="AC47" s="3184" t="s">
        <v>3077</v>
      </c>
      <c r="AD47" s="3184" t="s">
        <v>3127</v>
      </c>
      <c r="AE47" s="3184">
        <v>2406</v>
      </c>
      <c r="AF47" s="3184">
        <v>8020</v>
      </c>
      <c r="AG47" s="3184">
        <v>8020</v>
      </c>
      <c r="AH47" s="3184">
        <v>200.24</v>
      </c>
      <c r="AI47" s="3184">
        <v>200.24</v>
      </c>
      <c r="AJ47" s="3184">
        <v>1251.51</v>
      </c>
      <c r="AK47" s="3184">
        <v>1251.5</v>
      </c>
      <c r="AL47" s="3184" t="s">
        <v>2780</v>
      </c>
      <c r="AM47" s="3184" t="s">
        <v>2780</v>
      </c>
      <c r="AN47" s="3184">
        <v>0</v>
      </c>
      <c r="AO47" s="3184" t="s">
        <v>3079</v>
      </c>
      <c r="AP47" s="3184" t="s">
        <v>2780</v>
      </c>
      <c r="AQ47" s="3184" t="s">
        <v>2780</v>
      </c>
      <c r="AR47" s="3184" t="s">
        <v>2780</v>
      </c>
    </row>
    <row r="48" spans="1:44" s="3184" customFormat="1" ht="12.6">
      <c r="A48" s="3184" t="s">
        <v>3244</v>
      </c>
      <c r="B48" s="3184" t="s">
        <v>3065</v>
      </c>
      <c r="C48" s="3184" t="s">
        <v>3066</v>
      </c>
      <c r="D48" s="3184" t="s">
        <v>2991</v>
      </c>
      <c r="E48" s="3184" t="s">
        <v>2780</v>
      </c>
      <c r="F48" s="3184" t="s">
        <v>3244</v>
      </c>
      <c r="G48" s="3184" t="s">
        <v>3067</v>
      </c>
      <c r="H48" s="3184" t="s">
        <v>3245</v>
      </c>
      <c r="I48" s="3184" t="s">
        <v>3069</v>
      </c>
      <c r="J48" s="3184">
        <v>25272</v>
      </c>
      <c r="K48" s="3184">
        <v>50544</v>
      </c>
      <c r="L48" s="3184" t="s">
        <v>3246</v>
      </c>
      <c r="M48" s="3184" t="s">
        <v>2780</v>
      </c>
      <c r="N48" s="3184" t="s">
        <v>3121</v>
      </c>
      <c r="O48" s="3184" t="s">
        <v>2780</v>
      </c>
      <c r="P48" s="3184" t="s">
        <v>2780</v>
      </c>
      <c r="Q48" s="3184" t="s">
        <v>2780</v>
      </c>
      <c r="R48" s="3184" t="s">
        <v>2780</v>
      </c>
      <c r="S48" s="3184" t="s">
        <v>2780</v>
      </c>
      <c r="T48" s="3184" t="s">
        <v>2780</v>
      </c>
      <c r="U48" s="3184" t="s">
        <v>2780</v>
      </c>
      <c r="V48" s="3184" t="s">
        <v>2780</v>
      </c>
      <c r="W48" s="3184" t="s">
        <v>3122</v>
      </c>
      <c r="X48" s="3184" t="s">
        <v>3240</v>
      </c>
      <c r="Y48" s="3184" t="s">
        <v>3241</v>
      </c>
      <c r="Z48" s="3184" t="s">
        <v>3242</v>
      </c>
      <c r="AA48" s="3184" t="s">
        <v>3242</v>
      </c>
      <c r="AB48" s="3184" t="s">
        <v>3247</v>
      </c>
      <c r="AC48" s="3184" t="s">
        <v>3077</v>
      </c>
      <c r="AD48" s="3184" t="s">
        <v>3127</v>
      </c>
      <c r="AE48" s="3184">
        <v>2730</v>
      </c>
      <c r="AF48" s="3184">
        <v>9100</v>
      </c>
      <c r="AG48" s="3184">
        <v>9100</v>
      </c>
      <c r="AH48" s="3184">
        <v>240.05</v>
      </c>
      <c r="AI48" s="3184">
        <v>240.05</v>
      </c>
      <c r="AJ48" s="3184">
        <v>1800.41</v>
      </c>
      <c r="AK48" s="3184">
        <v>1800.41</v>
      </c>
      <c r="AL48" s="3184" t="s">
        <v>2780</v>
      </c>
      <c r="AM48" s="3184" t="s">
        <v>2780</v>
      </c>
      <c r="AN48" s="3184">
        <v>0</v>
      </c>
      <c r="AO48" s="3184" t="s">
        <v>3079</v>
      </c>
      <c r="AP48" s="3184" t="s">
        <v>2780</v>
      </c>
      <c r="AQ48" s="3184" t="s">
        <v>2780</v>
      </c>
      <c r="AR48" s="3184" t="s">
        <v>2780</v>
      </c>
    </row>
    <row r="49" spans="1:44" s="3184" customFormat="1" ht="12.6">
      <c r="A49" s="3184" t="s">
        <v>3103</v>
      </c>
      <c r="B49" s="3184" t="s">
        <v>3065</v>
      </c>
      <c r="C49" s="3184" t="s">
        <v>3066</v>
      </c>
      <c r="D49" s="3184" t="s">
        <v>2991</v>
      </c>
      <c r="E49" s="3184" t="s">
        <v>2780</v>
      </c>
      <c r="F49" s="3184" t="s">
        <v>3103</v>
      </c>
      <c r="G49" s="3184" t="s">
        <v>3067</v>
      </c>
      <c r="H49" s="3184" t="s">
        <v>3248</v>
      </c>
      <c r="I49" s="3184" t="s">
        <v>3069</v>
      </c>
      <c r="J49" s="3184">
        <v>27758</v>
      </c>
      <c r="K49" s="3184">
        <v>66619.199999999997</v>
      </c>
      <c r="L49" s="3184" t="s">
        <v>3239</v>
      </c>
      <c r="M49" s="3184" t="s">
        <v>2780</v>
      </c>
      <c r="N49" s="3184" t="s">
        <v>3180</v>
      </c>
      <c r="O49" s="3184" t="s">
        <v>2780</v>
      </c>
      <c r="P49" s="3184" t="s">
        <v>2780</v>
      </c>
      <c r="Q49" s="3184" t="s">
        <v>2780</v>
      </c>
      <c r="R49" s="3184" t="s">
        <v>2780</v>
      </c>
      <c r="S49" s="3184" t="s">
        <v>2780</v>
      </c>
      <c r="T49" s="3184" t="s">
        <v>2780</v>
      </c>
      <c r="U49" s="3184" t="s">
        <v>2780</v>
      </c>
      <c r="V49" s="3184" t="s">
        <v>2780</v>
      </c>
      <c r="W49" s="3184" t="s">
        <v>3122</v>
      </c>
      <c r="X49" s="3184" t="s">
        <v>3240</v>
      </c>
      <c r="Y49" s="3184" t="s">
        <v>3241</v>
      </c>
      <c r="Z49" s="3184" t="s">
        <v>3242</v>
      </c>
      <c r="AA49" s="3184" t="s">
        <v>3242</v>
      </c>
      <c r="AB49" s="3184" t="s">
        <v>3249</v>
      </c>
      <c r="AC49" s="3184" t="s">
        <v>3077</v>
      </c>
      <c r="AD49" s="3184" t="s">
        <v>3127</v>
      </c>
      <c r="AE49" s="3184">
        <v>2499</v>
      </c>
      <c r="AF49" s="3184">
        <v>8330</v>
      </c>
      <c r="AG49" s="3184">
        <v>8530</v>
      </c>
      <c r="AH49" s="3184">
        <v>200.06</v>
      </c>
      <c r="AI49" s="3184">
        <v>204.87</v>
      </c>
      <c r="AJ49" s="3184">
        <v>1250.3900000000001</v>
      </c>
      <c r="AK49" s="3184">
        <v>1280.4100000000001</v>
      </c>
      <c r="AL49" s="3184" t="s">
        <v>2780</v>
      </c>
      <c r="AM49" s="3184" t="s">
        <v>2780</v>
      </c>
      <c r="AN49" s="3184">
        <v>2.4</v>
      </c>
      <c r="AO49" s="3184" t="s">
        <v>3079</v>
      </c>
      <c r="AP49" s="3184" t="s">
        <v>2780</v>
      </c>
      <c r="AQ49" s="3184" t="s">
        <v>2780</v>
      </c>
      <c r="AR49" s="3184" t="s">
        <v>2780</v>
      </c>
    </row>
    <row r="50" spans="1:44" s="3184" customFormat="1" ht="12.6">
      <c r="A50" s="3184" t="s">
        <v>3250</v>
      </c>
      <c r="B50" s="3184" t="s">
        <v>3065</v>
      </c>
      <c r="C50" s="3184" t="s">
        <v>3066</v>
      </c>
      <c r="D50" s="3184" t="s">
        <v>2991</v>
      </c>
      <c r="E50" s="3184" t="s">
        <v>2780</v>
      </c>
      <c r="F50" s="3184" t="s">
        <v>3250</v>
      </c>
      <c r="G50" s="3184" t="s">
        <v>3067</v>
      </c>
      <c r="H50" s="3184" t="s">
        <v>3251</v>
      </c>
      <c r="I50" s="3184" t="s">
        <v>3069</v>
      </c>
      <c r="J50" s="3184">
        <v>27388</v>
      </c>
      <c r="K50" s="3184">
        <v>82164</v>
      </c>
      <c r="L50" s="3184" t="s">
        <v>3141</v>
      </c>
      <c r="M50" s="3184" t="s">
        <v>2780</v>
      </c>
      <c r="N50" s="3184" t="s">
        <v>3252</v>
      </c>
      <c r="O50" s="3184" t="s">
        <v>2780</v>
      </c>
      <c r="P50" s="3184" t="s">
        <v>2780</v>
      </c>
      <c r="Q50" s="3184" t="s">
        <v>2780</v>
      </c>
      <c r="R50" s="3184" t="s">
        <v>2780</v>
      </c>
      <c r="S50" s="3184" t="s">
        <v>2780</v>
      </c>
      <c r="T50" s="3184" t="s">
        <v>2780</v>
      </c>
      <c r="U50" s="3184" t="s">
        <v>2780</v>
      </c>
      <c r="V50" s="3184" t="s">
        <v>2780</v>
      </c>
      <c r="W50" s="3184" t="s">
        <v>3122</v>
      </c>
      <c r="X50" s="3184" t="s">
        <v>3240</v>
      </c>
      <c r="Y50" s="3184" t="s">
        <v>3241</v>
      </c>
      <c r="Z50" s="3184" t="s">
        <v>3242</v>
      </c>
      <c r="AA50" s="3184" t="s">
        <v>3242</v>
      </c>
      <c r="AB50" s="3184" t="s">
        <v>3253</v>
      </c>
      <c r="AC50" s="3184" t="s">
        <v>3077</v>
      </c>
      <c r="AD50" s="3184" t="s">
        <v>3127</v>
      </c>
      <c r="AE50" s="3184">
        <v>2712</v>
      </c>
      <c r="AF50" s="3184">
        <v>9040</v>
      </c>
      <c r="AG50" s="3184">
        <v>9240</v>
      </c>
      <c r="AH50" s="3184">
        <v>220.05</v>
      </c>
      <c r="AI50" s="3184">
        <v>224.92</v>
      </c>
      <c r="AJ50" s="3184">
        <v>1100.23</v>
      </c>
      <c r="AK50" s="3184">
        <v>1124.57</v>
      </c>
      <c r="AL50" s="3184" t="s">
        <v>2780</v>
      </c>
      <c r="AM50" s="3184" t="s">
        <v>2780</v>
      </c>
      <c r="AN50" s="3184">
        <v>2.21</v>
      </c>
      <c r="AO50" s="3184" t="s">
        <v>3079</v>
      </c>
      <c r="AP50" s="3184" t="s">
        <v>2780</v>
      </c>
      <c r="AQ50" s="3184" t="s">
        <v>2780</v>
      </c>
      <c r="AR50" s="3184" t="s">
        <v>2780</v>
      </c>
    </row>
    <row r="51" spans="1:44" s="3184" customFormat="1" ht="12.6">
      <c r="A51" s="3184" t="s">
        <v>3254</v>
      </c>
      <c r="B51" s="3184" t="s">
        <v>3065</v>
      </c>
      <c r="C51" s="3184" t="s">
        <v>3066</v>
      </c>
      <c r="D51" s="3184" t="s">
        <v>2991</v>
      </c>
      <c r="E51" s="3184" t="s">
        <v>2780</v>
      </c>
      <c r="F51" s="3184" t="s">
        <v>3254</v>
      </c>
      <c r="G51" s="3184" t="s">
        <v>3067</v>
      </c>
      <c r="H51" s="3184" t="s">
        <v>3255</v>
      </c>
      <c r="I51" s="3184" t="s">
        <v>3069</v>
      </c>
      <c r="J51" s="3184">
        <v>62518</v>
      </c>
      <c r="K51" s="3184">
        <v>150043.20000000001</v>
      </c>
      <c r="L51" s="3184" t="s">
        <v>3239</v>
      </c>
      <c r="M51" s="3184" t="s">
        <v>2780</v>
      </c>
      <c r="N51" s="3184" t="s">
        <v>3180</v>
      </c>
      <c r="O51" s="3184" t="s">
        <v>2780</v>
      </c>
      <c r="P51" s="3184" t="s">
        <v>2780</v>
      </c>
      <c r="Q51" s="3184" t="s">
        <v>2780</v>
      </c>
      <c r="R51" s="3184" t="s">
        <v>2780</v>
      </c>
      <c r="S51" s="3184" t="s">
        <v>2780</v>
      </c>
      <c r="T51" s="3184" t="s">
        <v>2780</v>
      </c>
      <c r="U51" s="3184" t="s">
        <v>2780</v>
      </c>
      <c r="V51" s="3184" t="s">
        <v>2780</v>
      </c>
      <c r="W51" s="3184" t="s">
        <v>3122</v>
      </c>
      <c r="X51" s="3184" t="s">
        <v>3240</v>
      </c>
      <c r="Y51" s="3184" t="s">
        <v>3241</v>
      </c>
      <c r="Z51" s="3184" t="s">
        <v>3242</v>
      </c>
      <c r="AA51" s="3184" t="s">
        <v>3242</v>
      </c>
      <c r="AB51" s="3184" t="s">
        <v>3256</v>
      </c>
      <c r="AC51" s="3184" t="s">
        <v>3077</v>
      </c>
      <c r="AD51" s="3184" t="s">
        <v>3084</v>
      </c>
      <c r="AE51" s="3184">
        <v>5910</v>
      </c>
      <c r="AF51" s="3184">
        <v>19700</v>
      </c>
      <c r="AG51" s="3184">
        <v>19700</v>
      </c>
      <c r="AH51" s="3184">
        <v>210.07</v>
      </c>
      <c r="AI51" s="3184">
        <v>210.07</v>
      </c>
      <c r="AJ51" s="3184">
        <v>1312.95</v>
      </c>
      <c r="AK51" s="3184">
        <v>1312.96</v>
      </c>
      <c r="AL51" s="3184" t="s">
        <v>2780</v>
      </c>
      <c r="AM51" s="3184" t="s">
        <v>2780</v>
      </c>
      <c r="AN51" s="3184">
        <v>0</v>
      </c>
      <c r="AO51" s="3184" t="s">
        <v>3079</v>
      </c>
      <c r="AP51" s="3184" t="s">
        <v>2780</v>
      </c>
      <c r="AQ51" s="3184" t="s">
        <v>2780</v>
      </c>
      <c r="AR51" s="3184" t="s">
        <v>2780</v>
      </c>
    </row>
  </sheetData>
  <autoFilter ref="A1:AR51"/>
  <phoneticPr fontId="232"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5" zoomScaleNormal="100" zoomScaleSheetLayoutView="100" zoomScalePageLayoutView="80" workbookViewId="0">
      <selection activeCell="H24" sqref="H24"/>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2980</v>
      </c>
      <c r="E1" s="1803" t="s">
        <v>2019</v>
      </c>
      <c r="F1" s="1805" t="s">
        <v>2981</v>
      </c>
      <c r="G1" s="310"/>
      <c r="H1" s="310"/>
      <c r="I1" s="310"/>
      <c r="J1" s="2027"/>
      <c r="K1" s="2027"/>
      <c r="L1" s="2027"/>
      <c r="M1" s="2027"/>
      <c r="N1" s="2027"/>
      <c r="O1" s="2027"/>
      <c r="P1" s="2027"/>
      <c r="Q1" s="2027"/>
      <c r="R1" s="2027"/>
      <c r="S1" s="2027"/>
      <c r="T1" s="2027"/>
      <c r="U1" s="2027"/>
      <c r="V1" s="2027"/>
    </row>
    <row r="2" spans="1:22" ht="21.75" customHeight="1" thickBot="1">
      <c r="A2" s="3362" t="str">
        <f>项目基本情况!K2</f>
        <v>江苏省镇江市丹阳市北二环路（宗地代码321181403212GB00076）1宗城镇住宅用地出让国有建设用地使用权</v>
      </c>
      <c r="B2" s="3363"/>
      <c r="C2" s="3364"/>
      <c r="D2" s="3364"/>
      <c r="E2" s="3364"/>
      <c r="F2" s="3364"/>
      <c r="G2" s="3363"/>
      <c r="H2" s="3363"/>
      <c r="I2" s="3365"/>
      <c r="J2" s="2028"/>
      <c r="K2" s="2027"/>
      <c r="L2" s="2027"/>
      <c r="M2" s="2027"/>
      <c r="N2" s="2027"/>
      <c r="O2" s="2027"/>
      <c r="P2" s="2027"/>
      <c r="Q2" s="2027"/>
      <c r="R2" s="2027"/>
      <c r="S2" s="2027"/>
      <c r="T2" s="2027"/>
      <c r="U2" s="2027"/>
      <c r="V2" s="2027"/>
    </row>
    <row r="3" spans="1:22" ht="13.8">
      <c r="A3" s="3355" t="s">
        <v>263</v>
      </c>
      <c r="B3" s="3356"/>
      <c r="C3" s="3356"/>
      <c r="D3" s="3356"/>
      <c r="E3" s="3356"/>
      <c r="F3" s="3356"/>
      <c r="G3" s="3356"/>
      <c r="H3" s="3356"/>
      <c r="I3" s="3356"/>
      <c r="J3" s="2028"/>
      <c r="K3" s="2027"/>
      <c r="L3" s="2027"/>
      <c r="M3" s="2027"/>
      <c r="N3" s="2027"/>
      <c r="O3" s="2027"/>
      <c r="P3" s="2027"/>
      <c r="Q3" s="2027"/>
      <c r="R3" s="2027"/>
      <c r="S3" s="2027"/>
      <c r="T3" s="2027"/>
      <c r="U3" s="2027"/>
      <c r="V3" s="2027"/>
    </row>
    <row r="4" spans="1:22" ht="14.4">
      <c r="A4" s="257" t="s">
        <v>264</v>
      </c>
      <c r="B4" s="258" t="s">
        <v>265</v>
      </c>
      <c r="C4" s="259" t="s">
        <v>2982</v>
      </c>
      <c r="D4" s="259" t="s">
        <v>2983</v>
      </c>
      <c r="E4" s="3327" t="s">
        <v>266</v>
      </c>
      <c r="F4" s="3328"/>
      <c r="G4" s="3328"/>
      <c r="H4" s="3328"/>
      <c r="I4" s="3357"/>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6" t="s">
        <v>267</v>
      </c>
      <c r="B5" s="3352">
        <v>25</v>
      </c>
      <c r="C5" s="3350"/>
      <c r="D5" s="3354"/>
      <c r="E5" s="260" t="s">
        <v>268</v>
      </c>
      <c r="F5" s="261"/>
      <c r="G5" s="261"/>
      <c r="H5" s="261"/>
      <c r="I5" s="262"/>
      <c r="J5" s="2028"/>
      <c r="K5" s="2027"/>
      <c r="L5" s="2027"/>
      <c r="M5" s="2027"/>
      <c r="N5" s="2027"/>
      <c r="O5" s="2027"/>
      <c r="P5" s="2027"/>
      <c r="Q5" s="2027"/>
      <c r="R5" s="2027"/>
      <c r="S5" s="2027"/>
      <c r="T5" s="2027"/>
      <c r="U5" s="2027"/>
      <c r="V5" s="2027"/>
    </row>
    <row r="6" spans="1:22" ht="13.8">
      <c r="A6" s="3326"/>
      <c r="B6" s="3352"/>
      <c r="C6" s="3353"/>
      <c r="D6" s="3354"/>
      <c r="E6" s="260" t="s">
        <v>269</v>
      </c>
      <c r="F6" s="261"/>
      <c r="G6" s="261"/>
      <c r="H6" s="261"/>
      <c r="I6" s="262"/>
      <c r="J6" s="2028"/>
      <c r="K6" s="2027"/>
      <c r="L6" s="2027"/>
      <c r="M6" s="2027"/>
      <c r="N6" s="2027"/>
      <c r="O6" s="2027"/>
      <c r="P6" s="2027"/>
      <c r="Q6" s="2027"/>
      <c r="R6" s="2027"/>
      <c r="S6" s="2027"/>
      <c r="T6" s="2027"/>
      <c r="U6" s="2027"/>
      <c r="V6" s="2027"/>
    </row>
    <row r="7" spans="1:22" ht="13.8">
      <c r="A7" s="3326"/>
      <c r="B7" s="3352"/>
      <c r="C7" s="3351"/>
      <c r="D7" s="3354"/>
      <c r="E7" s="260" t="s">
        <v>270</v>
      </c>
      <c r="F7" s="261"/>
      <c r="G7" s="261"/>
      <c r="H7" s="261"/>
      <c r="I7" s="262"/>
      <c r="J7" s="2028"/>
      <c r="K7" s="2027"/>
      <c r="L7" s="2027"/>
      <c r="M7" s="2027"/>
      <c r="N7" s="2027"/>
      <c r="O7" s="2027"/>
      <c r="P7" s="2027"/>
      <c r="Q7" s="2027"/>
      <c r="R7" s="2027"/>
      <c r="S7" s="2027"/>
      <c r="T7" s="2027"/>
      <c r="U7" s="2027"/>
      <c r="V7" s="2027"/>
    </row>
    <row r="8" spans="1:22" ht="13.8">
      <c r="A8" s="3326" t="s">
        <v>271</v>
      </c>
      <c r="B8" s="3352">
        <v>15</v>
      </c>
      <c r="C8" s="3350"/>
      <c r="D8" s="3354"/>
      <c r="E8" s="260" t="s">
        <v>272</v>
      </c>
      <c r="F8" s="261"/>
      <c r="G8" s="261"/>
      <c r="H8" s="261"/>
      <c r="I8" s="262"/>
      <c r="J8" s="2028"/>
      <c r="K8" s="2027"/>
      <c r="L8" s="2027" t="s">
        <v>2989</v>
      </c>
      <c r="M8" s="2027"/>
      <c r="N8" s="2027"/>
      <c r="O8" s="2027"/>
      <c r="P8" s="2027"/>
      <c r="Q8" s="2027"/>
      <c r="R8" s="2027"/>
      <c r="S8" s="2027"/>
      <c r="T8" s="2027"/>
      <c r="U8" s="2027"/>
      <c r="V8" s="2027"/>
    </row>
    <row r="9" spans="1:22" ht="13.8">
      <c r="A9" s="3326"/>
      <c r="B9" s="3352"/>
      <c r="C9" s="3351"/>
      <c r="D9" s="3354"/>
      <c r="E9" s="260" t="s">
        <v>273</v>
      </c>
      <c r="F9" s="261"/>
      <c r="G9" s="261"/>
      <c r="H9" s="261"/>
      <c r="I9" s="262"/>
      <c r="J9" s="2028"/>
      <c r="K9" s="2027"/>
      <c r="L9" s="2027"/>
      <c r="M9" s="2027"/>
      <c r="N9" s="2027"/>
      <c r="O9" s="2027"/>
      <c r="P9" s="2027"/>
      <c r="Q9" s="2027"/>
      <c r="R9" s="2027"/>
      <c r="S9" s="2027"/>
      <c r="T9" s="2027"/>
      <c r="U9" s="2027"/>
      <c r="V9" s="2027"/>
    </row>
    <row r="10" spans="1:22" ht="13.8">
      <c r="A10" s="3326" t="s">
        <v>274</v>
      </c>
      <c r="B10" s="3352">
        <v>15</v>
      </c>
      <c r="C10" s="3350"/>
      <c r="D10" s="3354"/>
      <c r="E10" s="260" t="s">
        <v>275</v>
      </c>
      <c r="F10" s="261"/>
      <c r="G10" s="261"/>
      <c r="H10" s="261"/>
      <c r="I10" s="262"/>
      <c r="J10" s="2028"/>
      <c r="K10" s="2027"/>
      <c r="L10" s="2027"/>
      <c r="M10" s="2027"/>
      <c r="N10" s="2027"/>
      <c r="O10" s="2027"/>
      <c r="P10" s="2027"/>
      <c r="Q10" s="2027"/>
      <c r="R10" s="2027"/>
      <c r="S10" s="2027"/>
      <c r="T10" s="2027"/>
      <c r="U10" s="2027"/>
      <c r="V10" s="2027"/>
    </row>
    <row r="11" spans="1:22" ht="13.8">
      <c r="A11" s="3326"/>
      <c r="B11" s="3352"/>
      <c r="C11" s="3351"/>
      <c r="D11" s="3354"/>
      <c r="E11" s="260" t="s">
        <v>276</v>
      </c>
      <c r="F11" s="261"/>
      <c r="G11" s="261"/>
      <c r="H11" s="261"/>
      <c r="I11" s="262"/>
      <c r="J11" s="2028"/>
      <c r="K11" s="2027"/>
      <c r="L11" s="2027"/>
      <c r="M11" s="2027"/>
      <c r="N11" s="2027"/>
      <c r="O11" s="2027"/>
      <c r="P11" s="2027"/>
      <c r="Q11" s="2027"/>
      <c r="R11" s="2027"/>
      <c r="S11" s="2027"/>
      <c r="T11" s="2027"/>
      <c r="U11" s="2027"/>
      <c r="V11" s="2027"/>
    </row>
    <row r="12" spans="1:22" ht="13.8">
      <c r="A12" s="3326" t="s">
        <v>277</v>
      </c>
      <c r="B12" s="3352">
        <v>15</v>
      </c>
      <c r="C12" s="3350"/>
      <c r="D12" s="3354"/>
      <c r="E12" s="260" t="s">
        <v>278</v>
      </c>
      <c r="F12" s="261"/>
      <c r="G12" s="261"/>
      <c r="H12" s="261"/>
      <c r="I12" s="262"/>
      <c r="J12" s="2028"/>
      <c r="K12" s="2027"/>
      <c r="L12" s="2027"/>
      <c r="M12" s="2027"/>
      <c r="N12" s="2027"/>
      <c r="O12" s="2027"/>
      <c r="P12" s="2027"/>
      <c r="Q12" s="2027"/>
      <c r="R12" s="2027"/>
      <c r="S12" s="2027"/>
      <c r="T12" s="2027"/>
      <c r="U12" s="2027"/>
      <c r="V12" s="2027"/>
    </row>
    <row r="13" spans="1:22" ht="13.8">
      <c r="A13" s="3326"/>
      <c r="B13" s="3352"/>
      <c r="C13" s="3351"/>
      <c r="D13" s="3354"/>
      <c r="E13" s="260" t="s">
        <v>279</v>
      </c>
      <c r="F13" s="261"/>
      <c r="G13" s="261"/>
      <c r="H13" s="261"/>
      <c r="I13" s="262"/>
      <c r="J13" s="2028"/>
      <c r="K13" s="2027"/>
      <c r="L13" s="2027"/>
      <c r="M13" s="2027"/>
      <c r="N13" s="2027"/>
      <c r="O13" s="2027"/>
      <c r="P13" s="2027"/>
      <c r="Q13" s="2027"/>
      <c r="R13" s="2027"/>
      <c r="S13" s="2027"/>
      <c r="T13" s="2027"/>
      <c r="U13" s="2027"/>
      <c r="V13" s="2027"/>
    </row>
    <row r="14" spans="1:22" ht="13.8">
      <c r="A14" s="3326" t="s">
        <v>280</v>
      </c>
      <c r="B14" s="3352">
        <v>30</v>
      </c>
      <c r="C14" s="3350">
        <v>5</v>
      </c>
      <c r="D14" s="3354">
        <v>5</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6"/>
      <c r="B15" s="3352"/>
      <c r="C15" s="3353"/>
      <c r="D15" s="3354"/>
      <c r="E15" s="260" t="s">
        <v>282</v>
      </c>
      <c r="F15" s="261"/>
      <c r="G15" s="261"/>
      <c r="H15" s="261"/>
      <c r="I15" s="262"/>
      <c r="J15" s="2028"/>
      <c r="K15" s="2027"/>
      <c r="L15" s="2027"/>
      <c r="M15" s="2027"/>
      <c r="N15" s="2027"/>
      <c r="O15" s="2027"/>
      <c r="P15" s="2027"/>
      <c r="Q15" s="2027"/>
      <c r="R15" s="2027"/>
      <c r="S15" s="2027"/>
      <c r="T15" s="2027"/>
      <c r="U15" s="2027"/>
      <c r="V15" s="2027"/>
    </row>
    <row r="16" spans="1:22" ht="13.8">
      <c r="A16" s="3326"/>
      <c r="B16" s="3352"/>
      <c r="C16" s="3351"/>
      <c r="D16" s="3354"/>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34723</v>
      </c>
      <c r="D19" s="270">
        <f ca="1">SUMIF(INDIRECT("'"&amp;D4&amp;"'"&amp;"!A:A"),结果表!B19,INDIRECT("'"&amp;D4&amp;"'"&amp;"!B:B"))</f>
        <v>40187</v>
      </c>
      <c r="E19" s="267" t="s">
        <v>288</v>
      </c>
      <c r="F19" s="268" t="s">
        <v>287</v>
      </c>
      <c r="G19" s="271">
        <f ca="1">ROUND(C19*$C$18+D19*$D$18,0)</f>
        <v>37455</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2976</v>
      </c>
      <c r="D20" s="276">
        <f ca="1">SUMIF(INDIRECT("'"&amp;D4&amp;"'"&amp;"!A:A"),结果表!B20,INDIRECT("'"&amp;D4&amp;"'"&amp;"!B:B"))</f>
        <v>3444</v>
      </c>
      <c r="E20" s="273"/>
      <c r="F20" s="274" t="s">
        <v>290</v>
      </c>
      <c r="G20" s="277">
        <f ca="1">ROUND(C20*$C$18+D20*$D$18,0)</f>
        <v>3210</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10416</v>
      </c>
      <c r="D21" s="150">
        <f ca="1">SUMIF(INDIRECT("'"&amp;D4&amp;"'"&amp;"!A:A"),结果表!B21,INDIRECT("'"&amp;D4&amp;"'"&amp;"!B:B"))</f>
        <v>12055</v>
      </c>
      <c r="E21" s="273"/>
      <c r="F21" s="279" t="s">
        <v>292</v>
      </c>
      <c r="G21" s="281">
        <f ca="1">ROUND(C21*$C$18+D21*$D$18,0)</f>
        <v>11236</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0.15735967514327687</v>
      </c>
      <c r="E22" s="283"/>
      <c r="F22" s="284"/>
      <c r="G22" s="285">
        <f ca="1">ROUND(G19/('数据-汇总表'!D3/666.67),0)</f>
        <v>749</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32"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33"/>
      <c r="B25" s="1319" t="s">
        <v>296</v>
      </c>
      <c r="C25" s="289">
        <f>IF(B30=0,0,C30)</f>
        <v>0</v>
      </c>
      <c r="D25" s="290"/>
      <c r="E25" s="310"/>
      <c r="F25" s="310"/>
      <c r="G25" s="310"/>
      <c r="H25" s="310"/>
      <c r="I25" s="310"/>
      <c r="J25" s="2027"/>
      <c r="K25" s="1253" t="str">
        <f ca="1">项目基本情况!B16&amp;"国有建设用地使用权价格："&amp;O38&amp;"万元"</f>
        <v>出让国有建设用地使用权价格：37455万元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大写金额：人民币叁亿柒仟肆佰伍拾伍万元整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c r="E27" s="310"/>
      <c r="F27" s="310"/>
      <c r="G27" s="310"/>
      <c r="H27" s="310"/>
      <c r="I27" s="310"/>
      <c r="J27" s="2027"/>
      <c r="K27" s="1256" t="str">
        <f ca="1">"单位面积地价："&amp;M38&amp;"元/平方米"</f>
        <v>单位面积地价：11236元/平方米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楼面地价：3210元/平方米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抵押价格：37455万元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大写金额：人民币叁亿柒仟肆佰伍拾伍万元整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37455</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3210</v>
      </c>
      <c r="D33" s="1383" t="s">
        <v>1653</v>
      </c>
      <c r="E33" s="3332"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11236</v>
      </c>
      <c r="D34" s="1385" t="s">
        <v>1653</v>
      </c>
      <c r="E34" s="3373"/>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749</v>
      </c>
      <c r="D35" s="1388" t="s">
        <v>1655</v>
      </c>
      <c r="E35" s="3374"/>
      <c r="F35" s="300" t="s">
        <v>307</v>
      </c>
      <c r="G35" s="980"/>
      <c r="H35" s="979" t="s">
        <v>308</v>
      </c>
      <c r="I35" s="310"/>
      <c r="J35" s="2027"/>
      <c r="K35" s="3347" t="s">
        <v>315</v>
      </c>
      <c r="L35" s="3347" t="s">
        <v>316</v>
      </c>
      <c r="M35" s="1262" t="s">
        <v>317</v>
      </c>
      <c r="N35" s="3347" t="s">
        <v>318</v>
      </c>
      <c r="O35" s="3347" t="s">
        <v>319</v>
      </c>
      <c r="P35" s="2027"/>
      <c r="V35" s="2027"/>
    </row>
    <row r="36" spans="1:26" ht="16.5" customHeight="1">
      <c r="A36" s="302" t="s">
        <v>309</v>
      </c>
      <c r="B36" s="303" t="s">
        <v>298</v>
      </c>
      <c r="C36" s="304" t="s">
        <v>310</v>
      </c>
      <c r="D36" s="304" t="s">
        <v>311</v>
      </c>
      <c r="E36" s="305" t="s">
        <v>312</v>
      </c>
      <c r="F36" s="310"/>
      <c r="G36" s="310"/>
      <c r="H36" s="310"/>
      <c r="I36" s="310"/>
      <c r="J36" s="2029"/>
      <c r="K36" s="3348"/>
      <c r="L36" s="3348"/>
      <c r="M36" s="1264" t="s">
        <v>320</v>
      </c>
      <c r="N36" s="3348"/>
      <c r="O36" s="3348"/>
      <c r="P36" s="2027"/>
      <c r="V36" s="2027"/>
    </row>
    <row r="37" spans="1:26" ht="16.5" customHeight="1" thickBot="1">
      <c r="A37" s="1258" t="s">
        <v>313</v>
      </c>
      <c r="B37" s="306"/>
      <c r="C37" s="293"/>
      <c r="D37" s="293"/>
      <c r="E37" s="294"/>
      <c r="F37" s="310"/>
      <c r="G37" s="310"/>
      <c r="H37" s="310"/>
      <c r="I37" s="310"/>
      <c r="J37" s="2029"/>
      <c r="K37" s="3349"/>
      <c r="L37" s="3349"/>
      <c r="M37" s="1265"/>
      <c r="N37" s="3349"/>
      <c r="O37" s="3349"/>
      <c r="P37" s="2027"/>
      <c r="V37" s="2027"/>
    </row>
    <row r="38" spans="1:26" ht="16.5" customHeight="1" thickBot="1">
      <c r="A38" s="1258" t="s">
        <v>314</v>
      </c>
      <c r="B38" s="306"/>
      <c r="C38" s="293"/>
      <c r="D38" s="293"/>
      <c r="E38" s="294"/>
      <c r="F38" s="310"/>
      <c r="G38" s="310"/>
      <c r="H38" s="310"/>
      <c r="I38" s="310"/>
      <c r="J38" s="2029"/>
      <c r="K38" s="1266">
        <f>'数据-汇总表'!D3</f>
        <v>33335.9</v>
      </c>
      <c r="L38" s="1267">
        <f>'数据-汇总表'!E3</f>
        <v>116675.65000000001</v>
      </c>
      <c r="M38" s="1267">
        <f ca="1">C34</f>
        <v>11236</v>
      </c>
      <c r="N38" s="1267">
        <f ca="1">C33</f>
        <v>3210</v>
      </c>
      <c r="O38" s="1268">
        <f ca="1">C32</f>
        <v>37455</v>
      </c>
      <c r="P38" s="2027"/>
      <c r="V38" s="2027"/>
    </row>
    <row r="39" spans="1:26" ht="16.5" customHeight="1" thickBot="1">
      <c r="A39" s="1263"/>
      <c r="B39" s="307"/>
      <c r="C39" s="308"/>
      <c r="D39" s="308"/>
      <c r="E39" s="309"/>
      <c r="F39" s="310"/>
      <c r="G39" s="310"/>
      <c r="H39" s="310"/>
      <c r="I39" s="310"/>
      <c r="J39" s="2029"/>
      <c r="K39" s="3392" t="str">
        <f>MID(A44,3,LEN(A44)-2)</f>
        <v>抵押价格</v>
      </c>
      <c r="L39" s="3393"/>
      <c r="M39" s="3393"/>
      <c r="N39" s="3394"/>
      <c r="O39" s="1390">
        <f ca="1">C44</f>
        <v>37455</v>
      </c>
      <c r="P39" s="2027"/>
      <c r="V39" s="2027"/>
    </row>
    <row r="40" spans="1:26" ht="18" thickBot="1">
      <c r="A40" s="103" t="s">
        <v>838</v>
      </c>
      <c r="B40" s="310"/>
      <c r="C40" s="310"/>
      <c r="D40" s="310"/>
      <c r="E40" s="310"/>
      <c r="F40" s="310"/>
      <c r="G40" s="310"/>
      <c r="H40" s="310"/>
      <c r="I40" s="310"/>
      <c r="J40" s="2029"/>
      <c r="K40" s="3392" t="str">
        <f t="shared" ref="K40:K41" si="0">MID(A45,3,LEN(A45)-2)</f>
        <v/>
      </c>
      <c r="L40" s="3393"/>
      <c r="M40" s="3393"/>
      <c r="N40" s="3394"/>
      <c r="O40" s="1390" t="str">
        <f>C45</f>
        <v>——</v>
      </c>
      <c r="P40" s="2027"/>
      <c r="V40" s="2027"/>
    </row>
    <row r="41" spans="1:26" ht="16.2" thickBot="1">
      <c r="A41" s="311" t="s">
        <v>321</v>
      </c>
      <c r="B41" s="312"/>
      <c r="C41" s="313" t="s">
        <v>322</v>
      </c>
      <c r="D41" s="314" t="s">
        <v>323</v>
      </c>
      <c r="E41" s="314" t="s">
        <v>324</v>
      </c>
      <c r="F41" s="315" t="s">
        <v>325</v>
      </c>
      <c r="G41" s="310"/>
      <c r="H41" s="310"/>
      <c r="I41" s="310"/>
      <c r="J41" s="2029"/>
      <c r="K41" s="3392" t="str">
        <f t="shared" si="0"/>
        <v/>
      </c>
      <c r="L41" s="3393"/>
      <c r="M41" s="3393"/>
      <c r="N41" s="3394"/>
      <c r="O41" s="1390" t="str">
        <f>C46</f>
        <v>——</v>
      </c>
      <c r="P41" s="2027"/>
      <c r="V41" s="2027"/>
    </row>
    <row r="42" spans="1:26" ht="31.2">
      <c r="A42" s="3334" t="s">
        <v>2029</v>
      </c>
      <c r="B42" s="3335"/>
      <c r="C42" s="263">
        <f ca="1">C32</f>
        <v>37455</v>
      </c>
      <c r="D42" s="316">
        <f ca="1">C33</f>
        <v>3210</v>
      </c>
      <c r="E42" s="316">
        <f ca="1">C34</f>
        <v>11236</v>
      </c>
      <c r="F42" s="317">
        <f ca="1">C35</f>
        <v>749</v>
      </c>
      <c r="G42" s="310"/>
      <c r="H42" s="310"/>
      <c r="I42" s="318"/>
      <c r="J42" s="2029"/>
      <c r="K42" s="1269" t="s">
        <v>326</v>
      </c>
      <c r="L42" s="2046" t="s">
        <v>327</v>
      </c>
      <c r="M42" s="1270" t="s">
        <v>328</v>
      </c>
      <c r="N42" s="2047" t="s">
        <v>329</v>
      </c>
      <c r="O42" s="2048" t="s">
        <v>330</v>
      </c>
      <c r="P42" s="2027"/>
      <c r="V42" s="2027"/>
    </row>
    <row r="43" spans="1:26" ht="30">
      <c r="A43" s="3345" t="s">
        <v>2692</v>
      </c>
      <c r="B43" s="3346"/>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34723</v>
      </c>
      <c r="M43" s="1273">
        <f>C18</f>
        <v>0.5</v>
      </c>
      <c r="N43" s="1274">
        <f ca="1">IF(N42="测算结果/万元",G19,G20)</f>
        <v>37455</v>
      </c>
      <c r="O43" s="1275">
        <f ca="1">IF(O42="最终结果/万元",C32,C33)</f>
        <v>37455</v>
      </c>
      <c r="P43" s="2027"/>
      <c r="V43" s="2027"/>
    </row>
    <row r="44" spans="1:26" ht="30.6" thickBot="1">
      <c r="A44" s="3334" t="str">
        <f>IF(OR(项目基本情况!E8="抵押价格",项目基本情况!E8="已注销及未注销"),"3.抵押价格","——")</f>
        <v>3.抵押价格</v>
      </c>
      <c r="B44" s="3335"/>
      <c r="C44" s="263">
        <f ca="1">IF(A44="——","——",C42-C43)</f>
        <v>37455</v>
      </c>
      <c r="D44" s="316">
        <f ca="1">ROUND(C44*10000/'数据-汇总表'!E3,0)</f>
        <v>3210</v>
      </c>
      <c r="E44" s="316">
        <f ca="1">ROUND(C44*10000/'数据-汇总表'!D3,0)</f>
        <v>11236</v>
      </c>
      <c r="F44" s="317">
        <f ca="1">ROUND(C44/('数据-汇总表'!D3/666.67),0)</f>
        <v>749</v>
      </c>
      <c r="G44" s="310"/>
      <c r="H44" s="310"/>
      <c r="I44" s="318"/>
      <c r="J44" s="2029"/>
      <c r="K44" s="1276" t="str">
        <f>D4</f>
        <v>剩余法-待开发</v>
      </c>
      <c r="L44" s="1277">
        <f ca="1">IF(L42="估价结果/万元",D19,D20)</f>
        <v>40187</v>
      </c>
      <c r="M44" s="1278">
        <f>D18</f>
        <v>0.5</v>
      </c>
      <c r="N44" s="1279"/>
      <c r="O44" s="1280"/>
      <c r="P44" s="2027"/>
      <c r="V44" s="2027"/>
    </row>
    <row r="45" spans="1:26" ht="13.8">
      <c r="A45" s="3340" t="str">
        <f>IF(项目基本情况!E8="已注销及未注销","4.抵押担保权已注销时的抵押价格",IF(项目基本情况!E8="已注销","3.抵押担保权已注销时的抵押价格","——"))</f>
        <v>——</v>
      </c>
      <c r="B45" s="334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36" t="str">
        <f>IF(项目基本情况!E9="抵押净值",IF(A45="——","4.抵押净值","5.抵押净值"),"——")</f>
        <v>——</v>
      </c>
      <c r="B46" s="3337"/>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81" t="s">
        <v>339</v>
      </c>
      <c r="B63" s="3382"/>
      <c r="C63" s="3383"/>
      <c r="D63" s="340">
        <f ca="1">ROUND(C42*F63,0)</f>
        <v>37455</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42" t="s">
        <v>343</v>
      </c>
      <c r="B64" s="3343"/>
      <c r="C64" s="3343"/>
      <c r="D64" s="3343"/>
      <c r="E64" s="3343"/>
      <c r="F64" s="3343"/>
      <c r="G64" s="3344"/>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38" t="s">
        <v>351</v>
      </c>
      <c r="B66" s="3339"/>
      <c r="C66" s="3339"/>
      <c r="D66" s="260">
        <f ca="1">IF(H66="情况1",0,IF(H66="情况2",D70,IF(H66="情况3",D71,IF(H66="情况4",D72))))</f>
        <v>1998</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396" t="s">
        <v>350</v>
      </c>
      <c r="M66" s="3397"/>
      <c r="N66" s="2457"/>
      <c r="O66" s="2458"/>
      <c r="P66" s="2459"/>
      <c r="Q66" s="2027"/>
      <c r="R66" s="2027"/>
      <c r="S66" s="2027"/>
      <c r="T66" s="2027"/>
      <c r="U66" s="2027"/>
      <c r="V66" s="2027"/>
    </row>
    <row r="67" spans="1:22" ht="25.5" customHeight="1">
      <c r="A67" s="351" t="s">
        <v>355</v>
      </c>
      <c r="B67" s="3329" t="s">
        <v>356</v>
      </c>
      <c r="C67" s="3329"/>
      <c r="D67" s="352">
        <v>0</v>
      </c>
      <c r="E67" s="40" t="s">
        <v>357</v>
      </c>
      <c r="F67" s="61" t="s">
        <v>20</v>
      </c>
      <c r="G67" s="3384"/>
      <c r="H67" s="310"/>
      <c r="I67" s="1290"/>
      <c r="J67" s="2034"/>
      <c r="K67" s="1975">
        <v>2</v>
      </c>
      <c r="L67" s="3395" t="s">
        <v>354</v>
      </c>
      <c r="M67" s="3395"/>
      <c r="N67" s="1323">
        <f>'数据-取费表'!B2</f>
        <v>43718</v>
      </c>
      <c r="O67" s="1323"/>
      <c r="P67" s="1323"/>
      <c r="Q67" s="2027"/>
      <c r="R67" s="2027"/>
      <c r="S67" s="2027"/>
      <c r="T67" s="2027"/>
      <c r="U67" s="2027"/>
      <c r="V67" s="2027"/>
    </row>
    <row r="68" spans="1:22" ht="25.5" customHeight="1">
      <c r="A68" s="353"/>
      <c r="B68" s="3329" t="s">
        <v>359</v>
      </c>
      <c r="C68" s="3329"/>
      <c r="D68" s="354"/>
      <c r="E68" s="76"/>
      <c r="F68" s="355"/>
      <c r="G68" s="3385"/>
      <c r="H68" s="310"/>
      <c r="I68" s="1290"/>
      <c r="J68" s="2034"/>
      <c r="K68" s="1975">
        <v>3</v>
      </c>
      <c r="L68" s="3395" t="s">
        <v>358</v>
      </c>
      <c r="M68" s="3395"/>
      <c r="N68" s="1291">
        <f ca="1">C42</f>
        <v>37455</v>
      </c>
      <c r="O68" s="1291"/>
      <c r="P68" s="1291"/>
      <c r="Q68" s="2027"/>
      <c r="R68" s="2027"/>
      <c r="S68" s="2027"/>
      <c r="T68" s="2027"/>
      <c r="U68" s="2027"/>
      <c r="V68" s="2027"/>
    </row>
    <row r="69" spans="1:22" ht="12" customHeight="1">
      <c r="A69" s="356"/>
      <c r="B69" s="3329" t="s">
        <v>360</v>
      </c>
      <c r="C69" s="3329"/>
      <c r="D69" s="357"/>
      <c r="E69" s="72"/>
      <c r="F69" s="355"/>
      <c r="G69" s="3386"/>
      <c r="H69" s="310"/>
      <c r="I69" s="1290"/>
      <c r="J69" s="2034"/>
      <c r="K69" s="1292">
        <v>4</v>
      </c>
      <c r="L69" s="3400" t="s">
        <v>2845</v>
      </c>
      <c r="M69" s="3401"/>
      <c r="N69" s="1293">
        <f ca="1">C44</f>
        <v>37455</v>
      </c>
      <c r="O69" s="1293"/>
      <c r="P69" s="1293"/>
      <c r="Q69" s="2027"/>
      <c r="R69" s="2027"/>
      <c r="S69" s="2027"/>
      <c r="T69" s="2027"/>
      <c r="U69" s="2027"/>
      <c r="V69" s="2027"/>
    </row>
    <row r="70" spans="1:22" ht="24" customHeight="1">
      <c r="A70" s="358" t="s">
        <v>361</v>
      </c>
      <c r="B70" s="3329" t="s">
        <v>362</v>
      </c>
      <c r="C70" s="3329"/>
      <c r="D70" s="357">
        <f ca="1">ROUND(D63*'数据-取费表'!B41/(1+'数据-取费表'!C42),0)</f>
        <v>1998</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30" t="s">
        <v>370</v>
      </c>
      <c r="C71" s="3331"/>
      <c r="D71" s="357">
        <f ca="1">ROUND(D63*'数据-取费表'!B41/(1+'数据-取费表'!C42),0)</f>
        <v>1998</v>
      </c>
      <c r="E71" s="16" t="s">
        <v>363</v>
      </c>
      <c r="F71" s="359">
        <f>'数据-取费表'!B41</f>
        <v>5.6000000000000001E-2</v>
      </c>
      <c r="G71" s="360"/>
      <c r="H71" s="310"/>
      <c r="I71" s="1290"/>
      <c r="J71" s="2034"/>
      <c r="K71" s="3060" t="s">
        <v>364</v>
      </c>
      <c r="L71" s="3402" t="s">
        <v>365</v>
      </c>
      <c r="M71" s="3402"/>
      <c r="N71" s="3060" t="s">
        <v>366</v>
      </c>
      <c r="O71" s="3060" t="s">
        <v>367</v>
      </c>
      <c r="P71" s="3060" t="s">
        <v>368</v>
      </c>
      <c r="Q71" s="2027"/>
      <c r="R71" s="2027"/>
      <c r="S71" s="2027"/>
      <c r="T71" s="2027"/>
      <c r="U71" s="2027"/>
      <c r="V71" s="2027"/>
    </row>
    <row r="72" spans="1:22" ht="12" customHeight="1">
      <c r="A72" s="358" t="s">
        <v>372</v>
      </c>
      <c r="B72" s="3330" t="s">
        <v>373</v>
      </c>
      <c r="C72" s="3331"/>
      <c r="D72" s="357">
        <f ca="1">C86</f>
        <v>1886</v>
      </c>
      <c r="E72" s="72" t="s">
        <v>374</v>
      </c>
      <c r="F72" s="359">
        <f>'数据-取费表'!B41</f>
        <v>5.6000000000000001E-2</v>
      </c>
      <c r="G72" s="360"/>
      <c r="H72" s="1296"/>
      <c r="I72" s="1290"/>
      <c r="J72" s="2034"/>
      <c r="K72" s="1975">
        <v>1</v>
      </c>
      <c r="L72" s="3377" t="s">
        <v>371</v>
      </c>
      <c r="M72" s="3377"/>
      <c r="N72" s="1294">
        <f ca="1">D66</f>
        <v>1998</v>
      </c>
      <c r="O72" s="1858" t="str">
        <f>E66</f>
        <v>销售额×税（费）率</v>
      </c>
      <c r="P72" s="1295">
        <f>F66</f>
        <v>5.6000000000000001E-2</v>
      </c>
      <c r="Q72" s="2027"/>
      <c r="R72" s="2027"/>
      <c r="S72" s="2027"/>
      <c r="T72" s="2027"/>
      <c r="U72" s="2027"/>
      <c r="V72" s="2027"/>
    </row>
    <row r="73" spans="1:22" ht="24" customHeight="1">
      <c r="A73" s="3371" t="s">
        <v>376</v>
      </c>
      <c r="B73" s="3339"/>
      <c r="C73" s="3339"/>
      <c r="D73" s="361">
        <f>IF(H73="个人住宅",0,ROUND(D63*I73,0))</f>
        <v>0</v>
      </c>
      <c r="E73" s="16" t="s">
        <v>377</v>
      </c>
      <c r="F73" s="359" t="str">
        <f>IF(H73="正常",I73,"免征")</f>
        <v>免征</v>
      </c>
      <c r="G73" s="360"/>
      <c r="H73" s="190" t="s">
        <v>2417</v>
      </c>
      <c r="I73" s="359">
        <f>'数据-取费表'!B49</f>
        <v>5.0000000000000001E-4</v>
      </c>
      <c r="J73" s="2034"/>
      <c r="K73" s="1975">
        <v>2</v>
      </c>
      <c r="L73" s="3377" t="s">
        <v>375</v>
      </c>
      <c r="M73" s="3377"/>
      <c r="N73" s="1294">
        <f t="shared" ref="N73:P74" si="1">D73</f>
        <v>0</v>
      </c>
      <c r="O73" s="1858" t="str">
        <f t="shared" si="1"/>
        <v>销售额×税（费）率</v>
      </c>
      <c r="P73" s="1295" t="str">
        <f t="shared" si="1"/>
        <v>免征</v>
      </c>
      <c r="Q73" s="2027"/>
      <c r="R73" s="2027"/>
      <c r="S73" s="2027"/>
      <c r="T73" s="2027"/>
      <c r="U73" s="2027"/>
      <c r="V73" s="2027"/>
    </row>
    <row r="74" spans="1:22" ht="25.2">
      <c r="A74" s="3371" t="s">
        <v>380</v>
      </c>
      <c r="B74" s="3339"/>
      <c r="C74" s="3339"/>
      <c r="D74" s="361">
        <f ca="1">IF(H74="个人住宅",D75,D76)</f>
        <v>21199</v>
      </c>
      <c r="E74" s="16" t="s">
        <v>381</v>
      </c>
      <c r="F74" s="359" t="str">
        <f>IF(H74="正常",F76,"免征")</f>
        <v>——</v>
      </c>
      <c r="G74" s="981" t="s">
        <v>382</v>
      </c>
      <c r="H74" s="362" t="s">
        <v>378</v>
      </c>
      <c r="I74" s="41"/>
      <c r="J74" s="2034"/>
      <c r="K74" s="1975">
        <v>3</v>
      </c>
      <c r="L74" s="3377" t="s">
        <v>379</v>
      </c>
      <c r="M74" s="3377"/>
      <c r="N74" s="1294">
        <f t="shared" ca="1" si="1"/>
        <v>21199</v>
      </c>
      <c r="O74" s="1858" t="str">
        <f t="shared" si="1"/>
        <v>增值额×税（费）率</v>
      </c>
      <c r="P74" s="1297" t="str">
        <f t="shared" si="1"/>
        <v>——</v>
      </c>
      <c r="Q74" s="2027"/>
      <c r="R74" s="2027"/>
      <c r="S74" s="2027"/>
      <c r="T74" s="2027"/>
      <c r="U74" s="2027"/>
      <c r="V74" s="2027"/>
    </row>
    <row r="75" spans="1:22" ht="24">
      <c r="A75" s="358" t="s">
        <v>383</v>
      </c>
      <c r="B75" s="3327" t="s">
        <v>384</v>
      </c>
      <c r="C75" s="3357"/>
      <c r="D75" s="363">
        <v>0</v>
      </c>
      <c r="E75" s="40" t="s">
        <v>385</v>
      </c>
      <c r="F75" s="364"/>
      <c r="G75" s="360"/>
      <c r="H75" s="41"/>
      <c r="I75" s="41"/>
      <c r="J75" s="2034"/>
      <c r="K75" s="3053">
        <f>IF(H77="非个人房产","",4)</f>
        <v>4</v>
      </c>
      <c r="L75" s="3377" t="str">
        <f>IF(H77="非个人房产","——","个人所得税")</f>
        <v>个人所得税</v>
      </c>
      <c r="M75" s="3377"/>
      <c r="N75" s="1298">
        <f ca="1">D77</f>
        <v>375</v>
      </c>
      <c r="O75" s="1871" t="str">
        <f>E77</f>
        <v>销售额×税（费）率</v>
      </c>
      <c r="P75" s="1299">
        <f>F77</f>
        <v>0.01</v>
      </c>
      <c r="Q75" s="2027"/>
      <c r="R75" s="2027"/>
      <c r="S75" s="2027"/>
      <c r="T75" s="2027"/>
      <c r="U75" s="2027"/>
      <c r="V75" s="2027"/>
    </row>
    <row r="76" spans="1:22" ht="25.2">
      <c r="A76" s="358" t="s">
        <v>361</v>
      </c>
      <c r="B76" s="3327" t="s">
        <v>387</v>
      </c>
      <c r="C76" s="3328"/>
      <c r="D76" s="361">
        <f ca="1">IF(H76="转让取得",C99,C115)</f>
        <v>21199</v>
      </c>
      <c r="E76" s="16" t="s">
        <v>388</v>
      </c>
      <c r="F76" s="52" t="s">
        <v>20</v>
      </c>
      <c r="G76" s="360"/>
      <c r="H76" s="362" t="s">
        <v>389</v>
      </c>
      <c r="I76" s="41"/>
      <c r="J76" s="2034"/>
      <c r="K76" s="3053" t="str">
        <f>IF(项目基本情况!K6="上海银行",IF(K75="",4,K75+1),"")</f>
        <v/>
      </c>
      <c r="L76" s="3388" t="str">
        <f>IF(项目基本情况!K6="上海银行","其他处置费用","")</f>
        <v/>
      </c>
      <c r="M76" s="3389"/>
      <c r="N76" s="1294" t="str">
        <f>IF(项目基本情况!K6="上海银行",N89,"")</f>
        <v/>
      </c>
      <c r="O76" s="3390" t="str">
        <f>IF(项目基本情况!K6="上海银行","包含处置中涉及的律师、诉讼、拍卖、评估等费用","")</f>
        <v/>
      </c>
      <c r="P76" s="3391"/>
      <c r="Q76" s="2027"/>
      <c r="R76" s="2027"/>
      <c r="S76" s="2027"/>
      <c r="T76" s="2027"/>
      <c r="U76" s="2027"/>
      <c r="V76" s="2027"/>
    </row>
    <row r="77" spans="1:22" ht="27" thickBot="1">
      <c r="A77" s="3379" t="s">
        <v>391</v>
      </c>
      <c r="B77" s="3380"/>
      <c r="C77" s="3380"/>
      <c r="D77" s="365">
        <f ca="1">IF(H77="非个人房产","——",IF(H77="个人住宅",0,ROUND(D63*I77,0)))</f>
        <v>375</v>
      </c>
      <c r="E77" s="366" t="str">
        <f>IF(H77="非个人房产","——","销售额×税（费）率")</f>
        <v>销售额×税（费）率</v>
      </c>
      <c r="F77" s="367">
        <f>IF(H77="非个人房产","——",IF(H77="个人住宅","免征",I77))</f>
        <v>0.01</v>
      </c>
      <c r="G77" s="982" t="s">
        <v>382</v>
      </c>
      <c r="H77" s="362" t="s">
        <v>2846</v>
      </c>
      <c r="I77" s="368">
        <v>0.01</v>
      </c>
      <c r="J77" s="2034"/>
      <c r="K77" s="3378">
        <f>IF(AND(K75="",K76=""),4,IF(项目基本情况!K6="上海银行",K76+1,K75+1))</f>
        <v>5</v>
      </c>
      <c r="L77" s="3377" t="s">
        <v>2847</v>
      </c>
      <c r="M77" s="3059" t="s">
        <v>386</v>
      </c>
      <c r="N77" s="1300"/>
      <c r="O77" s="1301">
        <f ca="1">SUMIF(N72:N76,"&lt;9e307")</f>
        <v>23572</v>
      </c>
      <c r="P77" s="1302"/>
      <c r="Q77" s="3057">
        <f ca="1">O77/N69</f>
        <v>0.62934187691896948</v>
      </c>
      <c r="R77" s="2027"/>
      <c r="S77" s="2027"/>
      <c r="T77" s="2027"/>
      <c r="U77" s="2027"/>
      <c r="V77" s="2027"/>
    </row>
    <row r="78" spans="1:22" ht="12" customHeight="1">
      <c r="A78" s="1303"/>
      <c r="B78" s="310"/>
      <c r="C78" s="310"/>
      <c r="D78" s="310"/>
      <c r="E78" s="41"/>
      <c r="F78" s="41"/>
      <c r="G78" s="41"/>
      <c r="H78" s="1001"/>
      <c r="I78" s="310"/>
      <c r="J78" s="2034"/>
      <c r="K78" s="3378"/>
      <c r="L78" s="3377"/>
      <c r="M78" s="3059" t="s">
        <v>390</v>
      </c>
      <c r="N78" s="1300"/>
      <c r="O78" s="1301" t="str">
        <f ca="1">NUMBERSTRING(INT(O77*10000),2)&amp;"元整"</f>
        <v>贰亿叁仟伍佰柒拾贰万元整</v>
      </c>
      <c r="P78" s="1302"/>
      <c r="Q78" s="2027"/>
      <c r="R78" s="2027"/>
      <c r="S78" s="2027"/>
      <c r="T78" s="2027"/>
      <c r="U78" s="2027"/>
      <c r="V78" s="2027"/>
    </row>
    <row r="79" spans="1:22" ht="13.8" thickBot="1">
      <c r="A79" s="3372" t="s">
        <v>392</v>
      </c>
      <c r="B79" s="3372"/>
      <c r="C79" s="3372"/>
      <c r="D79" s="3372"/>
      <c r="E79" s="3372"/>
      <c r="F79" s="41"/>
      <c r="G79" s="41"/>
      <c r="H79" s="1001"/>
      <c r="I79" s="310"/>
      <c r="J79" s="2034"/>
      <c r="K79" s="3398">
        <f>K77+1</f>
        <v>6</v>
      </c>
      <c r="L79" s="3377" t="s">
        <v>2848</v>
      </c>
      <c r="M79" s="3059" t="s">
        <v>386</v>
      </c>
      <c r="N79" s="1300"/>
      <c r="O79" s="1301">
        <f ca="1">N69-O77</f>
        <v>13883</v>
      </c>
      <c r="P79" s="1302"/>
      <c r="Q79" s="2027"/>
      <c r="R79" s="2027"/>
      <c r="S79" s="2027"/>
      <c r="T79" s="2027"/>
      <c r="U79" s="2027"/>
      <c r="V79" s="2027"/>
    </row>
    <row r="80" spans="1:22" ht="26.4">
      <c r="A80" s="3367" t="s">
        <v>393</v>
      </c>
      <c r="B80" s="3368"/>
      <c r="C80" s="992"/>
      <c r="D80" s="992" t="s">
        <v>394</v>
      </c>
      <c r="E80" s="369" t="s">
        <v>395</v>
      </c>
      <c r="F80" s="41"/>
      <c r="G80" s="41"/>
      <c r="H80" s="1001"/>
      <c r="I80" s="310"/>
      <c r="J80" s="2027"/>
      <c r="K80" s="3399"/>
      <c r="L80" s="3377"/>
      <c r="M80" s="3059" t="s">
        <v>390</v>
      </c>
      <c r="N80" s="1300"/>
      <c r="O80" s="1301" t="str">
        <f ca="1">NUMBERSTRING(INT(O79*10000),2)&amp;"元整"</f>
        <v>壹亿叁仟捌佰捌拾叁万元整</v>
      </c>
      <c r="P80" s="1302"/>
      <c r="Q80" s="2027"/>
      <c r="R80" s="2027"/>
      <c r="S80" s="2027"/>
      <c r="T80" s="2027"/>
      <c r="U80" s="2027"/>
      <c r="V80" s="2027"/>
    </row>
    <row r="81" spans="1:26" ht="13.8" thickBot="1">
      <c r="A81" s="380" t="s">
        <v>1785</v>
      </c>
      <c r="B81" s="370" t="s">
        <v>396</v>
      </c>
      <c r="C81" s="371">
        <f ca="1">ROUND((C82+C83)/(1+'数据-取费表'!C42),0)</f>
        <v>35671</v>
      </c>
      <c r="D81" s="372"/>
      <c r="E81" s="373"/>
      <c r="F81" s="41"/>
      <c r="G81" s="41"/>
      <c r="H81" s="1001"/>
      <c r="I81" s="310"/>
      <c r="J81" s="2027"/>
      <c r="K81" s="3053">
        <f>K79+1</f>
        <v>7</v>
      </c>
      <c r="L81" s="3375" t="s">
        <v>2849</v>
      </c>
      <c r="M81" s="3376"/>
      <c r="N81" s="1304"/>
      <c r="O81" s="1305">
        <f ca="1">ROUND(O79*10000/'数据-汇总表'!E3,0)</f>
        <v>1190</v>
      </c>
      <c r="P81" s="1306"/>
      <c r="Q81" s="2027"/>
      <c r="R81" s="2027"/>
      <c r="S81" s="2027"/>
      <c r="T81" s="2027"/>
      <c r="U81" s="2027"/>
      <c r="V81" s="2027"/>
    </row>
    <row r="82" spans="1:26" ht="13.8" thickTop="1">
      <c r="A82" s="374" t="s">
        <v>1786</v>
      </c>
      <c r="B82" s="375" t="s">
        <v>397</v>
      </c>
      <c r="C82" s="376">
        <f ca="1">D63</f>
        <v>37455</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387" t="s">
        <v>2836</v>
      </c>
      <c r="L83" s="3065" t="s">
        <v>2837</v>
      </c>
      <c r="M83" s="3055">
        <f ca="1">IF(N69&gt;10000,N69*0.5%,IF(AND(N69&gt;1000,N69&lt;=10000),N69*1%,IF(AND(N69&gt;100,N69&lt;=1000),N69*3%,IF(AND(N69&gt;10,N69&lt;=100),N69*5%,N69*8%))))</f>
        <v>187.27500000000001</v>
      </c>
      <c r="N83" s="52">
        <f ca="1">ROUND(M83,1)</f>
        <v>187.3</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387"/>
      <c r="L84" s="3065" t="s">
        <v>2838</v>
      </c>
      <c r="M84" s="3055">
        <f ca="1">IF(N69&gt;2000,N69*0.5%,IF(AND(N69&gt;1000,N69&lt;=2000),N69*0.6%,IF(AND(N69&gt;500,N69&lt;=1000),N69*0.7%,IF(AND(N69&gt;200,N69&lt;=500),N69*0.8%,IF(AND(N69&gt;100,N69&lt;=200),N69*0.9%,IF(AND(N69&gt;50,N69&lt;=100),N69*1%,IF(AND(N69&gt;20,N69&lt;=50),N69*1.5%,IF(AND(N69&gt;10,N69&lt;=20),N69*2%,IF(AND(N69&gt;1,N69&lt;=10),N69*2.5%)))))))))</f>
        <v>187.27500000000001</v>
      </c>
      <c r="N84" s="52">
        <f t="shared" ref="N84:N85" ca="1" si="2">ROUND(M84,1)</f>
        <v>187.3</v>
      </c>
      <c r="O84" s="2027" t="s">
        <v>2839</v>
      </c>
      <c r="P84" s="2027"/>
      <c r="Q84" s="2027"/>
      <c r="R84" s="2027"/>
      <c r="S84" s="2027"/>
      <c r="T84" s="2027"/>
      <c r="U84" s="2027"/>
      <c r="V84" s="2027"/>
    </row>
    <row r="85" spans="1:26" ht="13.2">
      <c r="A85" s="380" t="s">
        <v>1789</v>
      </c>
      <c r="B85" s="381" t="s">
        <v>400</v>
      </c>
      <c r="C85" s="384">
        <f ca="1">C81-C84</f>
        <v>33671</v>
      </c>
      <c r="D85" s="377" t="s">
        <v>18</v>
      </c>
      <c r="E85" s="378"/>
      <c r="F85" s="41"/>
      <c r="G85" s="41"/>
      <c r="H85" s="1001"/>
      <c r="I85" s="310"/>
      <c r="J85" s="2027"/>
      <c r="K85" s="3387"/>
      <c r="L85" s="3065" t="s">
        <v>2840</v>
      </c>
      <c r="M85" s="3055">
        <f ca="1">IF(N69&gt;1000,N69*0.1%,IF(AND(N69&gt;500,N69&lt;=1000),N69*0.5%,IF(AND(N69&gt;50,N69&lt;=500),N69*1%,IF(AND(N69&gt;1,N69&lt;=50),N69*1.5%))))</f>
        <v>37.454999999999998</v>
      </c>
      <c r="N85" s="52">
        <f t="shared" ca="1" si="2"/>
        <v>37.5</v>
      </c>
      <c r="O85" s="2027" t="s">
        <v>2839</v>
      </c>
      <c r="P85" s="2027"/>
      <c r="Q85" s="2027"/>
      <c r="R85" s="2027"/>
      <c r="S85" s="2027"/>
      <c r="T85" s="2027"/>
      <c r="U85" s="2027"/>
      <c r="V85" s="2027"/>
    </row>
    <row r="86" spans="1:26" ht="13.8" thickBot="1">
      <c r="A86" s="385" t="s">
        <v>1790</v>
      </c>
      <c r="B86" s="386" t="s">
        <v>401</v>
      </c>
      <c r="C86" s="387">
        <f ca="1">IF(C85&lt;=0,0,ROUND(C85*D86,0))</f>
        <v>1886</v>
      </c>
      <c r="D86" s="388">
        <f>'数据-取费表'!B41</f>
        <v>5.6000000000000001E-2</v>
      </c>
      <c r="E86" s="389"/>
      <c r="F86" s="41"/>
      <c r="G86" s="41"/>
      <c r="H86" s="1001"/>
      <c r="I86" s="310"/>
      <c r="J86" s="2027"/>
      <c r="K86" s="3387"/>
      <c r="L86" s="3065" t="s">
        <v>2841</v>
      </c>
      <c r="M86" s="3055">
        <f ca="1">N69*0.5%</f>
        <v>187.27500000000001</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387"/>
      <c r="L87" s="3065" t="s">
        <v>2843</v>
      </c>
      <c r="M87" s="3055">
        <f ca="1">IF(N69&gt;=10000,(8.25+(N69-10000)*0.01%),IF(AND(N69&gt;=8000,N69&lt;10000),(7.85+(N69-8000)*0.02%),IF(AND(N69&gt;=5000,N69&lt;8000),(6.65+(N69-5000)*0.04%),IF(AND(N69&gt;=2000,N69&lt;5000),(4.25+(PN69-2000)*0.08%),IF(AND(N69&gt;=1000,N69&lt;2000),(2.75+(N69-1000)*0.15%),IF(AND(N69&gt;=100,N69&lt;1000),(0.5+(N69-100)*0.25%),IF(AND(N69&gt;0,N69&lt;100),N69*0.5%)))))))</f>
        <v>10.9955</v>
      </c>
      <c r="N87" s="52">
        <f ca="1">ROUND(M87*0.9,1)</f>
        <v>9.9</v>
      </c>
      <c r="O87" s="3058"/>
      <c r="P87" s="310"/>
      <c r="Q87" s="2027"/>
      <c r="R87" s="2027"/>
      <c r="S87" s="2027"/>
      <c r="T87" s="2027"/>
      <c r="U87" s="2027"/>
      <c r="V87" s="2027"/>
      <c r="W87" s="291"/>
      <c r="X87" s="291"/>
      <c r="Y87" s="291"/>
      <c r="Z87" s="291"/>
    </row>
    <row r="88" spans="1:26" s="1312" customFormat="1" ht="14.4" thickBot="1">
      <c r="A88" s="3369" t="s">
        <v>402</v>
      </c>
      <c r="B88" s="3370"/>
      <c r="C88" s="3370"/>
      <c r="D88" s="3370"/>
      <c r="E88" s="3370"/>
      <c r="F88" s="3370"/>
      <c r="G88" s="3370"/>
      <c r="H88" s="3370"/>
      <c r="I88" s="1313"/>
      <c r="J88" s="2035"/>
      <c r="K88" s="3387"/>
      <c r="L88" s="3065" t="s">
        <v>2844</v>
      </c>
      <c r="M88" s="3055">
        <f ca="1">IF(N69&gt;10000,N69*0.5%,IF(AND(N69&gt;5000,N69&lt;=10000),N69*1%,IF(AND(N69&gt;1000,N69&lt;=5000),N69*2%,IF(AND(N69&gt;200,N69&lt;=1000),N69*3%,N69*5%))))</f>
        <v>187.27500000000001</v>
      </c>
      <c r="N88" s="52">
        <f ca="1">ROUND(M88,1)</f>
        <v>187.3</v>
      </c>
      <c r="O88" s="3058"/>
      <c r="P88" s="10"/>
      <c r="Q88" s="2032"/>
      <c r="R88" s="2032"/>
      <c r="S88" s="2032"/>
      <c r="T88" s="2032"/>
      <c r="U88" s="2032"/>
      <c r="V88" s="2032"/>
      <c r="W88" s="2036"/>
      <c r="X88" s="2036"/>
      <c r="Y88" s="2036"/>
      <c r="Z88" s="2036"/>
    </row>
    <row r="89" spans="1:26" s="1312" customFormat="1" ht="13.8">
      <c r="A89" s="3367" t="s">
        <v>393</v>
      </c>
      <c r="B89" s="3368"/>
      <c r="C89" s="992"/>
      <c r="D89" s="992" t="s">
        <v>394</v>
      </c>
      <c r="E89" s="390" t="s">
        <v>403</v>
      </c>
      <c r="F89" s="391"/>
      <c r="G89" s="391"/>
      <c r="H89" s="392"/>
      <c r="I89" s="1314"/>
      <c r="J89" s="2037"/>
      <c r="K89" s="3387"/>
      <c r="L89" s="3065" t="s">
        <v>26</v>
      </c>
      <c r="M89" s="3056"/>
      <c r="N89" s="52">
        <f ca="1">ROUND(SUM(N83:N88),0)</f>
        <v>610</v>
      </c>
      <c r="O89" s="3066">
        <f ca="1">N89/N69</f>
        <v>1.6286210118809239E-2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35671</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2775</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30" t="s">
        <v>412</v>
      </c>
      <c r="F94" s="3329"/>
      <c r="G94" s="3329"/>
      <c r="H94" s="336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214</v>
      </c>
      <c r="D96" s="405">
        <f>'数据-取费表'!B43</f>
        <v>6.000000000000001E-3</v>
      </c>
      <c r="E96" s="3358" t="s">
        <v>2390</v>
      </c>
      <c r="F96" s="3359"/>
      <c r="G96" s="3359"/>
      <c r="H96" s="336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32896</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11.854414414414414</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18766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69" t="s">
        <v>419</v>
      </c>
      <c r="B101" s="3370"/>
      <c r="C101" s="3370"/>
      <c r="D101" s="3370"/>
      <c r="E101" s="3370"/>
      <c r="F101" s="3370"/>
      <c r="G101" s="3370"/>
      <c r="H101" s="3370"/>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67" t="s">
        <v>393</v>
      </c>
      <c r="B102" s="3368"/>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35671</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214</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61" t="s">
        <v>427</v>
      </c>
      <c r="F109" s="3359"/>
      <c r="G109" s="3359"/>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61" t="s">
        <v>429</v>
      </c>
      <c r="F110" s="3359"/>
      <c r="G110" s="3359"/>
      <c r="H110" s="3360"/>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214</v>
      </c>
      <c r="D111" s="405">
        <f>'数据-取费表'!B43</f>
        <v>6.000000000000001E-3</v>
      </c>
      <c r="E111" s="3358" t="s">
        <v>2390</v>
      </c>
      <c r="F111" s="3359"/>
      <c r="G111" s="3359"/>
      <c r="H111" s="3360"/>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61" t="s">
        <v>2415</v>
      </c>
      <c r="F112" s="3359"/>
      <c r="G112" s="3359"/>
      <c r="H112" s="3360"/>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35457</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165.68691588785046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21199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236" t="str">
        <f>项目基本情况!B1</f>
        <v>江苏省镇江市丹阳市北二环路（宗地代码321181403212GB00076）1宗城镇住宅用地出让国有建设用地使用权抵押价格预评估</v>
      </c>
      <c r="C37" s="3236"/>
      <c r="D37" s="3236"/>
      <c r="E37" s="3236"/>
      <c r="F37" s="3236"/>
      <c r="G37" s="3236"/>
      <c r="H37" s="3236"/>
      <c r="I37" s="3236"/>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吴薇、崔锴</v>
      </c>
    </row>
    <row r="47" spans="1:9">
      <c r="A47" s="1652"/>
      <c r="B47" s="1652"/>
    </row>
    <row r="48" spans="1:9">
      <c r="A48" s="1652" t="s">
        <v>1863</v>
      </c>
      <c r="B48" s="1652" t="s">
        <v>2010</v>
      </c>
    </row>
    <row r="49" spans="2:2">
      <c r="B49" s="165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M26" sqref="M26"/>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1">
      <c r="A2" s="422" t="s">
        <v>432</v>
      </c>
      <c r="B2" s="507">
        <f>F68</f>
        <v>34723</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1">
      <c r="A3" s="1377" t="s">
        <v>1646</v>
      </c>
      <c r="B3" s="509">
        <f>ROUND(B2*10000/'数据-汇总表'!E3,0)</f>
        <v>2976</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1">
      <c r="A4" s="510" t="s">
        <v>485</v>
      </c>
      <c r="B4" s="426">
        <f>IF(B48="单位面积地价",C50,ROUND(B2*10000/'数据-汇总表'!D3,0))</f>
        <v>10416</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1.6" thickBot="1">
      <c r="A5" s="428"/>
      <c r="B5" s="429">
        <f>ROUND(B2/('数据-汇总表'!D3/666.67),0)</f>
        <v>694</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412" t="s">
        <v>487</v>
      </c>
      <c r="D6" s="3413"/>
      <c r="E6" s="3412" t="s">
        <v>488</v>
      </c>
      <c r="F6" s="3413"/>
      <c r="G6" s="3412" t="s">
        <v>489</v>
      </c>
      <c r="H6" s="3413"/>
      <c r="I6" s="3412" t="s">
        <v>490</v>
      </c>
      <c r="J6" s="3413"/>
      <c r="K6" s="513" t="s">
        <v>491</v>
      </c>
      <c r="L6" s="2131"/>
      <c r="M6" s="2131"/>
      <c r="N6" s="2131"/>
      <c r="O6" s="2133"/>
      <c r="P6" s="3414" t="s">
        <v>492</v>
      </c>
      <c r="Q6" s="3415"/>
      <c r="R6" s="3420" t="s">
        <v>488</v>
      </c>
      <c r="S6" s="3421"/>
      <c r="T6" s="3420" t="s">
        <v>489</v>
      </c>
      <c r="U6" s="3421"/>
      <c r="V6" s="3407" t="s">
        <v>490</v>
      </c>
      <c r="W6" s="3407"/>
      <c r="X6" s="1565"/>
      <c r="Y6" s="3420" t="s">
        <v>492</v>
      </c>
      <c r="Z6" s="3421"/>
      <c r="AA6" s="3409" t="s">
        <v>488</v>
      </c>
      <c r="AB6" s="3410" t="s">
        <v>489</v>
      </c>
      <c r="AC6" s="3409" t="s">
        <v>490</v>
      </c>
    </row>
    <row r="7" spans="1:30" ht="21">
      <c r="A7" s="514"/>
      <c r="B7" s="515"/>
      <c r="C7" s="3428" t="s">
        <v>3345</v>
      </c>
      <c r="D7" s="3429"/>
      <c r="E7" s="3428" t="str">
        <f>土地案例新!A8</f>
        <v>丹金路东侧,锦绣路西侧</v>
      </c>
      <c r="F7" s="3429"/>
      <c r="G7" s="3428" t="str">
        <f>土地案例新!A13</f>
        <v>水关路西侧</v>
      </c>
      <c r="H7" s="3429"/>
      <c r="I7" s="3428" t="str">
        <f>土地案例新!A16</f>
        <v>丝绸路南侧</v>
      </c>
      <c r="J7" s="3429"/>
      <c r="K7" s="513"/>
      <c r="L7" s="2132"/>
      <c r="M7" s="2131"/>
      <c r="N7" s="2131"/>
      <c r="O7" s="2133"/>
      <c r="P7" s="3416"/>
      <c r="Q7" s="3417"/>
      <c r="R7" s="3422"/>
      <c r="S7" s="3423"/>
      <c r="T7" s="3422"/>
      <c r="U7" s="3423"/>
      <c r="V7" s="3407"/>
      <c r="W7" s="3407"/>
      <c r="X7" s="1565"/>
      <c r="Y7" s="3422"/>
      <c r="Z7" s="3423"/>
      <c r="AA7" s="3410"/>
      <c r="AB7" s="3410"/>
      <c r="AC7" s="3410"/>
    </row>
    <row r="8" spans="1:30" ht="21.6" thickBot="1">
      <c r="A8" s="514"/>
      <c r="B8" s="515"/>
      <c r="C8" s="3426" t="s">
        <v>2992</v>
      </c>
      <c r="D8" s="3427"/>
      <c r="E8" s="3426" t="s">
        <v>2992</v>
      </c>
      <c r="F8" s="3427"/>
      <c r="G8" s="3426" t="s">
        <v>2992</v>
      </c>
      <c r="H8" s="3427"/>
      <c r="I8" s="3426" t="s">
        <v>2992</v>
      </c>
      <c r="J8" s="3427"/>
      <c r="K8" s="513" t="s">
        <v>493</v>
      </c>
      <c r="L8" s="2132"/>
      <c r="M8" s="2131"/>
      <c r="N8" s="2131"/>
      <c r="O8" s="2133"/>
      <c r="P8" s="3418"/>
      <c r="Q8" s="3419"/>
      <c r="R8" s="3422"/>
      <c r="S8" s="3423"/>
      <c r="T8" s="3424"/>
      <c r="U8" s="3425"/>
      <c r="V8" s="3407"/>
      <c r="W8" s="3407"/>
      <c r="X8" s="1565"/>
      <c r="Y8" s="3424"/>
      <c r="Z8" s="3425"/>
      <c r="AA8" s="3411"/>
      <c r="AB8" s="3411"/>
      <c r="AC8" s="3411"/>
    </row>
    <row r="9" spans="1:30" s="1218" customFormat="1" ht="21.6" thickBot="1">
      <c r="A9" s="2911"/>
      <c r="B9" s="2918" t="s">
        <v>494</v>
      </c>
      <c r="C9" s="2910">
        <f>'数据-取费表'!B2</f>
        <v>43718</v>
      </c>
      <c r="D9" s="519">
        <v>100</v>
      </c>
      <c r="E9" s="520" t="str">
        <f>土地案例新!AA8</f>
        <v>2019-04-08</v>
      </c>
      <c r="F9" s="521">
        <f>SUMIF(72:72,YEAR(E9)&amp;"-"&amp;INT((MONTH(E9)+2)/3),73:73)</f>
        <v>98</v>
      </c>
      <c r="G9" s="522" t="str">
        <f>土地案例新!AA13</f>
        <v>2018-06-28</v>
      </c>
      <c r="H9" s="519">
        <f>SUMIF(72:72,YEAR(G9)&amp;"-"&amp;INT((MONTH(G9)+2)/3),73:73)</f>
        <v>90</v>
      </c>
      <c r="I9" s="522" t="str">
        <f>土地案例新!AA16</f>
        <v>2018-06-28</v>
      </c>
      <c r="J9" s="519">
        <f>SUMIF(72:72,YEAR(I9)&amp;"-"&amp;INT((MONTH(I9)+2)/3),73:73)</f>
        <v>90</v>
      </c>
      <c r="K9" s="523"/>
      <c r="L9" s="2134"/>
      <c r="M9" s="2131"/>
      <c r="N9" s="2131"/>
      <c r="O9" s="2135"/>
      <c r="P9" s="3435" t="s">
        <v>495</v>
      </c>
      <c r="Q9" s="3437"/>
      <c r="R9" s="1566" t="s">
        <v>8</v>
      </c>
      <c r="S9" s="1567">
        <f t="shared" ref="S9:S17" si="0">F9</f>
        <v>98</v>
      </c>
      <c r="T9" s="1566" t="s">
        <v>8</v>
      </c>
      <c r="U9" s="1567">
        <f t="shared" ref="U9:U17" si="1">H9</f>
        <v>90</v>
      </c>
      <c r="V9" s="1566" t="s">
        <v>8</v>
      </c>
      <c r="W9" s="1567">
        <f t="shared" ref="W9:W17" si="2">J9</f>
        <v>90</v>
      </c>
      <c r="X9" s="1568"/>
      <c r="Y9" s="3435" t="s">
        <v>495</v>
      </c>
      <c r="Z9" s="3436"/>
      <c r="AA9" s="1569">
        <f>D9/F9</f>
        <v>1.0204081632653061</v>
      </c>
      <c r="AB9" s="1569">
        <f>D9/H9</f>
        <v>1.1111111111111112</v>
      </c>
      <c r="AC9" s="1569">
        <f>D9/J9</f>
        <v>1.1111111111111112</v>
      </c>
    </row>
    <row r="10" spans="1:30" s="1218" customFormat="1" ht="21.6" thickBot="1">
      <c r="A10" s="2912"/>
      <c r="B10" s="2919" t="s">
        <v>496</v>
      </c>
      <c r="C10" s="855" t="s">
        <v>497</v>
      </c>
      <c r="D10" s="519">
        <v>100</v>
      </c>
      <c r="E10" s="524" t="s">
        <v>2972</v>
      </c>
      <c r="F10" s="521">
        <f>SUMIF(75:75,E10,76:76)-SUMIF(75:75,C10,76:76)+100</f>
        <v>100</v>
      </c>
      <c r="G10" s="524" t="s">
        <v>2972</v>
      </c>
      <c r="H10" s="519">
        <f>SUMIF(75:75,G10,76:76)-SUMIF(75:75,C10,76:76)+100</f>
        <v>100</v>
      </c>
      <c r="I10" s="524" t="s">
        <v>2972</v>
      </c>
      <c r="J10" s="519">
        <f>SUMIF(75:75,I10,76:76)-SUMIF(75:75,C10,76:76)+100</f>
        <v>100</v>
      </c>
      <c r="K10" s="523"/>
      <c r="L10" s="2134"/>
      <c r="M10" s="2131"/>
      <c r="N10" s="2131"/>
      <c r="O10" s="2135"/>
      <c r="P10" s="3435" t="s">
        <v>498</v>
      </c>
      <c r="Q10" s="3436"/>
      <c r="R10" s="1566" t="s">
        <v>8</v>
      </c>
      <c r="S10" s="1567">
        <f t="shared" si="0"/>
        <v>100</v>
      </c>
      <c r="T10" s="1566" t="s">
        <v>8</v>
      </c>
      <c r="U10" s="1567">
        <f t="shared" si="1"/>
        <v>100</v>
      </c>
      <c r="V10" s="1566" t="s">
        <v>8</v>
      </c>
      <c r="W10" s="1567">
        <f t="shared" si="2"/>
        <v>100</v>
      </c>
      <c r="X10" s="1568"/>
      <c r="Y10" s="3435" t="s">
        <v>498</v>
      </c>
      <c r="Z10" s="3436"/>
      <c r="AA10" s="1569">
        <f t="shared" ref="AA10:AA47" si="3">D10/F10</f>
        <v>1</v>
      </c>
      <c r="AB10" s="1569">
        <f t="shared" ref="AB10:AB47" si="4">D10/H10</f>
        <v>1</v>
      </c>
      <c r="AC10" s="1569">
        <f t="shared" ref="AC10:AC47" si="5">D10/J10</f>
        <v>1</v>
      </c>
    </row>
    <row r="11" spans="1:30" s="1218" customFormat="1" ht="21">
      <c r="A11" s="2913"/>
      <c r="B11" s="2920" t="s">
        <v>2718</v>
      </c>
      <c r="C11" s="2907"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4"/>
      <c r="M11" s="2131"/>
      <c r="N11" s="2131"/>
      <c r="O11" s="2136"/>
      <c r="P11" s="3406" t="s">
        <v>500</v>
      </c>
      <c r="Q11" s="1149" t="str">
        <f t="shared" ref="Q11:Q17" si="6">B11</f>
        <v>用途</v>
      </c>
      <c r="R11" s="1566" t="s">
        <v>8</v>
      </c>
      <c r="S11" s="1567">
        <f t="shared" si="0"/>
        <v>100</v>
      </c>
      <c r="T11" s="1566" t="s">
        <v>8</v>
      </c>
      <c r="U11" s="1567">
        <f t="shared" si="1"/>
        <v>100</v>
      </c>
      <c r="V11" s="1566" t="s">
        <v>8</v>
      </c>
      <c r="W11" s="1567">
        <f t="shared" si="2"/>
        <v>100</v>
      </c>
      <c r="X11" s="1568"/>
      <c r="Y11" s="3352" t="s">
        <v>501</v>
      </c>
      <c r="Z11" s="1148" t="str">
        <f t="shared" ref="Z11:Z17" si="7">Q11</f>
        <v>用途</v>
      </c>
      <c r="AA11" s="1569">
        <f t="shared" si="3"/>
        <v>1</v>
      </c>
      <c r="AB11" s="1569">
        <f t="shared" si="4"/>
        <v>1</v>
      </c>
      <c r="AC11" s="1569">
        <f t="shared" si="5"/>
        <v>1</v>
      </c>
    </row>
    <row r="12" spans="1:30" s="1336" customFormat="1" ht="28.8">
      <c r="A12" s="2914"/>
      <c r="B12" s="2919" t="s">
        <v>2719</v>
      </c>
      <c r="C12" s="908">
        <f>项目基本情况!D19</f>
        <v>38.25</v>
      </c>
      <c r="D12" s="254">
        <v>100</v>
      </c>
      <c r="E12" s="528" t="s">
        <v>3257</v>
      </c>
      <c r="F12" s="254">
        <f>ROUND(100/'数据-取费表'!G16,0)</f>
        <v>111</v>
      </c>
      <c r="G12" s="529" t="s">
        <v>3257</v>
      </c>
      <c r="H12" s="254">
        <f>ROUND(100/'数据-取费表'!G16,0)</f>
        <v>111</v>
      </c>
      <c r="I12" s="529" t="s">
        <v>3257</v>
      </c>
      <c r="J12" s="254">
        <f>ROUND(100/'数据-取费表'!G16,0)</f>
        <v>111</v>
      </c>
      <c r="K12" s="530"/>
      <c r="L12" s="2137"/>
      <c r="M12" s="2131"/>
      <c r="N12" s="2131"/>
      <c r="O12" s="2138"/>
      <c r="P12" s="3406"/>
      <c r="Q12" s="1149" t="str">
        <f t="shared" si="6"/>
        <v>土地使用年限（年）</v>
      </c>
      <c r="R12" s="1566" t="s">
        <v>8</v>
      </c>
      <c r="S12" s="1567">
        <f t="shared" si="0"/>
        <v>111</v>
      </c>
      <c r="T12" s="1566" t="s">
        <v>8</v>
      </c>
      <c r="U12" s="1567">
        <f t="shared" si="1"/>
        <v>111</v>
      </c>
      <c r="V12" s="1566" t="s">
        <v>8</v>
      </c>
      <c r="W12" s="1567">
        <f t="shared" si="2"/>
        <v>111</v>
      </c>
      <c r="X12" s="1568"/>
      <c r="Y12" s="3352"/>
      <c r="Z12" s="1148" t="str">
        <f t="shared" si="7"/>
        <v>土地使用年限（年）</v>
      </c>
      <c r="AA12" s="1569">
        <f t="shared" si="3"/>
        <v>0.90090090090090091</v>
      </c>
      <c r="AB12" s="1569">
        <f t="shared" si="4"/>
        <v>0.90090090090090091</v>
      </c>
      <c r="AC12" s="1569">
        <f t="shared" si="5"/>
        <v>0.90090090090090091</v>
      </c>
    </row>
    <row r="13" spans="1:30" ht="21.6" thickBot="1">
      <c r="A13" s="2915"/>
      <c r="B13" s="2919" t="s">
        <v>2720</v>
      </c>
      <c r="C13" s="533">
        <f>'数据-汇总表'!I4</f>
        <v>3.5</v>
      </c>
      <c r="D13" s="254">
        <v>100</v>
      </c>
      <c r="E13" s="532">
        <v>2.5</v>
      </c>
      <c r="F13" s="254">
        <f>LOOKUP(E13,82:82,83:83)-LOOKUP(C13,82:82,83:83)+100</f>
        <v>105</v>
      </c>
      <c r="G13" s="533">
        <v>3.5</v>
      </c>
      <c r="H13" s="254">
        <f>LOOKUP(G13,82:82,83:83)-LOOKUP(C13,82:82,83:83)+100</f>
        <v>100</v>
      </c>
      <c r="I13" s="532">
        <v>2.5</v>
      </c>
      <c r="J13" s="254">
        <f>LOOKUP(I13,82:82,83:83)-LOOKUP(C13,82:82,83:83)+100</f>
        <v>105</v>
      </c>
      <c r="K13" s="534">
        <v>5</v>
      </c>
      <c r="L13" s="2139"/>
      <c r="M13" s="2131"/>
      <c r="N13" s="2131"/>
      <c r="O13" s="2140"/>
      <c r="P13" s="3406"/>
      <c r="Q13" s="1149" t="str">
        <f t="shared" si="6"/>
        <v>容积率</v>
      </c>
      <c r="R13" s="1566" t="s">
        <v>8</v>
      </c>
      <c r="S13" s="1567">
        <f t="shared" si="0"/>
        <v>105</v>
      </c>
      <c r="T13" s="1566" t="s">
        <v>8</v>
      </c>
      <c r="U13" s="1567">
        <f t="shared" si="1"/>
        <v>100</v>
      </c>
      <c r="V13" s="1566" t="s">
        <v>8</v>
      </c>
      <c r="W13" s="1567">
        <f t="shared" si="2"/>
        <v>105</v>
      </c>
      <c r="X13" s="1568"/>
      <c r="Y13" s="3352"/>
      <c r="Z13" s="1148" t="str">
        <f t="shared" si="7"/>
        <v>容积率</v>
      </c>
      <c r="AA13" s="1569">
        <f t="shared" si="3"/>
        <v>0.95238095238095233</v>
      </c>
      <c r="AB13" s="1569">
        <f t="shared" si="4"/>
        <v>1</v>
      </c>
      <c r="AC13" s="1569">
        <f t="shared" si="5"/>
        <v>0.95238095238095233</v>
      </c>
    </row>
    <row r="14" spans="1:30" s="1218" customFormat="1" ht="21" hidden="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06"/>
      <c r="Q14" s="1149" t="str">
        <f t="shared" si="6"/>
        <v>配建</v>
      </c>
      <c r="R14" s="1566" t="s">
        <v>8</v>
      </c>
      <c r="S14" s="1567">
        <f t="shared" si="0"/>
        <v>100</v>
      </c>
      <c r="T14" s="1566" t="s">
        <v>8</v>
      </c>
      <c r="U14" s="1567">
        <f t="shared" si="1"/>
        <v>100</v>
      </c>
      <c r="V14" s="1566" t="s">
        <v>8</v>
      </c>
      <c r="W14" s="1567">
        <f t="shared" si="2"/>
        <v>100</v>
      </c>
      <c r="X14" s="1568"/>
      <c r="Y14" s="3352"/>
      <c r="Z14" s="1148" t="str">
        <f t="shared" si="7"/>
        <v>配建</v>
      </c>
      <c r="AA14" s="1569">
        <f>D14/F14</f>
        <v>1</v>
      </c>
      <c r="AB14" s="1569">
        <f>D14/H14</f>
        <v>1</v>
      </c>
      <c r="AC14" s="1569">
        <f>D14/J14</f>
        <v>1</v>
      </c>
    </row>
    <row r="15" spans="1:30" ht="21"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06"/>
      <c r="Q15" s="1149">
        <f t="shared" si="6"/>
        <v>0</v>
      </c>
      <c r="R15" s="1566" t="s">
        <v>8</v>
      </c>
      <c r="S15" s="1567">
        <f t="shared" si="0"/>
        <v>100</v>
      </c>
      <c r="T15" s="1566" t="s">
        <v>8</v>
      </c>
      <c r="U15" s="1567">
        <f t="shared" si="1"/>
        <v>100</v>
      </c>
      <c r="V15" s="1566" t="s">
        <v>8</v>
      </c>
      <c r="W15" s="1567">
        <f t="shared" si="2"/>
        <v>100</v>
      </c>
      <c r="X15" s="1568"/>
      <c r="Y15" s="3352"/>
      <c r="Z15" s="1148">
        <f t="shared" si="7"/>
        <v>0</v>
      </c>
      <c r="AA15" s="1569">
        <f>D15/F15</f>
        <v>1</v>
      </c>
      <c r="AB15" s="1569">
        <f>D15/H15</f>
        <v>1</v>
      </c>
      <c r="AC15" s="1569">
        <f>D15/J15</f>
        <v>1</v>
      </c>
    </row>
    <row r="16" spans="1:30" ht="21.6"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06"/>
      <c r="Q16" s="1149">
        <f t="shared" si="6"/>
        <v>0</v>
      </c>
      <c r="R16" s="1566" t="s">
        <v>8</v>
      </c>
      <c r="S16" s="1567">
        <f t="shared" si="0"/>
        <v>100</v>
      </c>
      <c r="T16" s="1566" t="s">
        <v>8</v>
      </c>
      <c r="U16" s="1567">
        <f t="shared" si="1"/>
        <v>100</v>
      </c>
      <c r="V16" s="1566" t="s">
        <v>8</v>
      </c>
      <c r="W16" s="1567">
        <f t="shared" si="2"/>
        <v>100</v>
      </c>
      <c r="X16" s="1568"/>
      <c r="Y16" s="3352"/>
      <c r="Z16" s="1148">
        <f t="shared" si="7"/>
        <v>0</v>
      </c>
      <c r="AA16" s="1569">
        <f>D16/F16</f>
        <v>1</v>
      </c>
      <c r="AB16" s="1569">
        <f>D16/H16</f>
        <v>1</v>
      </c>
      <c r="AC16" s="1569">
        <f>D16/J16</f>
        <v>1</v>
      </c>
    </row>
    <row r="17" spans="1:29" ht="40.200000000000003" customHeight="1">
      <c r="A17" s="2909" t="s">
        <v>2716</v>
      </c>
      <c r="B17" s="577" t="s">
        <v>260</v>
      </c>
      <c r="C17" s="547" t="str">
        <f>估价对象房地状况!C15</f>
        <v>估价对象周边居住用地比例、居住小区规模和社区发展完善程度，综合评价居住社区成熟度一般</v>
      </c>
      <c r="D17" s="550">
        <v>100</v>
      </c>
      <c r="E17" s="551" t="s">
        <v>2973</v>
      </c>
      <c r="F17" s="548">
        <f>SUMIF(90:90,E18,91:91)-SUMIF(90:90,C18,91:91)+100</f>
        <v>100</v>
      </c>
      <c r="G17" s="551" t="s">
        <v>2973</v>
      </c>
      <c r="H17" s="548">
        <f>SUMIF(90:90,G18,91:91)-SUMIF(90:90,C18,91:91)+100</f>
        <v>102</v>
      </c>
      <c r="I17" s="551" t="s">
        <v>2973</v>
      </c>
      <c r="J17" s="548">
        <f>SUMIF(90:90,I18,91:91)-SUMIF(90:90,C18,91:91)+100</f>
        <v>102</v>
      </c>
      <c r="K17" s="534">
        <v>2</v>
      </c>
      <c r="L17" s="2141"/>
      <c r="M17" s="2131"/>
      <c r="N17" s="2131"/>
      <c r="O17" s="2140"/>
      <c r="P17" s="3438" t="s">
        <v>505</v>
      </c>
      <c r="Q17" s="1570" t="str">
        <f t="shared" si="6"/>
        <v>居住社区成熟度</v>
      </c>
      <c r="R17" s="1571" t="s">
        <v>8</v>
      </c>
      <c r="S17" s="1572">
        <f t="shared" si="0"/>
        <v>100</v>
      </c>
      <c r="T17" s="1571" t="s">
        <v>8</v>
      </c>
      <c r="U17" s="1572">
        <f t="shared" si="1"/>
        <v>102</v>
      </c>
      <c r="V17" s="1571" t="s">
        <v>8</v>
      </c>
      <c r="W17" s="1572">
        <f t="shared" si="2"/>
        <v>102</v>
      </c>
      <c r="X17" s="1565"/>
      <c r="Y17" s="3438" t="s">
        <v>505</v>
      </c>
      <c r="Z17" s="1573" t="str">
        <f t="shared" si="7"/>
        <v>居住社区成熟度</v>
      </c>
      <c r="AA17" s="1574">
        <f t="shared" si="3"/>
        <v>1</v>
      </c>
      <c r="AB17" s="1574">
        <f t="shared" si="4"/>
        <v>0.98039215686274506</v>
      </c>
      <c r="AC17" s="1574">
        <f t="shared" si="5"/>
        <v>0.98039215686274506</v>
      </c>
    </row>
    <row r="18" spans="1:29" ht="21">
      <c r="A18" s="531"/>
      <c r="B18" s="552"/>
      <c r="C18" s="553" t="s">
        <v>2999</v>
      </c>
      <c r="D18" s="556"/>
      <c r="E18" s="553" t="s">
        <v>2999</v>
      </c>
      <c r="F18" s="554"/>
      <c r="G18" s="557" t="s">
        <v>2949</v>
      </c>
      <c r="H18" s="558"/>
      <c r="I18" s="557" t="s">
        <v>2949</v>
      </c>
      <c r="J18" s="554"/>
      <c r="K18" s="530"/>
      <c r="L18" s="2141"/>
      <c r="M18" s="2131"/>
      <c r="N18" s="2131"/>
      <c r="O18" s="2140"/>
      <c r="P18" s="3439"/>
      <c r="Q18" s="1570"/>
      <c r="R18" s="1571"/>
      <c r="S18" s="1572"/>
      <c r="T18" s="1571"/>
      <c r="U18" s="1572"/>
      <c r="V18" s="1571"/>
      <c r="W18" s="1572"/>
      <c r="X18" s="1565"/>
      <c r="Y18" s="3439"/>
      <c r="Z18" s="1573"/>
      <c r="AA18" s="1574">
        <v>1</v>
      </c>
      <c r="AB18" s="1574">
        <v>1</v>
      </c>
      <c r="AC18" s="1574">
        <v>1</v>
      </c>
    </row>
    <row r="19" spans="1:29" ht="69" hidden="1">
      <c r="A19" s="531"/>
      <c r="B19" s="559" t="s">
        <v>506</v>
      </c>
      <c r="C19" s="560" t="str">
        <f>估价对象房地状况!C16</f>
        <v>估价对象位于XX商圈，周边商业氛围成熟，人流量大，商业繁华度好</v>
      </c>
      <c r="D19" s="562">
        <v>100</v>
      </c>
      <c r="E19" s="563" t="s">
        <v>2974</v>
      </c>
      <c r="F19" s="558">
        <f>SUMIF(92:92,E20,93:93)-SUMIF(92:92,C20,93:93)+100</f>
        <v>100</v>
      </c>
      <c r="G19" s="563" t="s">
        <v>2974</v>
      </c>
      <c r="H19" s="564">
        <f>SUMIF(92:92,G20,93:93)-SUMIF(92:92,C20,93:93)+100</f>
        <v>100</v>
      </c>
      <c r="I19" s="563" t="s">
        <v>2974</v>
      </c>
      <c r="J19" s="564">
        <f>SUMIF(92:92,I20,93:93)-SUMIF(92:92,C20,93:93)+100</f>
        <v>100</v>
      </c>
      <c r="K19" s="534"/>
      <c r="L19" s="2141"/>
      <c r="M19" s="2131"/>
      <c r="N19" s="2131"/>
      <c r="O19" s="2140"/>
      <c r="P19" s="3439"/>
      <c r="Q19" s="1570" t="str">
        <f>B19</f>
        <v>商业繁华度</v>
      </c>
      <c r="R19" s="1571" t="s">
        <v>8</v>
      </c>
      <c r="S19" s="1572">
        <f>F19</f>
        <v>100</v>
      </c>
      <c r="T19" s="1571" t="s">
        <v>8</v>
      </c>
      <c r="U19" s="1572">
        <f>H19</f>
        <v>100</v>
      </c>
      <c r="V19" s="1571" t="s">
        <v>8</v>
      </c>
      <c r="W19" s="1572">
        <f>J19</f>
        <v>100</v>
      </c>
      <c r="X19" s="1565"/>
      <c r="Y19" s="3439"/>
      <c r="Z19" s="1573" t="str">
        <f>Q19</f>
        <v>商业繁华度</v>
      </c>
      <c r="AA19" s="1574">
        <f t="shared" si="3"/>
        <v>1</v>
      </c>
      <c r="AB19" s="1574">
        <f t="shared" si="4"/>
        <v>1</v>
      </c>
      <c r="AC19" s="1574">
        <f t="shared" si="5"/>
        <v>1</v>
      </c>
    </row>
    <row r="20" spans="1:29" ht="21" hidden="1">
      <c r="A20" s="531"/>
      <c r="B20" s="565"/>
      <c r="C20" s="566"/>
      <c r="D20" s="562"/>
      <c r="E20" s="568"/>
      <c r="F20" s="558"/>
      <c r="G20" s="568"/>
      <c r="H20" s="554"/>
      <c r="I20" s="568"/>
      <c r="J20" s="554"/>
      <c r="K20" s="530"/>
      <c r="L20" s="2141"/>
      <c r="M20" s="2131"/>
      <c r="N20" s="2131"/>
      <c r="O20" s="2140"/>
      <c r="P20" s="3439"/>
      <c r="Q20" s="1570"/>
      <c r="R20" s="1571"/>
      <c r="S20" s="1572"/>
      <c r="T20" s="1571"/>
      <c r="U20" s="1572"/>
      <c r="V20" s="1571"/>
      <c r="W20" s="1572"/>
      <c r="X20" s="1565"/>
      <c r="Y20" s="3439"/>
      <c r="Z20" s="1573"/>
      <c r="AA20" s="1574">
        <v>1</v>
      </c>
      <c r="AB20" s="1574">
        <v>1</v>
      </c>
      <c r="AC20" s="1574">
        <v>1</v>
      </c>
    </row>
    <row r="21" spans="1:29" ht="69" hidden="1">
      <c r="A21" s="531"/>
      <c r="B21" s="559" t="s">
        <v>507</v>
      </c>
      <c r="C21" s="560" t="str">
        <f>估价对象房地状况!C17</f>
        <v>估价对象位于XX商圈，周边办公楼项目较多，入驻率高，办公集聚程度较好</v>
      </c>
      <c r="D21" s="570">
        <v>100</v>
      </c>
      <c r="E21" s="571" t="s">
        <v>2975</v>
      </c>
      <c r="F21" s="564">
        <f>SUMIF(94:94,E22,95:95)-SUMIF(94:94,C22,95:95)+100</f>
        <v>100</v>
      </c>
      <c r="G21" s="571" t="s">
        <v>2975</v>
      </c>
      <c r="H21" s="558">
        <f>SUMIF(94:94,G22,95:95)-SUMIF(94:94,C22,95:95)+100</f>
        <v>100</v>
      </c>
      <c r="I21" s="571" t="s">
        <v>2975</v>
      </c>
      <c r="J21" s="558">
        <f>SUMIF(94:94,I22,95:95)-SUMIF(94:94,C22,95:95)+100</f>
        <v>100</v>
      </c>
      <c r="K21" s="534"/>
      <c r="L21" s="2141"/>
      <c r="M21" s="2131"/>
      <c r="N21" s="2131"/>
      <c r="O21" s="2140"/>
      <c r="P21" s="3439"/>
      <c r="Q21" s="1570" t="str">
        <f>B21</f>
        <v>办公集聚程度</v>
      </c>
      <c r="R21" s="1571" t="s">
        <v>8</v>
      </c>
      <c r="S21" s="1572">
        <f>F21</f>
        <v>100</v>
      </c>
      <c r="T21" s="1571" t="s">
        <v>8</v>
      </c>
      <c r="U21" s="1572">
        <f>H21</f>
        <v>100</v>
      </c>
      <c r="V21" s="1571" t="s">
        <v>8</v>
      </c>
      <c r="W21" s="1572">
        <f>J21</f>
        <v>100</v>
      </c>
      <c r="X21" s="1565"/>
      <c r="Y21" s="3439"/>
      <c r="Z21" s="1573" t="str">
        <f>Q21</f>
        <v>办公集聚程度</v>
      </c>
      <c r="AA21" s="1574">
        <f t="shared" si="3"/>
        <v>1</v>
      </c>
      <c r="AB21" s="1574">
        <f t="shared" si="4"/>
        <v>1</v>
      </c>
      <c r="AC21" s="1574">
        <f t="shared" si="5"/>
        <v>1</v>
      </c>
    </row>
    <row r="22" spans="1:29" ht="21" hidden="1">
      <c r="A22" s="531"/>
      <c r="B22" s="565"/>
      <c r="C22" s="553"/>
      <c r="D22" s="556"/>
      <c r="E22" s="557"/>
      <c r="F22" s="554"/>
      <c r="G22" s="557"/>
      <c r="H22" s="554"/>
      <c r="I22" s="557"/>
      <c r="J22" s="554"/>
      <c r="K22" s="530"/>
      <c r="L22" s="2141"/>
      <c r="M22" s="2131"/>
      <c r="N22" s="2131"/>
      <c r="O22" s="2140"/>
      <c r="P22" s="3439"/>
      <c r="Q22" s="1570"/>
      <c r="R22" s="1571"/>
      <c r="S22" s="1572"/>
      <c r="T22" s="1571"/>
      <c r="U22" s="1572"/>
      <c r="V22" s="1571"/>
      <c r="W22" s="1572"/>
      <c r="X22" s="1565"/>
      <c r="Y22" s="3439"/>
      <c r="Z22" s="1573"/>
      <c r="AA22" s="1574">
        <v>1</v>
      </c>
      <c r="AB22" s="1574">
        <v>1</v>
      </c>
      <c r="AC22" s="1574">
        <v>1</v>
      </c>
    </row>
    <row r="23" spans="1:29" ht="31.2" customHeight="1">
      <c r="A23" s="531"/>
      <c r="B23" s="559" t="s">
        <v>508</v>
      </c>
      <c r="C23" s="572" t="str">
        <f>估价对象房地状况!C18</f>
        <v>估价对象周边道路状况、公共交通通达情况、停车便捷程度，综合评价交通便捷度较好</v>
      </c>
      <c r="D23" s="562">
        <v>100</v>
      </c>
      <c r="E23" s="563" t="s">
        <v>2976</v>
      </c>
      <c r="F23" s="564">
        <f>SUMIF(96:96,E24,97:97)-SUMIF(96:96,C24,97:97)+100</f>
        <v>102</v>
      </c>
      <c r="G23" s="563" t="s">
        <v>2976</v>
      </c>
      <c r="H23" s="558">
        <f>SUMIF(96:96,G24,97:97)-SUMIF(96:96,C24,97:97)+100</f>
        <v>102</v>
      </c>
      <c r="I23" s="563" t="s">
        <v>2976</v>
      </c>
      <c r="J23" s="558">
        <f>SUMIF(96:96,I24,97:97)-SUMIF(96:96,C24,97:97)+100</f>
        <v>102</v>
      </c>
      <c r="K23" s="534">
        <v>2</v>
      </c>
      <c r="L23" s="2141"/>
      <c r="M23" s="2131"/>
      <c r="N23" s="2131"/>
      <c r="O23" s="2140"/>
      <c r="P23" s="3439"/>
      <c r="Q23" s="1570" t="str">
        <f>B23</f>
        <v>交通便捷度</v>
      </c>
      <c r="R23" s="1571" t="s">
        <v>8</v>
      </c>
      <c r="S23" s="1572">
        <f>F23</f>
        <v>102</v>
      </c>
      <c r="T23" s="1571" t="s">
        <v>8</v>
      </c>
      <c r="U23" s="1572">
        <f>H23</f>
        <v>102</v>
      </c>
      <c r="V23" s="1571" t="s">
        <v>8</v>
      </c>
      <c r="W23" s="1572">
        <f>J23</f>
        <v>102</v>
      </c>
      <c r="X23" s="1565"/>
      <c r="Y23" s="3439"/>
      <c r="Z23" s="1573" t="str">
        <f>Q23</f>
        <v>交通便捷度</v>
      </c>
      <c r="AA23" s="1574">
        <f t="shared" si="3"/>
        <v>0.98039215686274506</v>
      </c>
      <c r="AB23" s="1574">
        <f t="shared" si="4"/>
        <v>0.98039215686274506</v>
      </c>
      <c r="AC23" s="1574">
        <f t="shared" si="5"/>
        <v>0.98039215686274506</v>
      </c>
    </row>
    <row r="24" spans="1:29" ht="21">
      <c r="A24" s="531"/>
      <c r="B24" s="577"/>
      <c r="C24" s="553" t="s">
        <v>2999</v>
      </c>
      <c r="D24" s="556"/>
      <c r="E24" s="557" t="s">
        <v>2949</v>
      </c>
      <c r="F24" s="554"/>
      <c r="G24" s="557" t="s">
        <v>2949</v>
      </c>
      <c r="H24" s="554"/>
      <c r="I24" s="557" t="s">
        <v>2949</v>
      </c>
      <c r="J24" s="554"/>
      <c r="K24" s="530"/>
      <c r="L24" s="2141"/>
      <c r="M24" s="2131"/>
      <c r="N24" s="2131"/>
      <c r="O24" s="2140"/>
      <c r="P24" s="3439"/>
      <c r="Q24" s="1570"/>
      <c r="R24" s="1571"/>
      <c r="S24" s="1572"/>
      <c r="T24" s="1571"/>
      <c r="U24" s="1572"/>
      <c r="V24" s="1571"/>
      <c r="W24" s="1572"/>
      <c r="X24" s="1565"/>
      <c r="Y24" s="3439"/>
      <c r="Z24" s="1573"/>
      <c r="AA24" s="1574">
        <v>1</v>
      </c>
      <c r="AB24" s="1574">
        <v>1</v>
      </c>
      <c r="AC24" s="1574">
        <v>1</v>
      </c>
    </row>
    <row r="25" spans="1:29" ht="28.8">
      <c r="A25" s="514"/>
      <c r="B25" s="258" t="s">
        <v>509</v>
      </c>
      <c r="C25" s="572" t="str">
        <f>估价对象房地状况!C19</f>
        <v>一般</v>
      </c>
      <c r="D25" s="562">
        <v>100</v>
      </c>
      <c r="E25" s="3235" t="s">
        <v>3347</v>
      </c>
      <c r="F25" s="564">
        <f>SUMIF(98:98,E26,99:99)-SUMIF(98:98,C26,99:99)+100</f>
        <v>102</v>
      </c>
      <c r="G25" s="3235" t="s">
        <v>3347</v>
      </c>
      <c r="H25" s="558">
        <f>SUMIF(98:98,G26,99:99)-SUMIF(98:98,C26,99:99)+100</f>
        <v>102</v>
      </c>
      <c r="I25" s="3235" t="s">
        <v>3347</v>
      </c>
      <c r="J25" s="558">
        <f>SUMIF(98:98,I26,99:99)-SUMIF(98:98,C26,99:99)+100</f>
        <v>102</v>
      </c>
      <c r="K25" s="534">
        <v>2</v>
      </c>
      <c r="L25" s="2141"/>
      <c r="M25" s="2131"/>
      <c r="N25" s="2131"/>
      <c r="O25" s="2140"/>
      <c r="P25" s="3439"/>
      <c r="Q25" s="1570" t="str">
        <f t="shared" ref="Q25:Q39" si="8">B25</f>
        <v>区域土地利用方向</v>
      </c>
      <c r="R25" s="1571" t="s">
        <v>8</v>
      </c>
      <c r="S25" s="1572">
        <f>F25</f>
        <v>102</v>
      </c>
      <c r="T25" s="1571" t="s">
        <v>8</v>
      </c>
      <c r="U25" s="1572">
        <f>H25</f>
        <v>102</v>
      </c>
      <c r="V25" s="1571" t="s">
        <v>8</v>
      </c>
      <c r="W25" s="1572">
        <f>J25</f>
        <v>102</v>
      </c>
      <c r="X25" s="1565"/>
      <c r="Y25" s="3439"/>
      <c r="Z25" s="1573" t="str">
        <f>Q25</f>
        <v>区域土地利用方向</v>
      </c>
      <c r="AA25" s="1574">
        <f t="shared" si="3"/>
        <v>0.98039215686274506</v>
      </c>
      <c r="AB25" s="1574">
        <f t="shared" si="4"/>
        <v>0.98039215686274506</v>
      </c>
      <c r="AC25" s="1574">
        <f t="shared" si="5"/>
        <v>0.98039215686274506</v>
      </c>
    </row>
    <row r="26" spans="1:29" ht="21">
      <c r="A26" s="514"/>
      <c r="B26" s="1005"/>
      <c r="C26" s="553" t="s">
        <v>2999</v>
      </c>
      <c r="D26" s="556"/>
      <c r="E26" s="557" t="s">
        <v>2949</v>
      </c>
      <c r="F26" s="554"/>
      <c r="G26" s="557" t="s">
        <v>2949</v>
      </c>
      <c r="H26" s="554"/>
      <c r="I26" s="557" t="s">
        <v>2949</v>
      </c>
      <c r="J26" s="554"/>
      <c r="K26" s="530"/>
      <c r="L26" s="2141"/>
      <c r="M26" s="2131"/>
      <c r="N26" s="2131"/>
      <c r="O26" s="2140"/>
      <c r="P26" s="3439"/>
      <c r="Q26" s="1570"/>
      <c r="R26" s="1571"/>
      <c r="S26" s="1572"/>
      <c r="T26" s="1571"/>
      <c r="U26" s="1572"/>
      <c r="V26" s="1571"/>
      <c r="W26" s="1572"/>
      <c r="X26" s="1565"/>
      <c r="Y26" s="3439"/>
      <c r="Z26" s="1573"/>
      <c r="AA26" s="1574"/>
      <c r="AB26" s="1574"/>
      <c r="AC26" s="1574"/>
    </row>
    <row r="27" spans="1:29" ht="31.2" customHeight="1">
      <c r="A27" s="514"/>
      <c r="B27" s="577" t="s">
        <v>510</v>
      </c>
      <c r="C27" s="560" t="str">
        <f>估价对象房地状况!C20</f>
        <v>区域自然环境：；人文环境；综合评价环境状况一般</v>
      </c>
      <c r="D27" s="562">
        <v>100</v>
      </c>
      <c r="E27" s="563" t="s">
        <v>2977</v>
      </c>
      <c r="F27" s="558">
        <f>SUMIF(100:100,E28,101:101)-SUMIF(100:100,C28,101:101)+100</f>
        <v>101</v>
      </c>
      <c r="G27" s="563" t="s">
        <v>2977</v>
      </c>
      <c r="H27" s="558">
        <f>SUMIF(100:100,G28,101:101)-SUMIF(100:100,C28,101:101)+100</f>
        <v>101</v>
      </c>
      <c r="I27" s="563" t="s">
        <v>2977</v>
      </c>
      <c r="J27" s="558">
        <f>SUMIF(100:100,I28,101:101)-SUMIF(100:100,C28,101:101)+100</f>
        <v>101</v>
      </c>
      <c r="K27" s="534">
        <v>1</v>
      </c>
      <c r="L27" s="2141"/>
      <c r="M27" s="2131"/>
      <c r="N27" s="2131"/>
      <c r="O27" s="2140"/>
      <c r="P27" s="3439"/>
      <c r="Q27" s="1570" t="str">
        <f t="shared" si="8"/>
        <v>自然及人文环境状况</v>
      </c>
      <c r="R27" s="1571" t="s">
        <v>8</v>
      </c>
      <c r="S27" s="1572">
        <f>F27</f>
        <v>101</v>
      </c>
      <c r="T27" s="1571" t="s">
        <v>8</v>
      </c>
      <c r="U27" s="1572">
        <f>H27</f>
        <v>101</v>
      </c>
      <c r="V27" s="1571" t="s">
        <v>8</v>
      </c>
      <c r="W27" s="1572">
        <f>J27</f>
        <v>101</v>
      </c>
      <c r="X27" s="1565"/>
      <c r="Y27" s="3439"/>
      <c r="Z27" s="1573" t="str">
        <f>Q27</f>
        <v>自然及人文环境状况</v>
      </c>
      <c r="AA27" s="1574">
        <f t="shared" si="3"/>
        <v>0.99009900990099009</v>
      </c>
      <c r="AB27" s="1574">
        <f t="shared" si="4"/>
        <v>0.99009900990099009</v>
      </c>
      <c r="AC27" s="1574">
        <f t="shared" si="5"/>
        <v>0.99009900990099009</v>
      </c>
    </row>
    <row r="28" spans="1:29" ht="21">
      <c r="A28" s="514"/>
      <c r="B28" s="565"/>
      <c r="C28" s="553" t="s">
        <v>2999</v>
      </c>
      <c r="D28" s="556"/>
      <c r="E28" s="575" t="s">
        <v>2949</v>
      </c>
      <c r="F28" s="554"/>
      <c r="G28" s="575" t="s">
        <v>2949</v>
      </c>
      <c r="H28" s="554"/>
      <c r="I28" s="575" t="s">
        <v>2949</v>
      </c>
      <c r="J28" s="554"/>
      <c r="K28" s="530"/>
      <c r="L28" s="2141"/>
      <c r="M28" s="2131"/>
      <c r="N28" s="2131"/>
      <c r="O28" s="2140"/>
      <c r="P28" s="3439"/>
      <c r="Q28" s="1570"/>
      <c r="R28" s="1571"/>
      <c r="S28" s="1572"/>
      <c r="T28" s="1571"/>
      <c r="U28" s="1572"/>
      <c r="V28" s="1571"/>
      <c r="W28" s="1572"/>
      <c r="X28" s="1565"/>
      <c r="Y28" s="3439"/>
      <c r="Z28" s="1573"/>
      <c r="AA28" s="1574">
        <v>1</v>
      </c>
      <c r="AB28" s="1574">
        <v>1</v>
      </c>
      <c r="AC28" s="1574">
        <v>1</v>
      </c>
    </row>
    <row r="29" spans="1:29" s="1218" customFormat="1" ht="21.6" customHeight="1">
      <c r="A29" s="576"/>
      <c r="B29" s="2590" t="s">
        <v>2510</v>
      </c>
      <c r="C29" s="572" t="str">
        <f>估价对象房地状况!C21</f>
        <v>估价对象所在区域公共配套设施齐备情况</v>
      </c>
      <c r="D29" s="562">
        <v>100</v>
      </c>
      <c r="E29" s="563" t="s">
        <v>2978</v>
      </c>
      <c r="F29" s="558">
        <f>SUMIF(102:102,E30,103:103)-SUMIF(102:102,C30,103:103)+100</f>
        <v>101</v>
      </c>
      <c r="G29" s="563" t="s">
        <v>2978</v>
      </c>
      <c r="H29" s="558">
        <f>SUMIF(102:102,G30,103:103)-SUMIF(102:102,C30,103:103)+100</f>
        <v>101</v>
      </c>
      <c r="I29" s="563" t="s">
        <v>2978</v>
      </c>
      <c r="J29" s="558">
        <f>SUMIF(102:102,I30,103:103)-SUMIF(102:102,C30,103:103)+100</f>
        <v>101</v>
      </c>
      <c r="K29" s="534">
        <v>1</v>
      </c>
      <c r="L29" s="2134"/>
      <c r="M29" s="2131"/>
      <c r="N29" s="2131"/>
      <c r="O29" s="2136"/>
      <c r="P29" s="3439"/>
      <c r="Q29" s="1149" t="str">
        <f t="shared" si="8"/>
        <v>公共配套设施</v>
      </c>
      <c r="R29" s="1566" t="s">
        <v>8</v>
      </c>
      <c r="S29" s="1567">
        <f>F29</f>
        <v>101</v>
      </c>
      <c r="T29" s="1566" t="s">
        <v>8</v>
      </c>
      <c r="U29" s="1567">
        <f>H29</f>
        <v>101</v>
      </c>
      <c r="V29" s="1566" t="s">
        <v>8</v>
      </c>
      <c r="W29" s="1567">
        <f>J29</f>
        <v>101</v>
      </c>
      <c r="X29" s="1568"/>
      <c r="Y29" s="3439"/>
      <c r="Z29" s="1148" t="str">
        <f>Q29</f>
        <v>公共配套设施</v>
      </c>
      <c r="AA29" s="1574">
        <f>D29/F29</f>
        <v>0.99009900990099009</v>
      </c>
      <c r="AB29" s="1574">
        <f>D29/H29</f>
        <v>0.99009900990099009</v>
      </c>
      <c r="AC29" s="1574">
        <f>D29/J29</f>
        <v>0.99009900990099009</v>
      </c>
    </row>
    <row r="30" spans="1:29" s="1218" customFormat="1" ht="21">
      <c r="A30" s="576"/>
      <c r="B30" s="565"/>
      <c r="C30" s="578" t="s">
        <v>2999</v>
      </c>
      <c r="D30" s="556"/>
      <c r="E30" s="575" t="s">
        <v>2949</v>
      </c>
      <c r="F30" s="554"/>
      <c r="G30" s="575" t="s">
        <v>2949</v>
      </c>
      <c r="H30" s="554"/>
      <c r="I30" s="575" t="s">
        <v>2949</v>
      </c>
      <c r="J30" s="554"/>
      <c r="K30" s="530"/>
      <c r="L30" s="2134"/>
      <c r="M30" s="2131"/>
      <c r="N30" s="2131"/>
      <c r="O30" s="2136"/>
      <c r="P30" s="3439"/>
      <c r="Q30" s="1149"/>
      <c r="R30" s="1566"/>
      <c r="S30" s="1567"/>
      <c r="T30" s="1566"/>
      <c r="U30" s="1567"/>
      <c r="V30" s="1566"/>
      <c r="W30" s="1567"/>
      <c r="X30" s="1568"/>
      <c r="Y30" s="3439"/>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2979</v>
      </c>
      <c r="F31" s="558">
        <f>SUMIF(104:104,E32,105:105)-SUMIF(104:104,C32,105:105)+100</f>
        <v>100</v>
      </c>
      <c r="G31" s="563" t="s">
        <v>2979</v>
      </c>
      <c r="H31" s="558">
        <f>SUMIF(104:104,G32,105:105)-SUMIF(104:104,C32,105:105)+100</f>
        <v>100</v>
      </c>
      <c r="I31" s="563" t="s">
        <v>2979</v>
      </c>
      <c r="J31" s="558">
        <f>SUMIF(104:104,I32,105:105)-SUMIF(104:104,C32,105:105)+100</f>
        <v>100</v>
      </c>
      <c r="K31" s="534">
        <v>1</v>
      </c>
      <c r="L31" s="2134"/>
      <c r="M31" s="2131"/>
      <c r="N31" s="2131"/>
      <c r="O31" s="2136"/>
      <c r="P31" s="3439"/>
      <c r="Q31" s="2577" t="str">
        <f t="shared" ref="Q31" si="9">B31</f>
        <v>基础设施水平</v>
      </c>
      <c r="R31" s="1566" t="s">
        <v>8</v>
      </c>
      <c r="S31" s="1567">
        <f>F31</f>
        <v>100</v>
      </c>
      <c r="T31" s="1566" t="s">
        <v>8</v>
      </c>
      <c r="U31" s="1567">
        <f>H31</f>
        <v>100</v>
      </c>
      <c r="V31" s="1566" t="s">
        <v>8</v>
      </c>
      <c r="W31" s="1567">
        <f>J31</f>
        <v>100</v>
      </c>
      <c r="X31" s="1568"/>
      <c r="Y31" s="3439"/>
      <c r="Z31" s="2574" t="str">
        <f>Q31</f>
        <v>基础设施水平</v>
      </c>
      <c r="AA31" s="1574">
        <f>D31/F31</f>
        <v>1</v>
      </c>
      <c r="AB31" s="1574">
        <f>D31/H31</f>
        <v>1</v>
      </c>
      <c r="AC31" s="1574">
        <f>D31/J31</f>
        <v>1</v>
      </c>
    </row>
    <row r="32" spans="1:29" s="1218" customFormat="1" ht="21.6" thickBot="1">
      <c r="A32" s="576"/>
      <c r="B32" s="565"/>
      <c r="C32" s="578" t="s">
        <v>2950</v>
      </c>
      <c r="D32" s="556"/>
      <c r="E32" s="2591" t="s">
        <v>2950</v>
      </c>
      <c r="F32" s="554"/>
      <c r="G32" s="2591" t="s">
        <v>2950</v>
      </c>
      <c r="H32" s="554"/>
      <c r="I32" s="2591" t="s">
        <v>2950</v>
      </c>
      <c r="J32" s="554"/>
      <c r="K32" s="530"/>
      <c r="L32" s="2134"/>
      <c r="M32" s="2131"/>
      <c r="N32" s="2131"/>
      <c r="O32" s="2136"/>
      <c r="P32" s="3439"/>
      <c r="Q32" s="2577"/>
      <c r="R32" s="1566"/>
      <c r="S32" s="1567"/>
      <c r="T32" s="1566"/>
      <c r="U32" s="1567"/>
      <c r="V32" s="1566"/>
      <c r="W32" s="1567"/>
      <c r="X32" s="1568"/>
      <c r="Y32" s="3439"/>
      <c r="Z32" s="2574"/>
      <c r="AA32" s="1574">
        <v>1</v>
      </c>
      <c r="AB32" s="1574">
        <v>1</v>
      </c>
      <c r="AC32" s="1574">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43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9"/>
      <c r="Z33" s="1573" t="str">
        <f t="shared" ref="Z33:Z47" si="13">Q33</f>
        <v>临街状况</v>
      </c>
      <c r="AA33" s="1574">
        <f t="shared" si="3"/>
        <v>1</v>
      </c>
      <c r="AB33" s="1574">
        <f t="shared" si="4"/>
        <v>1</v>
      </c>
      <c r="AC33" s="1574">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439"/>
      <c r="Q34" s="1570" t="str">
        <f t="shared" si="8"/>
        <v>毗邻道路的类型与等级</v>
      </c>
      <c r="R34" s="1571" t="s">
        <v>8</v>
      </c>
      <c r="S34" s="1572">
        <f t="shared" si="10"/>
        <v>100</v>
      </c>
      <c r="T34" s="1571" t="s">
        <v>8</v>
      </c>
      <c r="U34" s="1572">
        <f t="shared" si="11"/>
        <v>100</v>
      </c>
      <c r="V34" s="1571" t="s">
        <v>8</v>
      </c>
      <c r="W34" s="1572">
        <f t="shared" si="12"/>
        <v>100</v>
      </c>
      <c r="X34" s="1565"/>
      <c r="Y34" s="3439"/>
      <c r="Z34" s="1573" t="str">
        <f t="shared" si="13"/>
        <v>毗邻道路的类型与等级</v>
      </c>
      <c r="AA34" s="1574">
        <f t="shared" si="3"/>
        <v>1</v>
      </c>
      <c r="AB34" s="1574">
        <f t="shared" si="4"/>
        <v>1</v>
      </c>
      <c r="AC34" s="1574">
        <f t="shared" si="5"/>
        <v>1</v>
      </c>
    </row>
    <row r="35" spans="1:29" ht="21" hidden="1">
      <c r="A35" s="531"/>
      <c r="B35" s="565"/>
      <c r="C35" s="553"/>
      <c r="D35" s="556"/>
      <c r="E35" s="575"/>
      <c r="F35" s="554"/>
      <c r="G35" s="575"/>
      <c r="H35" s="554"/>
      <c r="I35" s="575"/>
      <c r="J35" s="554"/>
      <c r="K35" s="580"/>
      <c r="L35" s="2141"/>
      <c r="M35" s="2131"/>
      <c r="N35" s="2131"/>
      <c r="O35" s="2140"/>
      <c r="P35" s="3439"/>
      <c r="Q35" s="1570"/>
      <c r="R35" s="1571"/>
      <c r="S35" s="1572"/>
      <c r="T35" s="1571"/>
      <c r="U35" s="1572"/>
      <c r="V35" s="1571"/>
      <c r="W35" s="1572"/>
      <c r="X35" s="1565"/>
      <c r="Y35" s="3439"/>
      <c r="Z35" s="1573"/>
      <c r="AA35" s="1574">
        <v>1</v>
      </c>
      <c r="AB35" s="1574">
        <v>1</v>
      </c>
      <c r="AC35" s="1574">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439"/>
      <c r="Q36" s="1570" t="str">
        <f t="shared" si="8"/>
        <v>土地级别</v>
      </c>
      <c r="R36" s="1571" t="s">
        <v>8</v>
      </c>
      <c r="S36" s="1572">
        <f t="shared" si="10"/>
        <v>100</v>
      </c>
      <c r="T36" s="1571" t="s">
        <v>8</v>
      </c>
      <c r="U36" s="1572">
        <f t="shared" si="11"/>
        <v>100</v>
      </c>
      <c r="V36" s="1571" t="s">
        <v>8</v>
      </c>
      <c r="W36" s="1572">
        <f t="shared" si="12"/>
        <v>100</v>
      </c>
      <c r="X36" s="1565"/>
      <c r="Y36" s="3439"/>
      <c r="Z36" s="1573" t="str">
        <f t="shared" si="13"/>
        <v>土地级别</v>
      </c>
      <c r="AA36" s="1574">
        <f t="shared" si="3"/>
        <v>1</v>
      </c>
      <c r="AB36" s="1574">
        <f t="shared" si="4"/>
        <v>1</v>
      </c>
      <c r="AC36" s="1574">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39"/>
      <c r="Q37" s="1570">
        <f t="shared" si="8"/>
        <v>0</v>
      </c>
      <c r="R37" s="1571" t="s">
        <v>8</v>
      </c>
      <c r="S37" s="1572">
        <f t="shared" si="10"/>
        <v>100</v>
      </c>
      <c r="T37" s="1571" t="s">
        <v>8</v>
      </c>
      <c r="U37" s="1572">
        <f t="shared" si="11"/>
        <v>100</v>
      </c>
      <c r="V37" s="1571" t="s">
        <v>8</v>
      </c>
      <c r="W37" s="1572">
        <f t="shared" si="12"/>
        <v>100</v>
      </c>
      <c r="X37" s="1565"/>
      <c r="Y37" s="3439"/>
      <c r="Z37" s="1573">
        <f t="shared" si="13"/>
        <v>0</v>
      </c>
      <c r="AA37" s="1574">
        <f t="shared" si="3"/>
        <v>1</v>
      </c>
      <c r="AB37" s="1574">
        <f t="shared" si="4"/>
        <v>1</v>
      </c>
      <c r="AC37" s="1574">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40" t="s">
        <v>515</v>
      </c>
      <c r="Q38" s="1570">
        <f t="shared" si="8"/>
        <v>0</v>
      </c>
      <c r="R38" s="1571" t="s">
        <v>8</v>
      </c>
      <c r="S38" s="1572">
        <f t="shared" si="10"/>
        <v>100</v>
      </c>
      <c r="T38" s="1571" t="s">
        <v>8</v>
      </c>
      <c r="U38" s="1572">
        <f t="shared" si="11"/>
        <v>100</v>
      </c>
      <c r="V38" s="1571" t="s">
        <v>8</v>
      </c>
      <c r="W38" s="1572">
        <f t="shared" si="12"/>
        <v>100</v>
      </c>
      <c r="X38" s="1565"/>
      <c r="Y38" s="3441" t="s">
        <v>515</v>
      </c>
      <c r="Z38" s="1573">
        <f t="shared" si="13"/>
        <v>0</v>
      </c>
      <c r="AA38" s="1574">
        <f t="shared" si="3"/>
        <v>1</v>
      </c>
      <c r="AB38" s="1574">
        <f t="shared" si="4"/>
        <v>1</v>
      </c>
      <c r="AC38" s="1574">
        <f t="shared" si="5"/>
        <v>1</v>
      </c>
    </row>
    <row r="39" spans="1:29" s="1337"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41"/>
      <c r="Q39" s="1570">
        <f t="shared" si="8"/>
        <v>0</v>
      </c>
      <c r="R39" s="1575" t="s">
        <v>8</v>
      </c>
      <c r="S39" s="1576">
        <f t="shared" si="10"/>
        <v>100</v>
      </c>
      <c r="T39" s="1575" t="s">
        <v>8</v>
      </c>
      <c r="U39" s="1576">
        <f t="shared" si="11"/>
        <v>100</v>
      </c>
      <c r="V39" s="1575" t="s">
        <v>8</v>
      </c>
      <c r="W39" s="1576">
        <f t="shared" si="12"/>
        <v>100</v>
      </c>
      <c r="X39" s="1577"/>
      <c r="Y39" s="3441"/>
      <c r="Z39" s="1578">
        <f t="shared" si="13"/>
        <v>0</v>
      </c>
      <c r="AA39" s="1574">
        <f t="shared" si="3"/>
        <v>1</v>
      </c>
      <c r="AB39" s="1574">
        <f t="shared" si="4"/>
        <v>1</v>
      </c>
      <c r="AC39" s="1574">
        <f t="shared" si="5"/>
        <v>1</v>
      </c>
    </row>
    <row r="40" spans="1:29" ht="21">
      <c r="A40" s="2906" t="s">
        <v>2717</v>
      </c>
      <c r="B40" s="594" t="s">
        <v>517</v>
      </c>
      <c r="C40" s="595">
        <f>'数据-基础表'!A3</f>
        <v>33335.9</v>
      </c>
      <c r="D40" s="596">
        <v>100</v>
      </c>
      <c r="E40" s="595">
        <f>土地案例新!J8</f>
        <v>49244</v>
      </c>
      <c r="F40" s="596">
        <f>LOOKUP(E40,119:119,120:120)-LOOKUP(C40,119:119,120:120)+100</f>
        <v>102</v>
      </c>
      <c r="G40" s="595">
        <f>土地案例新!J13</f>
        <v>2524</v>
      </c>
      <c r="H40" s="596">
        <f>LOOKUP(G40,119:119,120:120)-LOOKUP(C40,119:119,120:120)+100</f>
        <v>98</v>
      </c>
      <c r="I40" s="597">
        <f>土地案例新!J16</f>
        <v>10799</v>
      </c>
      <c r="J40" s="596">
        <f>LOOKUP(I40,119:119,120:120)-LOOKUP(C40,119:119,120:120)+100</f>
        <v>98</v>
      </c>
      <c r="K40" s="580"/>
      <c r="L40" s="2141"/>
      <c r="M40" s="2131"/>
      <c r="N40" s="2131"/>
      <c r="O40" s="2140"/>
      <c r="P40" s="3441"/>
      <c r="Q40" s="1570" t="str">
        <f>B40</f>
        <v>宗地面积</v>
      </c>
      <c r="R40" s="1571" t="s">
        <v>8</v>
      </c>
      <c r="S40" s="1572">
        <f t="shared" si="10"/>
        <v>102</v>
      </c>
      <c r="T40" s="1571" t="s">
        <v>8</v>
      </c>
      <c r="U40" s="1572">
        <f t="shared" si="11"/>
        <v>98</v>
      </c>
      <c r="V40" s="1571" t="s">
        <v>8</v>
      </c>
      <c r="W40" s="1572">
        <f t="shared" si="12"/>
        <v>98</v>
      </c>
      <c r="X40" s="1565"/>
      <c r="Y40" s="3441"/>
      <c r="Z40" s="1573" t="str">
        <f t="shared" si="13"/>
        <v>宗地面积</v>
      </c>
      <c r="AA40" s="1574">
        <f t="shared" si="3"/>
        <v>0.98039215686274506</v>
      </c>
      <c r="AB40" s="1574">
        <f t="shared" si="4"/>
        <v>1.0204081632653061</v>
      </c>
      <c r="AC40" s="1574">
        <f t="shared" si="5"/>
        <v>1.0204081632653061</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441"/>
      <c r="Q41" s="1570" t="str">
        <f t="shared" ref="Q41:Q47" si="14">B41</f>
        <v>宗地形状</v>
      </c>
      <c r="R41" s="1571" t="s">
        <v>8</v>
      </c>
      <c r="S41" s="1572">
        <f t="shared" si="10"/>
        <v>100</v>
      </c>
      <c r="T41" s="1571" t="s">
        <v>8</v>
      </c>
      <c r="U41" s="1572">
        <f t="shared" si="11"/>
        <v>100</v>
      </c>
      <c r="V41" s="1571" t="s">
        <v>8</v>
      </c>
      <c r="W41" s="1572">
        <f t="shared" si="12"/>
        <v>100</v>
      </c>
      <c r="X41" s="1565"/>
      <c r="Y41" s="3441"/>
      <c r="Z41" s="1573" t="str">
        <f t="shared" si="13"/>
        <v>宗地形状</v>
      </c>
      <c r="AA41" s="1574">
        <f t="shared" si="3"/>
        <v>1</v>
      </c>
      <c r="AB41" s="1574">
        <f t="shared" si="4"/>
        <v>1</v>
      </c>
      <c r="AC41" s="1574">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441"/>
      <c r="Q42" s="1570" t="str">
        <f t="shared" si="14"/>
        <v>临街宽度及深度</v>
      </c>
      <c r="R42" s="1571" t="s">
        <v>8</v>
      </c>
      <c r="S42" s="1572">
        <f t="shared" si="10"/>
        <v>100</v>
      </c>
      <c r="T42" s="1571" t="s">
        <v>8</v>
      </c>
      <c r="U42" s="1572">
        <f t="shared" si="11"/>
        <v>100</v>
      </c>
      <c r="V42" s="1571" t="s">
        <v>8</v>
      </c>
      <c r="W42" s="1572">
        <f t="shared" si="12"/>
        <v>100</v>
      </c>
      <c r="X42" s="1565"/>
      <c r="Y42" s="3441"/>
      <c r="Z42" s="1573" t="str">
        <f t="shared" si="13"/>
        <v>临街宽度及深度</v>
      </c>
      <c r="AA42" s="1574">
        <f t="shared" si="3"/>
        <v>1</v>
      </c>
      <c r="AB42" s="1574">
        <f t="shared" si="4"/>
        <v>1</v>
      </c>
      <c r="AC42" s="1574">
        <f t="shared" si="5"/>
        <v>1</v>
      </c>
    </row>
    <row r="43" spans="1:29" s="1218" customFormat="1" ht="21">
      <c r="A43" s="599"/>
      <c r="B43" s="1894" t="s">
        <v>2386</v>
      </c>
      <c r="C43" s="600" t="s">
        <v>3259</v>
      </c>
      <c r="D43" s="254">
        <v>100</v>
      </c>
      <c r="E43" s="600" t="s">
        <v>3259</v>
      </c>
      <c r="F43" s="539">
        <f>SUMIF(125:125,E43,126:126)-SUMIF(125:125,C43,126:126)+100</f>
        <v>100</v>
      </c>
      <c r="G43" s="600" t="s">
        <v>3259</v>
      </c>
      <c r="H43" s="539">
        <f>SUMIF(125:125,G43,126:126)-SUMIF(125:125,C43,126:126)+100</f>
        <v>100</v>
      </c>
      <c r="I43" s="600" t="s">
        <v>3259</v>
      </c>
      <c r="J43" s="539">
        <f>SUMIF(125:125,I43,126:126)-SUMIF(125:125,C43,126:126)+100</f>
        <v>100</v>
      </c>
      <c r="K43" s="583">
        <v>1</v>
      </c>
      <c r="L43" s="2134"/>
      <c r="M43" s="2131"/>
      <c r="N43" s="2131"/>
      <c r="O43" s="2136"/>
      <c r="P43" s="3441"/>
      <c r="Q43" s="1570" t="str">
        <f t="shared" si="14"/>
        <v>宗地开发程度</v>
      </c>
      <c r="R43" s="1566" t="s">
        <v>8</v>
      </c>
      <c r="S43" s="1567">
        <f t="shared" si="10"/>
        <v>100</v>
      </c>
      <c r="T43" s="1566" t="s">
        <v>8</v>
      </c>
      <c r="U43" s="1567">
        <f t="shared" si="11"/>
        <v>100</v>
      </c>
      <c r="V43" s="1566" t="s">
        <v>8</v>
      </c>
      <c r="W43" s="1567">
        <f t="shared" si="12"/>
        <v>100</v>
      </c>
      <c r="X43" s="1568"/>
      <c r="Y43" s="3441"/>
      <c r="Z43" s="1148" t="str">
        <f t="shared" si="13"/>
        <v>宗地开发程度</v>
      </c>
      <c r="AA43" s="1569">
        <f t="shared" si="3"/>
        <v>1</v>
      </c>
      <c r="AB43" s="1569">
        <f t="shared" si="4"/>
        <v>1</v>
      </c>
      <c r="AC43" s="1569">
        <f t="shared" si="5"/>
        <v>1</v>
      </c>
    </row>
    <row r="44" spans="1:29" ht="21.6" thickBot="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441" t="s">
        <v>515</v>
      </c>
      <c r="Q44" s="1570" t="str">
        <f t="shared" si="14"/>
        <v>工程地质条件</v>
      </c>
      <c r="R44" s="1571" t="s">
        <v>8</v>
      </c>
      <c r="S44" s="1572">
        <f t="shared" si="10"/>
        <v>100</v>
      </c>
      <c r="T44" s="1571" t="s">
        <v>8</v>
      </c>
      <c r="U44" s="1572">
        <f t="shared" si="11"/>
        <v>100</v>
      </c>
      <c r="V44" s="1571" t="s">
        <v>8</v>
      </c>
      <c r="W44" s="1572">
        <f t="shared" si="12"/>
        <v>100</v>
      </c>
      <c r="X44" s="1565"/>
      <c r="Y44" s="3441" t="s">
        <v>515</v>
      </c>
      <c r="Z44" s="1573" t="str">
        <f t="shared" si="13"/>
        <v>工程地质条件</v>
      </c>
      <c r="AA44" s="1574">
        <f t="shared" si="3"/>
        <v>1</v>
      </c>
      <c r="AB44" s="1574">
        <f t="shared" si="4"/>
        <v>1</v>
      </c>
      <c r="AC44" s="1574">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41"/>
      <c r="Q45" s="1570">
        <f t="shared" si="14"/>
        <v>0</v>
      </c>
      <c r="R45" s="1571" t="s">
        <v>8</v>
      </c>
      <c r="S45" s="1572">
        <f t="shared" si="10"/>
        <v>100</v>
      </c>
      <c r="T45" s="1571" t="s">
        <v>8</v>
      </c>
      <c r="U45" s="1572">
        <f t="shared" si="11"/>
        <v>100</v>
      </c>
      <c r="V45" s="1571" t="s">
        <v>8</v>
      </c>
      <c r="W45" s="1572">
        <f t="shared" si="12"/>
        <v>100</v>
      </c>
      <c r="X45" s="1565"/>
      <c r="Y45" s="3441"/>
      <c r="Z45" s="1573">
        <f t="shared" si="13"/>
        <v>0</v>
      </c>
      <c r="AA45" s="1574">
        <f t="shared" si="3"/>
        <v>1</v>
      </c>
      <c r="AB45" s="1574">
        <f t="shared" si="4"/>
        <v>1</v>
      </c>
      <c r="AC45" s="1574">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41"/>
      <c r="Q46" s="1570">
        <f t="shared" si="14"/>
        <v>0</v>
      </c>
      <c r="R46" s="1571" t="s">
        <v>8</v>
      </c>
      <c r="S46" s="1572">
        <f t="shared" si="10"/>
        <v>100</v>
      </c>
      <c r="T46" s="1571" t="s">
        <v>8</v>
      </c>
      <c r="U46" s="1572">
        <f t="shared" si="11"/>
        <v>100</v>
      </c>
      <c r="V46" s="1571" t="s">
        <v>8</v>
      </c>
      <c r="W46" s="1572">
        <f t="shared" si="12"/>
        <v>100</v>
      </c>
      <c r="X46" s="1565"/>
      <c r="Y46" s="3441"/>
      <c r="Z46" s="1573">
        <f t="shared" si="13"/>
        <v>0</v>
      </c>
      <c r="AA46" s="1574">
        <f t="shared" si="3"/>
        <v>1</v>
      </c>
      <c r="AB46" s="1574">
        <f t="shared" si="4"/>
        <v>1</v>
      </c>
      <c r="AC46" s="1574">
        <f t="shared" si="5"/>
        <v>1</v>
      </c>
    </row>
    <row r="47" spans="1:29" s="1337"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41"/>
      <c r="Q47" s="1570">
        <f t="shared" si="14"/>
        <v>0</v>
      </c>
      <c r="R47" s="1575" t="s">
        <v>8</v>
      </c>
      <c r="S47" s="1576">
        <f t="shared" si="10"/>
        <v>100</v>
      </c>
      <c r="T47" s="1575" t="s">
        <v>8</v>
      </c>
      <c r="U47" s="1576">
        <f t="shared" si="11"/>
        <v>100</v>
      </c>
      <c r="V47" s="1575" t="s">
        <v>8</v>
      </c>
      <c r="W47" s="1576">
        <f t="shared" si="12"/>
        <v>100</v>
      </c>
      <c r="X47" s="1577"/>
      <c r="Y47" s="3441"/>
      <c r="Z47" s="1578">
        <f t="shared" si="13"/>
        <v>0</v>
      </c>
      <c r="AA47" s="1574">
        <f t="shared" si="3"/>
        <v>1</v>
      </c>
      <c r="AB47" s="1574">
        <f t="shared" si="4"/>
        <v>1</v>
      </c>
      <c r="AC47" s="1574">
        <f t="shared" si="5"/>
        <v>1</v>
      </c>
    </row>
    <row r="48" spans="1:29" ht="21">
      <c r="A48" s="606" t="s">
        <v>521</v>
      </c>
      <c r="B48" s="607" t="s">
        <v>2948</v>
      </c>
      <c r="C48" s="608" t="s">
        <v>1</v>
      </c>
      <c r="D48" s="609"/>
      <c r="E48" s="610">
        <f>ROUND(土地案例新!AK8,0)</f>
        <v>3302</v>
      </c>
      <c r="F48" s="611"/>
      <c r="G48" s="612">
        <f>ROUND(土地案例新!AK13,0)</f>
        <v>3430</v>
      </c>
      <c r="H48" s="613"/>
      <c r="I48" s="610">
        <f>ROUND(土地案例新!AK16,0)</f>
        <v>3363</v>
      </c>
      <c r="J48" s="613"/>
      <c r="K48" s="1338"/>
      <c r="L48" s="2143"/>
      <c r="M48" s="2131"/>
      <c r="N48" s="2131"/>
      <c r="O48" s="2144"/>
      <c r="P48" s="3406" t="str">
        <f>A48</f>
        <v>成交单价</v>
      </c>
      <c r="Q48" s="3406"/>
      <c r="R48" s="3407">
        <f>E48</f>
        <v>3302</v>
      </c>
      <c r="S48" s="3407"/>
      <c r="T48" s="3407">
        <f>G48</f>
        <v>3430</v>
      </c>
      <c r="U48" s="3407"/>
      <c r="V48" s="3407">
        <f>I48</f>
        <v>3363</v>
      </c>
      <c r="W48" s="3407"/>
      <c r="X48" s="1557"/>
      <c r="Y48" s="1579"/>
      <c r="Z48" s="1557"/>
      <c r="AA48" s="1557"/>
      <c r="AB48" s="1557"/>
      <c r="AC48" s="1557"/>
    </row>
    <row r="49" spans="1:29" ht="21.6" thickBot="1">
      <c r="A49" s="614" t="s">
        <v>2655</v>
      </c>
      <c r="B49" s="615"/>
      <c r="C49" s="616">
        <f>R50</f>
        <v>2976</v>
      </c>
      <c r="D49" s="617"/>
      <c r="E49" s="616">
        <f>R49</f>
        <v>2671</v>
      </c>
      <c r="F49" s="618"/>
      <c r="G49" s="619">
        <f>T49</f>
        <v>3236</v>
      </c>
      <c r="H49" s="617"/>
      <c r="I49" s="616">
        <f>V49</f>
        <v>3022</v>
      </c>
      <c r="J49" s="617"/>
      <c r="K49" s="1339"/>
      <c r="L49" s="2143"/>
      <c r="M49" s="2131"/>
      <c r="N49" s="2131"/>
      <c r="O49" s="2144"/>
      <c r="P49" s="3406" t="str">
        <f>A49</f>
        <v>比较价格（元/平方米）</v>
      </c>
      <c r="Q49" s="3406"/>
      <c r="R49" s="3408">
        <f>ROUND(PRODUCT(R48,AA9:AA47),0)</f>
        <v>2671</v>
      </c>
      <c r="S49" s="3408"/>
      <c r="T49" s="3408">
        <f>ROUND(PRODUCT(T48,AB9:AB47),0)</f>
        <v>3236</v>
      </c>
      <c r="U49" s="3408"/>
      <c r="V49" s="3408">
        <f>ROUND(PRODUCT(V48,AC9:AC47),0)</f>
        <v>3022</v>
      </c>
      <c r="W49" s="3408"/>
      <c r="X49" s="1557"/>
      <c r="Y49" s="1557"/>
      <c r="Z49" s="1557"/>
      <c r="AA49" s="1557"/>
      <c r="AB49" s="1557"/>
      <c r="AC49" s="1557"/>
    </row>
    <row r="50" spans="1:29" ht="21.6" thickBot="1">
      <c r="A50" s="620" t="s">
        <v>2895</v>
      </c>
      <c r="B50" s="621"/>
      <c r="C50" s="622">
        <f>R50</f>
        <v>2976</v>
      </c>
      <c r="D50" s="622"/>
      <c r="E50" s="622"/>
      <c r="F50" s="622"/>
      <c r="G50" s="622"/>
      <c r="H50" s="622"/>
      <c r="I50" s="622"/>
      <c r="J50" s="622"/>
      <c r="K50" s="1340"/>
      <c r="L50" s="2143"/>
      <c r="M50" s="2131"/>
      <c r="N50" s="2131"/>
      <c r="O50" s="2144"/>
      <c r="P50" s="3403" t="str">
        <f>A50</f>
        <v>估价对象XX用房的比较价格（楼面单价，元/平方米）</v>
      </c>
      <c r="Q50" s="3404"/>
      <c r="R50" s="3405">
        <f>ROUND(AVERAGE(R49:V49),0)</f>
        <v>2976</v>
      </c>
      <c r="S50" s="3405"/>
      <c r="T50" s="3405"/>
      <c r="U50" s="3405"/>
      <c r="V50" s="3405"/>
      <c r="W50" s="3405"/>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0.23624110819917643</v>
      </c>
      <c r="F53" s="626" t="str">
        <f>IF(OR(E53&gt;=0.3,E53&lt;=-0.3),"超过30%","")</f>
        <v/>
      </c>
      <c r="G53" s="625">
        <f>IF(G48&lt;G49,G49/G48-1,G48/G49-1)</f>
        <v>5.9950556242274411E-2</v>
      </c>
      <c r="H53" s="626" t="str">
        <f>IF(OR(G53&gt;=0.3,G53&lt;=-0.3),"超过30%","")</f>
        <v/>
      </c>
      <c r="I53" s="625">
        <f>IF(I48&lt;I49,I49/I48-1,I48/I49-1)</f>
        <v>0.11283917935142296</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0.21153126169973802</v>
      </c>
      <c r="F54" s="626" t="str">
        <f>IF(OR(E54&gt;=0.2,E54&lt;=-0.2),"超过20%","")</f>
        <v>超过20%</v>
      </c>
      <c r="G54" s="625">
        <f>IF(G49&lt;I49,I49/G49-1,G49/I49-1)</f>
        <v>7.0814030443415055E-2</v>
      </c>
      <c r="H54" s="3188" t="str">
        <f>IF(OR(G54&gt;=0.2,G54&lt;=-0.2),"超过20%","")</f>
        <v/>
      </c>
      <c r="I54" s="625">
        <f>IF(I49&lt;E49,E49/I49-1,I49/E49-1)</f>
        <v>0.13141145638337703</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3.8764385221078168E-2</v>
      </c>
      <c r="F55" s="626" t="str">
        <f>IF(OR(E55&gt;=0.3,E55&lt;=-0.3),"超过30%","")</f>
        <v/>
      </c>
      <c r="G55" s="625">
        <f>IF(G48&lt;I48,I48/G48-1,G48/I48-1)</f>
        <v>1.9922688076122519E-2</v>
      </c>
      <c r="H55" s="626" t="str">
        <f>IF(OR(G55&gt;=0.3,G55&lt;=-0.3),"超过30%","")</f>
        <v/>
      </c>
      <c r="I55" s="625">
        <f>IF(I48&lt;E48,E48/I48-1,I48/E48-1)</f>
        <v>1.8473652331919999E-2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430" t="s">
        <v>2243</v>
      </c>
      <c r="H57" s="3431"/>
      <c r="I57" s="1553" t="s">
        <v>1684</v>
      </c>
      <c r="J57" s="1553" t="str">
        <f>项目基本情况!F41</f>
        <v>江苏省镇江市丹阳市</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2976</v>
      </c>
      <c r="C58" s="634">
        <v>1</v>
      </c>
      <c r="D58" s="2227">
        <v>1</v>
      </c>
      <c r="E58" s="634">
        <f>'数据-汇总表'!E8+'数据-汇总表'!E9</f>
        <v>116675.65000000001</v>
      </c>
      <c r="F58" s="635">
        <f t="shared" ref="F58:F67" si="15">ROUND(B58*E58/10000,0)</f>
        <v>34723</v>
      </c>
      <c r="G58" s="3432"/>
      <c r="H58" s="343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434"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43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43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43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116675.65000000001</v>
      </c>
      <c r="F68" s="643">
        <f>IF(B48="楼面地价",SUM(F58:F67),ROUND(C50*E68/10000,0))</f>
        <v>34723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2019-9-1</v>
      </c>
      <c r="D70" s="2798">
        <f>EDATE(C70,-3)</f>
        <v>43617</v>
      </c>
      <c r="E70" s="2798">
        <f t="shared" ref="E70:N70" si="18">EDATE(D70,-3)</f>
        <v>43525</v>
      </c>
      <c r="F70" s="2798">
        <f t="shared" si="18"/>
        <v>43435</v>
      </c>
      <c r="G70" s="2798">
        <f t="shared" si="18"/>
        <v>43344</v>
      </c>
      <c r="H70" s="2798">
        <f t="shared" si="18"/>
        <v>43252</v>
      </c>
      <c r="I70" s="2798">
        <f t="shared" si="18"/>
        <v>43160</v>
      </c>
      <c r="J70" s="2798">
        <f t="shared" si="18"/>
        <v>43070</v>
      </c>
      <c r="K70" s="2798">
        <f t="shared" si="18"/>
        <v>42979</v>
      </c>
      <c r="L70" s="2798">
        <f t="shared" si="18"/>
        <v>42887</v>
      </c>
      <c r="M70" s="2798">
        <f t="shared" si="18"/>
        <v>42795</v>
      </c>
      <c r="N70" s="2798">
        <f t="shared" si="18"/>
        <v>42705</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2019-3</v>
      </c>
      <c r="D72" s="2800" t="str">
        <f>YEAR(D70)&amp;"-"&amp;ROUNDUP(MONTH(D70)/3,0)</f>
        <v>2019-2</v>
      </c>
      <c r="E72" s="2800" t="str">
        <f t="shared" ref="E72:N72" si="19">YEAR(E70)&amp;"-"&amp;ROUNDUP(MONTH(E70)/3,0)</f>
        <v>2019-1</v>
      </c>
      <c r="F72" s="2800" t="str">
        <f t="shared" si="19"/>
        <v>2018-4</v>
      </c>
      <c r="G72" s="2800" t="str">
        <f t="shared" si="19"/>
        <v>2018-3</v>
      </c>
      <c r="H72" s="2800" t="str">
        <f t="shared" si="19"/>
        <v>2018-2</v>
      </c>
      <c r="I72" s="2800" t="str">
        <f t="shared" si="19"/>
        <v>2018-1</v>
      </c>
      <c r="J72" s="2800" t="str">
        <f t="shared" si="19"/>
        <v>2017-4</v>
      </c>
      <c r="K72" s="2800" t="str">
        <f t="shared" si="19"/>
        <v>2017-3</v>
      </c>
      <c r="L72" s="2800" t="str">
        <f t="shared" si="19"/>
        <v>2017-2</v>
      </c>
      <c r="M72" s="2800" t="str">
        <f t="shared" si="19"/>
        <v>2017-1</v>
      </c>
      <c r="N72" s="2800" t="str">
        <f t="shared" si="19"/>
        <v>2016-4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2971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v>6</v>
      </c>
      <c r="J82" s="540">
        <v>7</v>
      </c>
      <c r="K82" s="540">
        <v>8</v>
      </c>
      <c r="L82" s="540">
        <v>9</v>
      </c>
      <c r="M82" s="540">
        <v>10</v>
      </c>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96</v>
      </c>
      <c r="D120" s="725">
        <v>98</v>
      </c>
      <c r="E120" s="725">
        <v>100</v>
      </c>
      <c r="F120" s="725">
        <v>98</v>
      </c>
      <c r="G120" s="725">
        <v>96</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3260</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3261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70" zoomScaleNormal="70" workbookViewId="0">
      <selection activeCell="G3" sqref="G3"/>
    </sheetView>
  </sheetViews>
  <sheetFormatPr defaultColWidth="6.6640625" defaultRowHeight="13.2"/>
  <cols>
    <col min="1" max="1" width="9.77734375" style="2123" customWidth="1"/>
    <col min="2" max="2" width="25.77734375" style="2113" customWidth="1"/>
    <col min="3" max="3" width="12.10937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7</v>
      </c>
    </row>
    <row r="2" spans="1:31" s="2040" customFormat="1" ht="18" customHeight="1">
      <c r="A2" s="2100" t="s">
        <v>432</v>
      </c>
      <c r="B2" s="2104">
        <f ca="1">C36</f>
        <v>40187</v>
      </c>
      <c r="C2" s="2103"/>
      <c r="D2" s="2103"/>
      <c r="E2" s="2103"/>
      <c r="F2" s="2103"/>
      <c r="G2" s="2103"/>
      <c r="H2" s="2103"/>
      <c r="I2" s="2103"/>
      <c r="J2" s="2103"/>
      <c r="K2" s="2103"/>
    </row>
    <row r="3" spans="1:31" s="2040" customFormat="1" ht="18" customHeight="1">
      <c r="A3" s="2105" t="s">
        <v>1646</v>
      </c>
      <c r="B3" s="2106">
        <f ca="1">ROUND(B2*10000/IF(B1="",'数据-汇总表'!E3,INDIRECT("'数据-取费表'!K"&amp;$K$1)),0)</f>
        <v>3444</v>
      </c>
      <c r="C3" s="2103"/>
      <c r="D3" s="2103"/>
      <c r="E3" s="2103"/>
      <c r="F3" s="2103"/>
      <c r="G3" s="2103"/>
      <c r="H3" s="2103"/>
      <c r="I3" s="2103"/>
      <c r="J3" s="2103"/>
      <c r="K3" s="2103"/>
    </row>
    <row r="4" spans="1:31" s="2040" customFormat="1" ht="18" customHeight="1">
      <c r="A4" s="425" t="s">
        <v>433</v>
      </c>
      <c r="B4" s="426">
        <f ca="1">ROUND(B2*10000/IF(B1="",'数据-汇总表'!D3,INDIRECT("'数据-取费表'!R"&amp;$K$1)),0)</f>
        <v>12055</v>
      </c>
      <c r="C4" s="427"/>
      <c r="D4" s="421"/>
      <c r="E4" s="421"/>
      <c r="F4" s="421"/>
      <c r="G4" s="421"/>
      <c r="H4" s="421"/>
      <c r="I4" s="421"/>
      <c r="J4" s="421"/>
      <c r="K4" s="421"/>
    </row>
    <row r="5" spans="1:31" s="2040" customFormat="1" ht="18" customHeight="1" thickBot="1">
      <c r="A5" s="428"/>
      <c r="B5" s="429">
        <f ca="1">ROUND(B2/(IF(B1="",'数据-汇总表'!D3,INDIRECT("'数据-取费表'!R"&amp;$K$1))/666.67),0)</f>
        <v>804</v>
      </c>
      <c r="C5" s="430" t="s">
        <v>434</v>
      </c>
      <c r="D5" s="421"/>
      <c r="E5" s="421"/>
      <c r="F5" s="421"/>
      <c r="G5" s="421"/>
      <c r="H5" s="421"/>
      <c r="I5" s="421"/>
      <c r="J5" s="421"/>
      <c r="K5" s="421"/>
    </row>
    <row r="6" spans="1:31" s="2110" customFormat="1" ht="16.5" customHeight="1">
      <c r="A6" s="2827" t="s">
        <v>1804</v>
      </c>
      <c r="B6" s="2828"/>
      <c r="C6" s="2829">
        <f>SUM(C10:K10)</f>
        <v>93574</v>
      </c>
      <c r="D6" s="2828"/>
      <c r="E6" s="2828"/>
      <c r="F6" s="2828"/>
      <c r="G6" s="2828"/>
      <c r="H6" s="2828"/>
      <c r="I6" s="2828"/>
      <c r="J6" s="2828"/>
      <c r="K6" s="2830"/>
    </row>
    <row r="7" spans="1:31" s="2112" customFormat="1" ht="18" customHeight="1">
      <c r="A7" s="2831" t="s">
        <v>435</v>
      </c>
      <c r="B7" s="2832" t="s">
        <v>436</v>
      </c>
      <c r="C7" s="435" t="s">
        <v>2942</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'不动产比较法-住宅'!B3</f>
        <v>8020</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116675.65000000001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'不动产比较法-住宅'!B2</f>
        <v>93574</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25669</v>
      </c>
      <c r="D13" s="2843"/>
      <c r="E13" s="2844"/>
      <c r="F13" s="2845"/>
      <c r="G13" s="2811"/>
      <c r="H13" s="2812"/>
      <c r="I13" s="2812"/>
      <c r="J13" s="2812"/>
      <c r="K13" s="2813"/>
    </row>
    <row r="14" spans="1:31" s="2115" customFormat="1" ht="13.5" customHeight="1">
      <c r="A14" s="2841" t="s">
        <v>1811</v>
      </c>
      <c r="B14" s="2842" t="s">
        <v>445</v>
      </c>
      <c r="C14" s="52">
        <f ca="1">ROUND(C13*F14,0)</f>
        <v>770</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1283</v>
      </c>
      <c r="D15" s="2843"/>
      <c r="E15" s="2844"/>
      <c r="F15" s="2846">
        <f>'数据-取费表'!B34</f>
        <v>0.05</v>
      </c>
      <c r="G15" s="2811" t="s">
        <v>448</v>
      </c>
      <c r="H15" s="2812"/>
      <c r="I15" s="2812"/>
      <c r="J15" s="2812"/>
      <c r="K15" s="2813"/>
    </row>
    <row r="16" spans="1:31" s="2116" customFormat="1" ht="13.5" customHeight="1">
      <c r="A16" s="2841" t="s">
        <v>1813</v>
      </c>
      <c r="B16" s="2842" t="s">
        <v>449</v>
      </c>
      <c r="C16" s="52">
        <f ca="1">ROUND(D16*E16/10000,0)</f>
        <v>1750</v>
      </c>
      <c r="D16" s="2843">
        <f ca="1">IF(B1="",'数据-汇总表'!E3,INDIRECT("'数据-取费表'!K"&amp;$K$1)+INDIRECT("'数据-取费表'!S"&amp;$K$1))</f>
        <v>116675.65000000001</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385</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29857</v>
      </c>
      <c r="D18" s="2852"/>
      <c r="E18" s="467"/>
      <c r="F18" s="467"/>
      <c r="G18" s="2815" t="s">
        <v>2392</v>
      </c>
      <c r="H18" s="2816"/>
      <c r="I18" s="2816"/>
      <c r="J18" s="2816"/>
      <c r="K18" s="2817"/>
    </row>
    <row r="19" spans="1:14" s="2115" customFormat="1" ht="13.5" customHeight="1">
      <c r="A19" s="2849" t="s">
        <v>1816</v>
      </c>
      <c r="B19" s="2850" t="s">
        <v>453</v>
      </c>
      <c r="C19" s="2807">
        <f ca="1">ROUND(D19*E19/10000,0)</f>
        <v>817</v>
      </c>
      <c r="D19" s="2853">
        <f ca="1">D16</f>
        <v>116675.65000000001</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875</v>
      </c>
      <c r="D20" s="2853"/>
      <c r="E20" s="2807"/>
      <c r="F20" s="2854"/>
      <c r="G20" s="3088" t="s">
        <v>3258</v>
      </c>
      <c r="H20" s="2809">
        <v>0</v>
      </c>
      <c r="I20" s="2810" t="s">
        <v>2613</v>
      </c>
      <c r="J20" s="2816"/>
      <c r="K20" s="2817"/>
    </row>
    <row r="21" spans="1:14" s="2115" customFormat="1" ht="13.5" customHeight="1">
      <c r="A21" s="2841" t="s">
        <v>1818</v>
      </c>
      <c r="B21" s="2842" t="s">
        <v>456</v>
      </c>
      <c r="C21" s="52">
        <f ca="1">ROUND(D21*E21/10000,0)</f>
        <v>875</v>
      </c>
      <c r="D21" s="2843">
        <f ca="1">IF(B1="",'数据-汇总表'!E5,IF(INDIRECT("'数据-取费表'!c"&amp;$K$1)="住宅",INDIRECT("'数据-取费表'!k"&amp;$K$1),0))</f>
        <v>116675.65000000001</v>
      </c>
      <c r="E21" s="52">
        <f>'数据-取费表'!B27</f>
        <v>75</v>
      </c>
      <c r="F21" s="2846"/>
      <c r="G21" s="25"/>
      <c r="H21" s="50"/>
      <c r="I21" s="50"/>
      <c r="J21" s="50"/>
      <c r="K21" s="2818"/>
    </row>
    <row r="22" spans="1:14" s="2115" customFormat="1" ht="13.5" customHeight="1">
      <c r="A22" s="2841" t="s">
        <v>1819</v>
      </c>
      <c r="B22" s="2842" t="s">
        <v>457</v>
      </c>
      <c r="C22" s="52">
        <f ca="1">ROUND(D22*E22/10000,0)</f>
        <v>0</v>
      </c>
      <c r="D22" s="2843">
        <f ca="1">IF(B1="",'数据-汇总表'!E6,IF(INDIRECT("'数据-取费表'!c"&amp;$K$1)="住宅",INDIRECT("'数据-取费表'!s"&amp;$K$1),INDIRECT("'数据-取费表'!k"&amp;$K$1)+INDIRECT("'数据-取费表'!s"&amp;$K$1)))</f>
        <v>0</v>
      </c>
      <c r="E22" s="52">
        <f>'数据-取费表'!B28</f>
        <v>75</v>
      </c>
      <c r="F22" s="2846"/>
      <c r="G22" s="25"/>
      <c r="H22" s="50"/>
      <c r="I22" s="50"/>
      <c r="J22" s="50"/>
      <c r="K22" s="2818"/>
    </row>
    <row r="23" spans="1:14" s="2115" customFormat="1" ht="13.5" customHeight="1">
      <c r="A23" s="2849" t="s">
        <v>1820</v>
      </c>
      <c r="B23" s="3034" t="s">
        <v>2796</v>
      </c>
      <c r="C23" s="2851">
        <f ca="1">ROUND((C18+C19+C20)*F23,0)</f>
        <v>631</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ROUND(C6*F24,0)</f>
        <v>1871</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1617</v>
      </c>
      <c r="D26" s="466">
        <f ca="1">C27</f>
        <v>0.10009999999999999</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1617</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ROUND(C6*F29/(1+'数据-取费表'!C42),0)</f>
        <v>4991</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40659</v>
      </c>
      <c r="D30" s="476">
        <f ca="1">C32</f>
        <v>0.12909999999999999</v>
      </c>
      <c r="E30" s="468" t="s">
        <v>460</v>
      </c>
      <c r="F30" s="470"/>
      <c r="G30" s="2819" t="s">
        <v>2932</v>
      </c>
      <c r="H30" s="2812"/>
      <c r="I30" s="2812"/>
      <c r="J30" s="2812"/>
      <c r="K30" s="2813"/>
    </row>
    <row r="31" spans="1:14" s="2119" customFormat="1" ht="13.5" customHeight="1">
      <c r="A31" s="802" t="s">
        <v>1818</v>
      </c>
      <c r="B31" s="2857"/>
      <c r="C31" s="449">
        <f ca="1">C18+C19+C20+C23+C24+C26+C29</f>
        <v>40659</v>
      </c>
      <c r="D31" s="471"/>
      <c r="E31" s="472"/>
      <c r="F31" s="473"/>
      <c r="G31" s="260"/>
      <c r="H31" s="2814"/>
      <c r="I31" s="2814"/>
      <c r="J31" s="2814"/>
      <c r="K31" s="278"/>
    </row>
    <row r="32" spans="1:14" s="2119" customFormat="1" ht="13.5" customHeight="1">
      <c r="A32" s="802" t="s">
        <v>1819</v>
      </c>
      <c r="B32" s="2857"/>
      <c r="C32" s="52">
        <f ca="1">ROUND(C25+D26,4)</f>
        <v>0.12909999999999999</v>
      </c>
      <c r="D32" s="471"/>
      <c r="E32" s="472"/>
      <c r="F32" s="473"/>
      <c r="G32" s="260"/>
      <c r="H32" s="2814"/>
      <c r="I32" s="2814"/>
      <c r="J32" s="2814"/>
      <c r="K32" s="278"/>
    </row>
    <row r="33" spans="1:11" s="2121" customFormat="1" ht="13.5" customHeight="1">
      <c r="A33" s="3033" t="s">
        <v>2795</v>
      </c>
      <c r="B33" s="3031" t="s">
        <v>2793</v>
      </c>
      <c r="C33" s="477">
        <f ca="1">C35</f>
        <v>3405</v>
      </c>
      <c r="D33" s="466">
        <f ca="1">C34</f>
        <v>0.10290000000000001</v>
      </c>
      <c r="E33" s="468" t="s">
        <v>460</v>
      </c>
      <c r="F33" s="478">
        <f ca="1">IF(B1="",'数据-取费表'!Q16,INDIRECT("'数据-取费表'!q"&amp;$K$1))</f>
        <v>0.1</v>
      </c>
      <c r="G33" s="2815"/>
      <c r="H33" s="2816"/>
      <c r="I33" s="2816"/>
      <c r="J33" s="2816"/>
      <c r="K33" s="2817"/>
    </row>
    <row r="34" spans="1:11" s="2122" customFormat="1" ht="13.5" customHeight="1">
      <c r="A34" s="374" t="s">
        <v>1818</v>
      </c>
      <c r="B34" s="2862" t="s">
        <v>466</v>
      </c>
      <c r="C34" s="471">
        <f ca="1">ROUND((1+C25)*F33,4)</f>
        <v>0.10290000000000001</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3405</v>
      </c>
      <c r="D35" s="1627"/>
      <c r="E35" s="2863"/>
      <c r="F35" s="1628"/>
      <c r="G35" s="2821"/>
      <c r="H35" s="2822"/>
      <c r="I35" s="2822"/>
      <c r="J35" s="2822"/>
      <c r="K35" s="2823"/>
    </row>
    <row r="36" spans="1:11" s="2084" customFormat="1" ht="13.5" customHeight="1" thickBot="1">
      <c r="A36" s="283" t="s">
        <v>1806</v>
      </c>
      <c r="B36" s="2825"/>
      <c r="C36" s="2864">
        <f ca="1">ROUND((C6-C30-C33)/(1+D30+D33),0)</f>
        <v>40187</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7</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25669</v>
      </c>
      <c r="D13" s="450"/>
      <c r="E13" s="364"/>
      <c r="F13" s="451"/>
      <c r="G13" s="443"/>
      <c r="H13" s="446"/>
      <c r="I13" s="446"/>
      <c r="J13" s="446"/>
      <c r="K13" s="447"/>
    </row>
    <row r="14" spans="1:41" s="2115" customFormat="1" ht="13.5" customHeight="1">
      <c r="A14" s="1631" t="s">
        <v>1811</v>
      </c>
      <c r="B14" s="448" t="s">
        <v>445</v>
      </c>
      <c r="C14" s="52">
        <f ca="1">ROUND(C13*F14,0)</f>
        <v>770</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1283</v>
      </c>
      <c r="D15" s="450"/>
      <c r="E15" s="364"/>
      <c r="F15" s="452">
        <f>'数据-取费表'!B34</f>
        <v>0.05</v>
      </c>
      <c r="G15" s="443" t="s">
        <v>467</v>
      </c>
      <c r="H15" s="446"/>
      <c r="I15" s="446"/>
      <c r="J15" s="446"/>
      <c r="K15" s="447"/>
    </row>
    <row r="16" spans="1:41" s="2116" customFormat="1" ht="13.5" customHeight="1">
      <c r="A16" s="1631" t="s">
        <v>1813</v>
      </c>
      <c r="B16" s="448" t="s">
        <v>449</v>
      </c>
      <c r="C16" s="52">
        <f ca="1">ROUND(D16*E16/10000,0)</f>
        <v>1750</v>
      </c>
      <c r="D16" s="450">
        <f ca="1">IF(B1="",'数据-汇总表'!E3,INDIRECT("'数据-取费表'!K"&amp;$K$1)+INDIRECT("'数据-取费表'!S"&amp;$K$1))</f>
        <v>116675.65000000001</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385</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29857</v>
      </c>
      <c r="D18" s="460"/>
      <c r="E18" s="461"/>
      <c r="F18" s="461"/>
      <c r="G18" s="1325" t="s">
        <v>2394</v>
      </c>
      <c r="H18" s="446"/>
      <c r="I18" s="446"/>
      <c r="J18" s="446"/>
      <c r="K18" s="447"/>
    </row>
    <row r="19" spans="1:14" s="2118" customFormat="1" ht="13.5" customHeight="1">
      <c r="A19" s="1632" t="s">
        <v>1816</v>
      </c>
      <c r="B19" s="458" t="s">
        <v>458</v>
      </c>
      <c r="C19" s="459">
        <f ca="1">ROUND(C18*F19,0)</f>
        <v>597</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1447</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1447</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3045</v>
      </c>
      <c r="D24" s="488">
        <f ca="1">C26</f>
        <v>2E-3</v>
      </c>
      <c r="E24" s="468" t="s">
        <v>472</v>
      </c>
      <c r="F24" s="478">
        <f ca="1">IF(B1="",'数据-取费表'!Q16,INDIRECT("'数据-取费表'!q"&amp;$K$1))</f>
        <v>0.1</v>
      </c>
      <c r="G24" s="443"/>
      <c r="H24" s="446"/>
      <c r="I24" s="446"/>
      <c r="J24" s="446"/>
      <c r="K24" s="447"/>
    </row>
    <row r="25" spans="1:14" s="2119" customFormat="1" ht="13.5" customHeight="1">
      <c r="A25" s="1631" t="s">
        <v>1810</v>
      </c>
      <c r="B25" s="1326" t="s">
        <v>2398</v>
      </c>
      <c r="C25" s="489">
        <f ca="1">ROUND((C18+C19)*F24,0)</f>
        <v>3045</v>
      </c>
      <c r="D25" s="471"/>
      <c r="E25" s="472"/>
      <c r="F25" s="479"/>
      <c r="G25" s="1324" t="s">
        <v>2395</v>
      </c>
      <c r="H25" s="456"/>
      <c r="I25" s="456"/>
      <c r="J25" s="456"/>
      <c r="K25" s="457"/>
    </row>
    <row r="26" spans="1:14" s="2119" customFormat="1" ht="13.5" customHeight="1">
      <c r="A26" s="1631" t="s">
        <v>1811</v>
      </c>
      <c r="B26" s="1326" t="s">
        <v>474</v>
      </c>
      <c r="C26" s="490">
        <f ca="1">ROUND(F20*F24,4)</f>
        <v>2E-3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37833</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412" t="s">
        <v>487</v>
      </c>
      <c r="D6" s="3413"/>
      <c r="E6" s="3447" t="s">
        <v>488</v>
      </c>
      <c r="F6" s="3448"/>
      <c r="G6" s="3412" t="s">
        <v>489</v>
      </c>
      <c r="H6" s="3413"/>
      <c r="I6" s="3412" t="s">
        <v>490</v>
      </c>
      <c r="J6" s="3413"/>
      <c r="K6" s="513" t="s">
        <v>491</v>
      </c>
      <c r="L6" s="2132"/>
      <c r="M6" s="2133"/>
      <c r="N6" s="2133"/>
      <c r="O6" s="2133"/>
      <c r="P6" s="3414" t="s">
        <v>492</v>
      </c>
      <c r="Q6" s="3415"/>
      <c r="R6" s="3420" t="s">
        <v>488</v>
      </c>
      <c r="S6" s="3421"/>
      <c r="T6" s="3420" t="s">
        <v>489</v>
      </c>
      <c r="U6" s="3421"/>
      <c r="V6" s="3407" t="s">
        <v>490</v>
      </c>
      <c r="W6" s="3407"/>
      <c r="X6" s="1565"/>
      <c r="Y6" s="3420" t="s">
        <v>492</v>
      </c>
      <c r="Z6" s="3421"/>
      <c r="AA6" s="3409" t="s">
        <v>488</v>
      </c>
      <c r="AB6" s="3410" t="s">
        <v>489</v>
      </c>
      <c r="AC6" s="3409" t="s">
        <v>490</v>
      </c>
    </row>
    <row r="7" spans="1:29">
      <c r="A7" s="514"/>
      <c r="B7" s="515"/>
      <c r="C7" s="3442" t="s">
        <v>2889</v>
      </c>
      <c r="D7" s="3429"/>
      <c r="E7" s="3449" t="s">
        <v>2890</v>
      </c>
      <c r="F7" s="3450"/>
      <c r="G7" s="3442" t="s">
        <v>2891</v>
      </c>
      <c r="H7" s="3429"/>
      <c r="I7" s="3442" t="s">
        <v>2892</v>
      </c>
      <c r="J7" s="3429"/>
      <c r="K7" s="513"/>
      <c r="L7" s="2132"/>
      <c r="M7" s="2133"/>
      <c r="N7" s="2133"/>
      <c r="O7" s="2133"/>
      <c r="P7" s="3416"/>
      <c r="Q7" s="3417"/>
      <c r="R7" s="3422"/>
      <c r="S7" s="3423"/>
      <c r="T7" s="3422"/>
      <c r="U7" s="3423"/>
      <c r="V7" s="3407"/>
      <c r="W7" s="3407"/>
      <c r="X7" s="1565"/>
      <c r="Y7" s="3422"/>
      <c r="Z7" s="3423"/>
      <c r="AA7" s="3410"/>
      <c r="AB7" s="3410"/>
      <c r="AC7" s="3410"/>
    </row>
    <row r="8" spans="1:29" ht="15" thickBot="1">
      <c r="A8" s="516"/>
      <c r="B8" s="517"/>
      <c r="C8" s="3443" t="s">
        <v>2893</v>
      </c>
      <c r="D8" s="3444"/>
      <c r="E8" s="3445" t="s">
        <v>2893</v>
      </c>
      <c r="F8" s="3446"/>
      <c r="G8" s="3443" t="s">
        <v>2893</v>
      </c>
      <c r="H8" s="3444"/>
      <c r="I8" s="3443" t="s">
        <v>2893</v>
      </c>
      <c r="J8" s="3444"/>
      <c r="K8" s="513" t="s">
        <v>493</v>
      </c>
      <c r="L8" s="2132"/>
      <c r="M8" s="2133"/>
      <c r="N8" s="2133"/>
      <c r="O8" s="2133"/>
      <c r="P8" s="3418"/>
      <c r="Q8" s="3419"/>
      <c r="R8" s="3422"/>
      <c r="S8" s="3423"/>
      <c r="T8" s="3424"/>
      <c r="U8" s="3425"/>
      <c r="V8" s="3407"/>
      <c r="W8" s="3407"/>
      <c r="X8" s="1565"/>
      <c r="Y8" s="3424"/>
      <c r="Z8" s="3425"/>
      <c r="AA8" s="3411"/>
      <c r="AB8" s="3411"/>
      <c r="AC8" s="3411"/>
    </row>
    <row r="9" spans="1:29" s="1218" customFormat="1" ht="15" thickBot="1">
      <c r="A9" s="2911"/>
      <c r="B9" s="2918" t="s">
        <v>494</v>
      </c>
      <c r="C9" s="518">
        <f>'数据-取费表'!B2</f>
        <v>43718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35" t="s">
        <v>495</v>
      </c>
      <c r="Q9" s="3437"/>
      <c r="R9" s="1566" t="s">
        <v>8</v>
      </c>
      <c r="S9" s="1567">
        <f t="shared" ref="S9:S17" si="0">F9</f>
        <v>0</v>
      </c>
      <c r="T9" s="1566" t="s">
        <v>8</v>
      </c>
      <c r="U9" s="1567">
        <f t="shared" ref="U9:U17" si="1">H9</f>
        <v>0</v>
      </c>
      <c r="V9" s="1566" t="s">
        <v>8</v>
      </c>
      <c r="W9" s="1567">
        <f t="shared" ref="W9:W17" si="2">J9</f>
        <v>0</v>
      </c>
      <c r="X9" s="1568"/>
      <c r="Y9" s="3435" t="s">
        <v>495</v>
      </c>
      <c r="Z9" s="3436"/>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35" t="s">
        <v>498</v>
      </c>
      <c r="Q10" s="3436"/>
      <c r="R10" s="1566" t="s">
        <v>8</v>
      </c>
      <c r="S10" s="1567">
        <f t="shared" si="0"/>
        <v>0</v>
      </c>
      <c r="T10" s="1566" t="s">
        <v>8</v>
      </c>
      <c r="U10" s="1567">
        <f t="shared" si="1"/>
        <v>0</v>
      </c>
      <c r="V10" s="1566" t="s">
        <v>8</v>
      </c>
      <c r="W10" s="1567">
        <f t="shared" si="2"/>
        <v>0</v>
      </c>
      <c r="X10" s="1568"/>
      <c r="Y10" s="3435" t="s">
        <v>498</v>
      </c>
      <c r="Z10" s="3436"/>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06" t="s">
        <v>500</v>
      </c>
      <c r="Q11" s="1149" t="str">
        <f t="shared" ref="Q11:Q17" si="6">B11</f>
        <v>用途</v>
      </c>
      <c r="R11" s="1566" t="s">
        <v>8</v>
      </c>
      <c r="S11" s="1567">
        <f t="shared" si="0"/>
        <v>100</v>
      </c>
      <c r="T11" s="1566" t="s">
        <v>8</v>
      </c>
      <c r="U11" s="1567">
        <f t="shared" si="1"/>
        <v>100</v>
      </c>
      <c r="V11" s="1566" t="s">
        <v>8</v>
      </c>
      <c r="W11" s="1567">
        <f t="shared" si="2"/>
        <v>100</v>
      </c>
      <c r="X11" s="1568"/>
      <c r="Y11" s="3352"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111</v>
      </c>
      <c r="G12" s="527"/>
      <c r="H12" s="254">
        <f>ROUND(100/'数据-取费表'!G16,0)</f>
        <v>111</v>
      </c>
      <c r="I12" s="527"/>
      <c r="J12" s="254">
        <f>ROUND(100/'数据-取费表'!G16,0)</f>
        <v>111</v>
      </c>
      <c r="K12" s="530"/>
      <c r="L12" s="2137"/>
      <c r="M12" s="2177"/>
      <c r="N12" s="2177"/>
      <c r="O12" s="2138"/>
      <c r="P12" s="3406"/>
      <c r="Q12" s="1149" t="str">
        <f t="shared" si="6"/>
        <v>土地使用年限（年）</v>
      </c>
      <c r="R12" s="1566" t="s">
        <v>8</v>
      </c>
      <c r="S12" s="1567">
        <f t="shared" si="0"/>
        <v>111</v>
      </c>
      <c r="T12" s="1566" t="s">
        <v>8</v>
      </c>
      <c r="U12" s="1567">
        <f t="shared" si="1"/>
        <v>111</v>
      </c>
      <c r="V12" s="1566" t="s">
        <v>8</v>
      </c>
      <c r="W12" s="1567">
        <f t="shared" si="2"/>
        <v>111</v>
      </c>
      <c r="X12" s="1568"/>
      <c r="Y12" s="3352"/>
      <c r="Z12" s="1148" t="str">
        <f t="shared" si="7"/>
        <v>土地使用年限（年）</v>
      </c>
      <c r="AA12" s="1569">
        <f t="shared" si="3"/>
        <v>0.90090090090090091</v>
      </c>
      <c r="AB12" s="1569">
        <f t="shared" si="4"/>
        <v>0.90090090090090091</v>
      </c>
      <c r="AC12" s="1569">
        <f t="shared" si="5"/>
        <v>0.90090090090090091</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06"/>
      <c r="Q13" s="1149" t="str">
        <f t="shared" si="6"/>
        <v>容积率</v>
      </c>
      <c r="R13" s="1566" t="s">
        <v>8</v>
      </c>
      <c r="S13" s="1567" t="e">
        <f t="shared" si="0"/>
        <v>#N/A</v>
      </c>
      <c r="T13" s="1566" t="s">
        <v>8</v>
      </c>
      <c r="U13" s="1567" t="e">
        <f t="shared" si="1"/>
        <v>#N/A</v>
      </c>
      <c r="V13" s="1566" t="s">
        <v>8</v>
      </c>
      <c r="W13" s="1567" t="e">
        <f t="shared" si="2"/>
        <v>#N/A</v>
      </c>
      <c r="X13" s="1568"/>
      <c r="Y13" s="3352"/>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06"/>
      <c r="Q14" s="1149">
        <f t="shared" si="6"/>
        <v>111</v>
      </c>
      <c r="R14" s="1566" t="s">
        <v>8</v>
      </c>
      <c r="S14" s="1567">
        <f t="shared" si="0"/>
        <v>100</v>
      </c>
      <c r="T14" s="1566" t="s">
        <v>8</v>
      </c>
      <c r="U14" s="1567">
        <f t="shared" si="1"/>
        <v>100</v>
      </c>
      <c r="V14" s="1566" t="s">
        <v>8</v>
      </c>
      <c r="W14" s="1567">
        <f t="shared" si="2"/>
        <v>100</v>
      </c>
      <c r="X14" s="1568"/>
      <c r="Y14" s="3352"/>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06"/>
      <c r="Q15" s="1149">
        <f t="shared" si="6"/>
        <v>111</v>
      </c>
      <c r="R15" s="1566" t="s">
        <v>8</v>
      </c>
      <c r="S15" s="1567">
        <f t="shared" si="0"/>
        <v>100</v>
      </c>
      <c r="T15" s="1566" t="s">
        <v>8</v>
      </c>
      <c r="U15" s="1567">
        <f t="shared" si="1"/>
        <v>100</v>
      </c>
      <c r="V15" s="1566" t="s">
        <v>8</v>
      </c>
      <c r="W15" s="1567">
        <f t="shared" si="2"/>
        <v>100</v>
      </c>
      <c r="X15" s="1568"/>
      <c r="Y15" s="3352"/>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06"/>
      <c r="Q16" s="1149">
        <f t="shared" si="6"/>
        <v>111</v>
      </c>
      <c r="R16" s="1566" t="s">
        <v>8</v>
      </c>
      <c r="S16" s="1567">
        <f t="shared" si="0"/>
        <v>100</v>
      </c>
      <c r="T16" s="1566" t="s">
        <v>8</v>
      </c>
      <c r="U16" s="1567">
        <f t="shared" si="1"/>
        <v>100</v>
      </c>
      <c r="V16" s="1566" t="s">
        <v>8</v>
      </c>
      <c r="W16" s="1567">
        <f t="shared" si="2"/>
        <v>100</v>
      </c>
      <c r="X16" s="1568"/>
      <c r="Y16" s="3352"/>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38" t="s">
        <v>505</v>
      </c>
      <c r="Q17" s="1570" t="str">
        <f t="shared" si="6"/>
        <v>产业集聚程度</v>
      </c>
      <c r="R17" s="1571" t="s">
        <v>8</v>
      </c>
      <c r="S17" s="1572">
        <f t="shared" si="0"/>
        <v>100</v>
      </c>
      <c r="T17" s="1571" t="s">
        <v>8</v>
      </c>
      <c r="U17" s="1572">
        <f t="shared" si="1"/>
        <v>100</v>
      </c>
      <c r="V17" s="1571" t="s">
        <v>8</v>
      </c>
      <c r="W17" s="1572">
        <f t="shared" si="2"/>
        <v>100</v>
      </c>
      <c r="X17" s="1565"/>
      <c r="Y17" s="3438"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39"/>
      <c r="Q18" s="1570"/>
      <c r="R18" s="1571"/>
      <c r="S18" s="1572"/>
      <c r="T18" s="1571"/>
      <c r="U18" s="1572"/>
      <c r="V18" s="1571"/>
      <c r="W18" s="1572"/>
      <c r="X18" s="1565"/>
      <c r="Y18" s="3439"/>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39"/>
      <c r="Q19" s="1570" t="str">
        <f>B19</f>
        <v>交通便捷度</v>
      </c>
      <c r="R19" s="1571" t="s">
        <v>8</v>
      </c>
      <c r="S19" s="1572">
        <f>F19</f>
        <v>100</v>
      </c>
      <c r="T19" s="1571" t="s">
        <v>8</v>
      </c>
      <c r="U19" s="1572">
        <f>H19</f>
        <v>100</v>
      </c>
      <c r="V19" s="1571" t="s">
        <v>8</v>
      </c>
      <c r="W19" s="1572">
        <f>J19</f>
        <v>100</v>
      </c>
      <c r="X19" s="1565"/>
      <c r="Y19" s="343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439"/>
      <c r="Q20" s="1570"/>
      <c r="R20" s="1571"/>
      <c r="S20" s="1572"/>
      <c r="T20" s="1571"/>
      <c r="U20" s="1572"/>
      <c r="V20" s="1571"/>
      <c r="W20" s="1572"/>
      <c r="X20" s="1565"/>
      <c r="Y20" s="3439"/>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39"/>
      <c r="Q21" s="1570" t="str">
        <f t="shared" ref="Q21:Q35" si="8">B21</f>
        <v>区域土地利用方向</v>
      </c>
      <c r="R21" s="1571" t="s">
        <v>8</v>
      </c>
      <c r="S21" s="1572">
        <f>F21</f>
        <v>100</v>
      </c>
      <c r="T21" s="1571" t="s">
        <v>8</v>
      </c>
      <c r="U21" s="1572">
        <f>H21</f>
        <v>100</v>
      </c>
      <c r="V21" s="1571" t="s">
        <v>8</v>
      </c>
      <c r="W21" s="1572">
        <f>J21</f>
        <v>100</v>
      </c>
      <c r="X21" s="1565"/>
      <c r="Y21" s="343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39"/>
      <c r="Q22" s="1570"/>
      <c r="R22" s="1571"/>
      <c r="S22" s="1572"/>
      <c r="T22" s="1571"/>
      <c r="U22" s="1572"/>
      <c r="V22" s="1571"/>
      <c r="W22" s="1572"/>
      <c r="X22" s="1565"/>
      <c r="Y22" s="3439"/>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39"/>
      <c r="Q23" s="1570" t="str">
        <f t="shared" si="8"/>
        <v>环境状况</v>
      </c>
      <c r="R23" s="1571" t="s">
        <v>8</v>
      </c>
      <c r="S23" s="1572">
        <f>F23</f>
        <v>100</v>
      </c>
      <c r="T23" s="1571" t="s">
        <v>8</v>
      </c>
      <c r="U23" s="1572">
        <f>H23</f>
        <v>100</v>
      </c>
      <c r="V23" s="1571" t="s">
        <v>8</v>
      </c>
      <c r="W23" s="1572">
        <f>J23</f>
        <v>100</v>
      </c>
      <c r="X23" s="1565"/>
      <c r="Y23" s="343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39"/>
      <c r="Q24" s="1570"/>
      <c r="R24" s="1571"/>
      <c r="S24" s="1572"/>
      <c r="T24" s="1571"/>
      <c r="U24" s="1572"/>
      <c r="V24" s="1571"/>
      <c r="W24" s="1572"/>
      <c r="X24" s="1565"/>
      <c r="Y24" s="3439"/>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39"/>
      <c r="Q25" s="1149" t="str">
        <f t="shared" si="8"/>
        <v>公共配套设施</v>
      </c>
      <c r="R25" s="1566" t="s">
        <v>8</v>
      </c>
      <c r="S25" s="1567">
        <f>F25</f>
        <v>100</v>
      </c>
      <c r="T25" s="1566" t="s">
        <v>8</v>
      </c>
      <c r="U25" s="1567">
        <f>H25</f>
        <v>100</v>
      </c>
      <c r="V25" s="1566" t="s">
        <v>8</v>
      </c>
      <c r="W25" s="1567">
        <f>J25</f>
        <v>100</v>
      </c>
      <c r="X25" s="1568"/>
      <c r="Y25" s="3439"/>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439"/>
      <c r="Q26" s="1149"/>
      <c r="R26" s="1566"/>
      <c r="S26" s="1567"/>
      <c r="T26" s="1566"/>
      <c r="U26" s="1567"/>
      <c r="V26" s="1566"/>
      <c r="W26" s="1567"/>
      <c r="X26" s="1568"/>
      <c r="Y26" s="3439"/>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39"/>
      <c r="Q27" s="2577" t="str">
        <f t="shared" ref="Q27" si="9">B27</f>
        <v>基础设施水平</v>
      </c>
      <c r="R27" s="1566" t="s">
        <v>8</v>
      </c>
      <c r="S27" s="1567">
        <f>F27</f>
        <v>100</v>
      </c>
      <c r="T27" s="1566" t="s">
        <v>8</v>
      </c>
      <c r="U27" s="1567">
        <f>H27</f>
        <v>100</v>
      </c>
      <c r="V27" s="1566" t="s">
        <v>8</v>
      </c>
      <c r="W27" s="1567">
        <f>J27</f>
        <v>100</v>
      </c>
      <c r="X27" s="1568"/>
      <c r="Y27" s="3439"/>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439"/>
      <c r="Q28" s="2577"/>
      <c r="R28" s="1566"/>
      <c r="S28" s="1567"/>
      <c r="T28" s="1566"/>
      <c r="U28" s="1567"/>
      <c r="V28" s="1566"/>
      <c r="W28" s="1567"/>
      <c r="X28" s="1568"/>
      <c r="Y28" s="3439"/>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3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9"/>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39"/>
      <c r="Q30" s="1570" t="str">
        <f t="shared" si="8"/>
        <v>毗邻道路的类型与等级</v>
      </c>
      <c r="R30" s="1571" t="s">
        <v>8</v>
      </c>
      <c r="S30" s="1572">
        <f t="shared" si="10"/>
        <v>100</v>
      </c>
      <c r="T30" s="1571" t="s">
        <v>8</v>
      </c>
      <c r="U30" s="1572">
        <f t="shared" si="11"/>
        <v>100</v>
      </c>
      <c r="V30" s="1571" t="s">
        <v>8</v>
      </c>
      <c r="W30" s="1572">
        <f t="shared" si="12"/>
        <v>100</v>
      </c>
      <c r="X30" s="1565"/>
      <c r="Y30" s="343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39"/>
      <c r="Q31" s="1570"/>
      <c r="R31" s="1571"/>
      <c r="S31" s="1572"/>
      <c r="T31" s="1571"/>
      <c r="U31" s="1572"/>
      <c r="V31" s="1571"/>
      <c r="W31" s="1572"/>
      <c r="X31" s="1565"/>
      <c r="Y31" s="3439"/>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39"/>
      <c r="Q32" s="1570" t="str">
        <f t="shared" si="8"/>
        <v>土地级别</v>
      </c>
      <c r="R32" s="1571" t="s">
        <v>8</v>
      </c>
      <c r="S32" s="1572">
        <f t="shared" si="10"/>
        <v>100</v>
      </c>
      <c r="T32" s="1571" t="s">
        <v>8</v>
      </c>
      <c r="U32" s="1572">
        <f t="shared" si="11"/>
        <v>100</v>
      </c>
      <c r="V32" s="1571" t="s">
        <v>8</v>
      </c>
      <c r="W32" s="1572">
        <f t="shared" si="12"/>
        <v>100</v>
      </c>
      <c r="X32" s="1565"/>
      <c r="Y32" s="343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39"/>
      <c r="Q33" s="1570">
        <f t="shared" si="8"/>
        <v>111</v>
      </c>
      <c r="R33" s="1571" t="s">
        <v>8</v>
      </c>
      <c r="S33" s="1572">
        <f t="shared" si="10"/>
        <v>100</v>
      </c>
      <c r="T33" s="1571" t="s">
        <v>8</v>
      </c>
      <c r="U33" s="1572">
        <f t="shared" si="11"/>
        <v>100</v>
      </c>
      <c r="V33" s="1571" t="s">
        <v>8</v>
      </c>
      <c r="W33" s="1572">
        <f t="shared" si="12"/>
        <v>100</v>
      </c>
      <c r="X33" s="1565"/>
      <c r="Y33" s="343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40" t="s">
        <v>515</v>
      </c>
      <c r="Q34" s="1570">
        <f t="shared" si="8"/>
        <v>111</v>
      </c>
      <c r="R34" s="1571" t="s">
        <v>8</v>
      </c>
      <c r="S34" s="1572">
        <f t="shared" si="10"/>
        <v>100</v>
      </c>
      <c r="T34" s="1571" t="s">
        <v>8</v>
      </c>
      <c r="U34" s="1572">
        <f t="shared" si="11"/>
        <v>100</v>
      </c>
      <c r="V34" s="1571" t="s">
        <v>8</v>
      </c>
      <c r="W34" s="1572">
        <f t="shared" si="12"/>
        <v>100</v>
      </c>
      <c r="X34" s="1565"/>
      <c r="Y34" s="3441"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41"/>
      <c r="Q35" s="1570">
        <f t="shared" si="8"/>
        <v>111</v>
      </c>
      <c r="R35" s="1575" t="s">
        <v>8</v>
      </c>
      <c r="S35" s="1576">
        <f t="shared" si="10"/>
        <v>100</v>
      </c>
      <c r="T35" s="1575" t="s">
        <v>8</v>
      </c>
      <c r="U35" s="1576">
        <f t="shared" si="11"/>
        <v>100</v>
      </c>
      <c r="V35" s="1575" t="s">
        <v>8</v>
      </c>
      <c r="W35" s="1576">
        <f t="shared" si="12"/>
        <v>100</v>
      </c>
      <c r="X35" s="1577"/>
      <c r="Y35" s="3441"/>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41"/>
      <c r="Q36" s="1570" t="str">
        <f>B36</f>
        <v>宗地面积</v>
      </c>
      <c r="R36" s="1571" t="s">
        <v>8</v>
      </c>
      <c r="S36" s="1572" t="e">
        <f t="shared" si="10"/>
        <v>#N/A</v>
      </c>
      <c r="T36" s="1571" t="s">
        <v>8</v>
      </c>
      <c r="U36" s="1572" t="e">
        <f t="shared" si="11"/>
        <v>#N/A</v>
      </c>
      <c r="V36" s="1571" t="s">
        <v>8</v>
      </c>
      <c r="W36" s="1572" t="e">
        <f t="shared" si="12"/>
        <v>#N/A</v>
      </c>
      <c r="X36" s="1565"/>
      <c r="Y36" s="3441"/>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41"/>
      <c r="Q37" s="1570" t="str">
        <f t="shared" ref="Q37:Q42" si="14">B37</f>
        <v>宗地形状</v>
      </c>
      <c r="R37" s="1571" t="s">
        <v>8</v>
      </c>
      <c r="S37" s="1572">
        <f t="shared" si="10"/>
        <v>100</v>
      </c>
      <c r="T37" s="1571" t="s">
        <v>8</v>
      </c>
      <c r="U37" s="1572">
        <f t="shared" si="11"/>
        <v>100</v>
      </c>
      <c r="V37" s="1571" t="s">
        <v>8</v>
      </c>
      <c r="W37" s="1572">
        <f t="shared" si="12"/>
        <v>100</v>
      </c>
      <c r="X37" s="1565"/>
      <c r="Y37" s="3441"/>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41"/>
      <c r="Q38" s="1570" t="str">
        <f t="shared" si="14"/>
        <v>宗地开发程度</v>
      </c>
      <c r="R38" s="1566" t="s">
        <v>8</v>
      </c>
      <c r="S38" s="1567">
        <f t="shared" si="10"/>
        <v>100</v>
      </c>
      <c r="T38" s="1566" t="s">
        <v>8</v>
      </c>
      <c r="U38" s="1567">
        <f t="shared" si="11"/>
        <v>100</v>
      </c>
      <c r="V38" s="1566" t="s">
        <v>8</v>
      </c>
      <c r="W38" s="1567">
        <f t="shared" si="12"/>
        <v>100</v>
      </c>
      <c r="X38" s="1568"/>
      <c r="Y38" s="3441"/>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41" t="s">
        <v>566</v>
      </c>
      <c r="Q39" s="1570" t="str">
        <f t="shared" si="14"/>
        <v>工程地质条件</v>
      </c>
      <c r="R39" s="1571" t="s">
        <v>8</v>
      </c>
      <c r="S39" s="1572">
        <f t="shared" si="10"/>
        <v>100</v>
      </c>
      <c r="T39" s="1571" t="s">
        <v>8</v>
      </c>
      <c r="U39" s="1572">
        <f t="shared" si="11"/>
        <v>100</v>
      </c>
      <c r="V39" s="1571" t="s">
        <v>8</v>
      </c>
      <c r="W39" s="1572">
        <f t="shared" si="12"/>
        <v>100</v>
      </c>
      <c r="X39" s="1565"/>
      <c r="Y39" s="3441"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41"/>
      <c r="Q40" s="1570">
        <f t="shared" si="14"/>
        <v>111</v>
      </c>
      <c r="R40" s="1571" t="s">
        <v>8</v>
      </c>
      <c r="S40" s="1572">
        <f t="shared" si="10"/>
        <v>100</v>
      </c>
      <c r="T40" s="1571" t="s">
        <v>8</v>
      </c>
      <c r="U40" s="1572">
        <f t="shared" si="11"/>
        <v>100</v>
      </c>
      <c r="V40" s="1571" t="s">
        <v>8</v>
      </c>
      <c r="W40" s="1572">
        <f t="shared" si="12"/>
        <v>100</v>
      </c>
      <c r="X40" s="1565"/>
      <c r="Y40" s="344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41"/>
      <c r="Q41" s="1570">
        <f t="shared" si="14"/>
        <v>111</v>
      </c>
      <c r="R41" s="1571" t="s">
        <v>8</v>
      </c>
      <c r="S41" s="1572">
        <f t="shared" si="10"/>
        <v>100</v>
      </c>
      <c r="T41" s="1571" t="s">
        <v>8</v>
      </c>
      <c r="U41" s="1572">
        <f t="shared" si="11"/>
        <v>100</v>
      </c>
      <c r="V41" s="1571" t="s">
        <v>8</v>
      </c>
      <c r="W41" s="1572">
        <f t="shared" si="12"/>
        <v>100</v>
      </c>
      <c r="X41" s="1565"/>
      <c r="Y41" s="3441"/>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41"/>
      <c r="Q42" s="1570">
        <f t="shared" si="14"/>
        <v>111</v>
      </c>
      <c r="R42" s="1575" t="s">
        <v>8</v>
      </c>
      <c r="S42" s="1576">
        <f t="shared" si="10"/>
        <v>100</v>
      </c>
      <c r="T42" s="1575" t="s">
        <v>8</v>
      </c>
      <c r="U42" s="1576">
        <f t="shared" si="11"/>
        <v>100</v>
      </c>
      <c r="V42" s="1575" t="s">
        <v>8</v>
      </c>
      <c r="W42" s="1576">
        <f t="shared" si="12"/>
        <v>100</v>
      </c>
      <c r="X42" s="1577"/>
      <c r="Y42" s="3441"/>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406" t="str">
        <f>A43</f>
        <v>成交单价</v>
      </c>
      <c r="Q43" s="3406"/>
      <c r="R43" s="3407">
        <f>E43</f>
        <v>0</v>
      </c>
      <c r="S43" s="3407"/>
      <c r="T43" s="3407">
        <f>G43</f>
        <v>0</v>
      </c>
      <c r="U43" s="3407"/>
      <c r="V43" s="3407">
        <f>I43</f>
        <v>0</v>
      </c>
      <c r="W43" s="3407"/>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406" t="str">
        <f>A44</f>
        <v>比较价格（元/平方米）</v>
      </c>
      <c r="Q44" s="3406"/>
      <c r="R44" s="3408" t="e">
        <f>ROUND(PRODUCT(R43,AA9:AA42),0)</f>
        <v>#DIV/0!</v>
      </c>
      <c r="S44" s="3408"/>
      <c r="T44" s="3408" t="e">
        <f>ROUND(PRODUCT(T43,AB9:AB42),0)</f>
        <v>#DIV/0!</v>
      </c>
      <c r="U44" s="3408"/>
      <c r="V44" s="3408" t="e">
        <f>ROUND(PRODUCT(V43,AC9:AC42),0)</f>
        <v>#DIV/0!</v>
      </c>
      <c r="W44" s="3408"/>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403" t="str">
        <f>A45</f>
        <v>估价对象XX用房的比较价格（楼面单价，元/平方米）</v>
      </c>
      <c r="Q45" s="3404"/>
      <c r="R45" s="3405" t="e">
        <f>ROUND(AVERAGE(R44:V44),0)</f>
        <v>#DIV/0!</v>
      </c>
      <c r="S45" s="3405"/>
      <c r="T45" s="3405"/>
      <c r="U45" s="3405"/>
      <c r="V45" s="3405"/>
      <c r="W45" s="340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451" t="s">
        <v>2246</v>
      </c>
      <c r="H52" s="3452"/>
      <c r="I52" s="1951" t="s">
        <v>1909</v>
      </c>
      <c r="J52" s="1553" t="str">
        <f>项目基本情况!F41</f>
        <v>江苏省镇江市丹阳市</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116675.65000000001</v>
      </c>
      <c r="F53" s="1949" t="e">
        <f t="shared" ref="F53:F62" si="15">ROUND(B53*E53/10000,0)</f>
        <v>#DIV/0!</v>
      </c>
      <c r="G53" s="3453"/>
      <c r="H53" s="3454"/>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455"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455"/>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455"/>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455"/>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33335.9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2019-9-1</v>
      </c>
      <c r="D65" s="2798">
        <f>EDATE(C65,-3)</f>
        <v>43617</v>
      </c>
      <c r="E65" s="2798">
        <f t="shared" ref="E65:N65" si="18">EDATE(D65,-3)</f>
        <v>43525</v>
      </c>
      <c r="F65" s="2798">
        <f t="shared" si="18"/>
        <v>43435</v>
      </c>
      <c r="G65" s="2798">
        <f t="shared" si="18"/>
        <v>43344</v>
      </c>
      <c r="H65" s="2798">
        <f t="shared" si="18"/>
        <v>43252</v>
      </c>
      <c r="I65" s="2798">
        <f t="shared" si="18"/>
        <v>43160</v>
      </c>
      <c r="J65" s="2798">
        <f t="shared" si="18"/>
        <v>43070</v>
      </c>
      <c r="K65" s="2798">
        <f t="shared" si="18"/>
        <v>42979</v>
      </c>
      <c r="L65" s="2798">
        <f t="shared" si="18"/>
        <v>42887</v>
      </c>
      <c r="M65" s="2798">
        <f t="shared" si="18"/>
        <v>42795</v>
      </c>
      <c r="N65" s="2798">
        <f t="shared" si="18"/>
        <v>42705</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2019-3</v>
      </c>
      <c r="D67" s="2800" t="str">
        <f t="shared" ref="D67:N67" si="19">YEAR(D65)&amp;"-"&amp;ROUNDUP(MONTH(D65)/3,0)</f>
        <v>2019-2</v>
      </c>
      <c r="E67" s="2800" t="str">
        <f t="shared" si="19"/>
        <v>2019-1</v>
      </c>
      <c r="F67" s="2800" t="str">
        <f t="shared" si="19"/>
        <v>2018-4</v>
      </c>
      <c r="G67" s="2800" t="str">
        <f t="shared" si="19"/>
        <v>2018-3</v>
      </c>
      <c r="H67" s="2800" t="str">
        <f t="shared" si="19"/>
        <v>2018-2</v>
      </c>
      <c r="I67" s="2800" t="str">
        <f t="shared" si="19"/>
        <v>2018-1</v>
      </c>
      <c r="J67" s="2800" t="str">
        <f t="shared" si="19"/>
        <v>2017-4</v>
      </c>
      <c r="K67" s="2800" t="str">
        <f t="shared" si="19"/>
        <v>2017-3</v>
      </c>
      <c r="L67" s="2800" t="str">
        <f t="shared" si="19"/>
        <v>2017-2</v>
      </c>
      <c r="M67" s="2800" t="str">
        <f t="shared" si="19"/>
        <v>2017-1</v>
      </c>
      <c r="N67" s="2800" t="str">
        <f t="shared" si="19"/>
        <v>2016-4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3.5</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65"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3.5</v>
      </c>
      <c r="AA7" s="2191"/>
      <c r="AB7" s="2191"/>
      <c r="AC7" s="2192"/>
      <c r="AD7" s="2928"/>
      <c r="AE7" s="2928"/>
      <c r="AF7" s="2928"/>
      <c r="AG7" s="2928"/>
      <c r="AH7" s="2928"/>
      <c r="AI7" s="2928"/>
      <c r="AJ7" s="2929"/>
    </row>
    <row r="8" spans="1:39" ht="15">
      <c r="A8" s="3466"/>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57" t="s">
        <v>2745</v>
      </c>
      <c r="X8" s="3458"/>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66"/>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56"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66"/>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5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66"/>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56" t="s">
        <v>2743</v>
      </c>
      <c r="X11" s="1046" t="s">
        <v>2728</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8" thickBot="1">
      <c r="A12" s="3465"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56"/>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67"/>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56"/>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67"/>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68"/>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65"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66"/>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43718</v>
      </c>
      <c r="H19" s="1473" t="s">
        <v>2897</v>
      </c>
      <c r="I19" s="2783" t="str">
        <f>IF(H19="季度增幅（自定义）",SUMIF(N21:N24,E2,O21:O24),"")</f>
        <v/>
      </c>
      <c r="J19" s="1469"/>
      <c r="K19" s="1479"/>
      <c r="L19" s="3039" t="s">
        <v>2803</v>
      </c>
      <c r="M19" s="3040">
        <f>ROUND(SUMIF(地价!B2:F2,E2,地价!B23:F23),0)</f>
        <v>0</v>
      </c>
      <c r="N19" s="2785" t="s">
        <v>1641</v>
      </c>
      <c r="O19" s="2784">
        <f>ROUNDDOWN(DATEDIF(E19,G19,"M")/3,0)</f>
        <v>22</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71"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72"/>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72"/>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73"/>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t="str">
        <f>估价对象房地状况!C19</f>
        <v>一般</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t="str">
        <f>估价对象房地状况!C19</f>
        <v>一般</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t="str">
        <f>估价对象房地状况!C19</f>
        <v>一般</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69" t="s">
        <v>1599</v>
      </c>
      <c r="B90" s="3469"/>
      <c r="C90" s="3469"/>
      <c r="D90" s="3469"/>
      <c r="E90" s="3469"/>
      <c r="F90" s="3469"/>
      <c r="G90" s="3469"/>
      <c r="H90" s="3469"/>
      <c r="I90" s="3469"/>
      <c r="J90" s="3469"/>
      <c r="K90" s="2449"/>
      <c r="L90" s="2449"/>
      <c r="M90" s="2449"/>
      <c r="N90" s="2449"/>
    </row>
    <row r="91" spans="1:40">
      <c r="A91" s="3470" t="s">
        <v>1409</v>
      </c>
      <c r="B91" s="3470" t="s">
        <v>1600</v>
      </c>
      <c r="C91" s="1138" t="s">
        <v>1601</v>
      </c>
      <c r="D91" s="1139"/>
      <c r="E91" s="1139"/>
      <c r="F91" s="1139"/>
      <c r="G91" s="1139"/>
      <c r="H91" s="1139"/>
      <c r="I91" s="1139"/>
      <c r="J91" s="1140"/>
      <c r="K91" s="1132"/>
      <c r="L91" s="1132"/>
      <c r="M91" s="1132"/>
      <c r="N91" s="1132"/>
    </row>
    <row r="92" spans="1:40">
      <c r="A92" s="3470"/>
      <c r="B92" s="3470"/>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59"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0"/>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9" t="s">
        <v>1603</v>
      </c>
      <c r="B101" s="1145" t="s">
        <v>871</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6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6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6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6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6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6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60"/>
      <c r="B108" s="3462"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1"/>
      <c r="B109" s="346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64" t="s">
        <v>1605</v>
      </c>
      <c r="B110" s="3464"/>
      <c r="C110" s="3464"/>
      <c r="D110" s="3464"/>
      <c r="E110" s="3464"/>
      <c r="F110" s="3464"/>
      <c r="G110" s="3464"/>
      <c r="H110" s="3464"/>
      <c r="I110" s="3464"/>
      <c r="J110" s="3464"/>
      <c r="K110" s="2447"/>
      <c r="L110" s="2447"/>
      <c r="M110" s="2447"/>
      <c r="N110" s="2447"/>
    </row>
    <row r="112" spans="1:14" ht="12.6" thickBot="1"/>
    <row r="113" spans="1:13" ht="25.8" thickBot="1">
      <c r="A113" s="1014" t="s">
        <v>861</v>
      </c>
      <c r="B113" s="2450">
        <f>G3</f>
        <v>3.5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866</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867</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868</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70" t="s">
        <v>973</v>
      </c>
      <c r="B18" s="1152" t="s">
        <v>1412</v>
      </c>
      <c r="C18" s="1129" t="s">
        <v>1413</v>
      </c>
      <c r="D18" s="1130"/>
      <c r="E18" s="1152">
        <v>1</v>
      </c>
      <c r="F18" s="1131" t="s">
        <v>1414</v>
      </c>
      <c r="G18" s="1132"/>
      <c r="H18" s="1103"/>
      <c r="I18" s="1103"/>
    </row>
    <row r="19" spans="1:9" s="1597" customFormat="1" ht="19.5" customHeight="1">
      <c r="A19" s="3470"/>
      <c r="B19" s="3470" t="s">
        <v>1415</v>
      </c>
      <c r="C19" s="1129" t="s">
        <v>1416</v>
      </c>
      <c r="D19" s="1130"/>
      <c r="E19" s="1152">
        <v>0.9</v>
      </c>
      <c r="F19" s="1131" t="s">
        <v>1417</v>
      </c>
      <c r="G19" s="1132"/>
      <c r="H19" s="1103"/>
      <c r="I19" s="1103"/>
    </row>
    <row r="20" spans="1:9" s="1597" customFormat="1" ht="19.5" customHeight="1">
      <c r="A20" s="3470"/>
      <c r="B20" s="3470"/>
      <c r="C20" s="1129" t="s">
        <v>1418</v>
      </c>
      <c r="D20" s="1130"/>
      <c r="E20" s="1152">
        <v>1.1000000000000001</v>
      </c>
      <c r="F20" s="1131" t="s">
        <v>1419</v>
      </c>
      <c r="G20" s="1132"/>
      <c r="H20" s="1103"/>
      <c r="I20" s="1103"/>
    </row>
    <row r="21" spans="1:9" s="1597" customFormat="1" ht="19.5" customHeight="1">
      <c r="A21" s="3470"/>
      <c r="B21" s="3470"/>
      <c r="C21" s="1129" t="s">
        <v>1420</v>
      </c>
      <c r="D21" s="1130"/>
      <c r="E21" s="1152">
        <v>0.8</v>
      </c>
      <c r="F21" s="1131" t="s">
        <v>1421</v>
      </c>
      <c r="G21" s="1132"/>
      <c r="H21" s="1103"/>
      <c r="I21" s="1103"/>
    </row>
    <row r="22" spans="1:9" s="1597" customFormat="1" ht="19.5" customHeight="1">
      <c r="A22" s="3470"/>
      <c r="B22" s="3470"/>
      <c r="C22" s="1129" t="s">
        <v>1422</v>
      </c>
      <c r="D22" s="1130"/>
      <c r="E22" s="1152">
        <v>0.5</v>
      </c>
      <c r="F22" s="1131"/>
      <c r="G22" s="1132"/>
      <c r="H22" s="1103"/>
      <c r="I22" s="1103"/>
    </row>
    <row r="23" spans="1:9" s="1597" customFormat="1" ht="19.5" customHeight="1">
      <c r="A23" s="3470" t="s">
        <v>995</v>
      </c>
      <c r="B23" s="1152" t="s">
        <v>1412</v>
      </c>
      <c r="C23" s="1129" t="s">
        <v>1423</v>
      </c>
      <c r="D23" s="1130"/>
      <c r="E23" s="1152">
        <v>1</v>
      </c>
      <c r="F23" s="1131" t="s">
        <v>1424</v>
      </c>
      <c r="G23" s="1132"/>
      <c r="H23" s="1103"/>
      <c r="I23" s="1103"/>
    </row>
    <row r="24" spans="1:9" s="1597" customFormat="1" ht="19.5" customHeight="1">
      <c r="A24" s="3470"/>
      <c r="B24" s="3470" t="s">
        <v>1415</v>
      </c>
      <c r="C24" s="1129" t="s">
        <v>1425</v>
      </c>
      <c r="D24" s="1130"/>
      <c r="E24" s="1152">
        <v>0.5</v>
      </c>
      <c r="F24" s="1131"/>
      <c r="G24" s="1132"/>
      <c r="H24" s="1103"/>
      <c r="I24" s="1103"/>
    </row>
    <row r="25" spans="1:9" s="1597" customFormat="1" ht="19.5" customHeight="1">
      <c r="A25" s="3470"/>
      <c r="B25" s="3470"/>
      <c r="C25" s="1129" t="s">
        <v>1426</v>
      </c>
      <c r="D25" s="1130"/>
      <c r="E25" s="1152">
        <v>1.1000000000000001</v>
      </c>
      <c r="F25" s="1131"/>
      <c r="G25" s="1132"/>
      <c r="H25" s="1103"/>
      <c r="I25" s="1103"/>
    </row>
    <row r="26" spans="1:9" s="1597" customFormat="1" ht="19.5" customHeight="1">
      <c r="A26" s="3470"/>
      <c r="B26" s="3470"/>
      <c r="C26" s="1129" t="s">
        <v>1427</v>
      </c>
      <c r="D26" s="1130"/>
      <c r="E26" s="1152">
        <v>1.1000000000000001</v>
      </c>
      <c r="F26" s="1131"/>
      <c r="G26" s="1132"/>
      <c r="H26" s="1103"/>
      <c r="I26" s="1103"/>
    </row>
    <row r="27" spans="1:9" s="1597" customFormat="1" ht="19.5" customHeight="1">
      <c r="A27" s="3470"/>
      <c r="B27" s="3470"/>
      <c r="C27" s="1129" t="s">
        <v>1428</v>
      </c>
      <c r="D27" s="1130"/>
      <c r="E27" s="1152">
        <v>0.9</v>
      </c>
      <c r="F27" s="1131" t="s">
        <v>1429</v>
      </c>
      <c r="G27" s="1132"/>
      <c r="H27" s="1103"/>
      <c r="I27" s="1103"/>
    </row>
    <row r="28" spans="1:9" s="1597" customFormat="1" ht="19.5" customHeight="1">
      <c r="A28" s="3470"/>
      <c r="B28" s="3470"/>
      <c r="C28" s="1129" t="s">
        <v>1430</v>
      </c>
      <c r="D28" s="1130"/>
      <c r="E28" s="1152">
        <v>0.9</v>
      </c>
      <c r="F28" s="1131" t="s">
        <v>1431</v>
      </c>
      <c r="G28" s="1132"/>
      <c r="H28" s="1103"/>
      <c r="I28" s="1103"/>
    </row>
    <row r="29" spans="1:9" s="1597" customFormat="1" ht="19.5" customHeight="1">
      <c r="A29" s="3470"/>
      <c r="B29" s="3470"/>
      <c r="C29" s="1129" t="s">
        <v>1432</v>
      </c>
      <c r="D29" s="1130"/>
      <c r="E29" s="1152">
        <v>0.9</v>
      </c>
      <c r="F29" s="1131" t="s">
        <v>1433</v>
      </c>
      <c r="G29" s="1132"/>
      <c r="H29" s="1103"/>
      <c r="I29" s="1103"/>
    </row>
    <row r="30" spans="1:9" s="1597" customFormat="1" ht="19.5" customHeight="1">
      <c r="A30" s="3470"/>
      <c r="B30" s="3470"/>
      <c r="C30" s="1129" t="s">
        <v>1434</v>
      </c>
      <c r="D30" s="1130"/>
      <c r="E30" s="1152">
        <v>0.9</v>
      </c>
      <c r="F30" s="1131" t="s">
        <v>1435</v>
      </c>
      <c r="G30" s="1132"/>
      <c r="H30" s="1103"/>
      <c r="I30" s="1103"/>
    </row>
    <row r="31" spans="1:9" s="1597" customFormat="1" ht="19.5" customHeight="1">
      <c r="A31" s="3470"/>
      <c r="B31" s="3470"/>
      <c r="C31" s="1129" t="s">
        <v>1436</v>
      </c>
      <c r="D31" s="1130"/>
      <c r="E31" s="1152">
        <v>0.8</v>
      </c>
      <c r="F31" s="1131" t="s">
        <v>1437</v>
      </c>
      <c r="G31" s="1132"/>
      <c r="H31" s="1103"/>
      <c r="I31" s="1103"/>
    </row>
    <row r="32" spans="1:9" s="1597" customFormat="1" ht="19.5" customHeight="1">
      <c r="A32" s="3470"/>
      <c r="B32" s="3470"/>
      <c r="C32" s="1129" t="s">
        <v>1438</v>
      </c>
      <c r="D32" s="1130"/>
      <c r="E32" s="1152">
        <v>0.8</v>
      </c>
      <c r="F32" s="1131" t="s">
        <v>1439</v>
      </c>
      <c r="G32" s="1132"/>
      <c r="H32" s="1103"/>
      <c r="I32" s="1103"/>
    </row>
    <row r="33" spans="1:9" s="1597" customFormat="1" ht="19.5" customHeight="1">
      <c r="A33" s="3470" t="s">
        <v>1440</v>
      </c>
      <c r="B33" s="1152" t="s">
        <v>1412</v>
      </c>
      <c r="C33" s="1129" t="s">
        <v>1441</v>
      </c>
      <c r="D33" s="1130"/>
      <c r="E33" s="1152">
        <v>1</v>
      </c>
      <c r="F33" s="1131" t="s">
        <v>1442</v>
      </c>
      <c r="G33" s="1132"/>
      <c r="H33" s="1103"/>
      <c r="I33" s="1103"/>
    </row>
    <row r="34" spans="1:9" s="1597" customFormat="1" ht="19.5" customHeight="1">
      <c r="A34" s="3470"/>
      <c r="B34" s="1152" t="s">
        <v>1415</v>
      </c>
      <c r="C34" s="1129" t="s">
        <v>1443</v>
      </c>
      <c r="D34" s="1130"/>
      <c r="E34" s="1152">
        <v>1.5</v>
      </c>
      <c r="F34" s="1131" t="s">
        <v>1444</v>
      </c>
      <c r="G34" s="1132"/>
      <c r="H34" s="1103"/>
      <c r="I34" s="1103"/>
    </row>
    <row r="35" spans="1:9" s="1597" customFormat="1" ht="19.5" customHeight="1">
      <c r="A35" s="3470" t="s">
        <v>1398</v>
      </c>
      <c r="B35" s="1152" t="s">
        <v>1412</v>
      </c>
      <c r="C35" s="1129" t="s">
        <v>1445</v>
      </c>
      <c r="D35" s="1130"/>
      <c r="E35" s="1152">
        <v>1</v>
      </c>
      <c r="F35" s="1131" t="s">
        <v>1446</v>
      </c>
      <c r="G35" s="1132"/>
      <c r="H35" s="1103"/>
      <c r="I35" s="1103"/>
    </row>
    <row r="36" spans="1:9" s="1597" customFormat="1" ht="19.5" customHeight="1">
      <c r="A36" s="3470"/>
      <c r="B36" s="3470" t="s">
        <v>1415</v>
      </c>
      <c r="C36" s="1129" t="s">
        <v>1447</v>
      </c>
      <c r="D36" s="1130"/>
      <c r="E36" s="1152">
        <v>1</v>
      </c>
      <c r="F36" s="1131" t="s">
        <v>1448</v>
      </c>
      <c r="G36" s="1132"/>
      <c r="H36" s="1103"/>
      <c r="I36" s="1103"/>
    </row>
    <row r="37" spans="1:9" s="1597" customFormat="1" ht="19.5" customHeight="1">
      <c r="A37" s="3470"/>
      <c r="B37" s="3470"/>
      <c r="C37" s="1129" t="s">
        <v>1449</v>
      </c>
      <c r="D37" s="1130"/>
      <c r="E37" s="1152">
        <v>1.5</v>
      </c>
      <c r="F37" s="1131" t="s">
        <v>1450</v>
      </c>
      <c r="G37" s="1132"/>
      <c r="H37" s="1103"/>
      <c r="I37" s="1103"/>
    </row>
    <row r="38" spans="1:9" s="1597" customFormat="1" ht="19.5" customHeight="1">
      <c r="A38" s="3470"/>
      <c r="B38" s="3470"/>
      <c r="C38" s="1129" t="s">
        <v>1451</v>
      </c>
      <c r="D38" s="1130"/>
      <c r="E38" s="1152">
        <v>1</v>
      </c>
      <c r="F38" s="1131" t="s">
        <v>1452</v>
      </c>
      <c r="G38" s="1132"/>
      <c r="H38" s="1103"/>
      <c r="I38" s="1103"/>
    </row>
    <row r="39" spans="1:9" s="1597" customFormat="1" ht="19.5" customHeight="1">
      <c r="A39" s="3470"/>
      <c r="B39" s="3470"/>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70" t="s">
        <v>1467</v>
      </c>
      <c r="C61" s="1066" t="s">
        <v>1468</v>
      </c>
      <c r="D61" s="1066" t="s">
        <v>1469</v>
      </c>
      <c r="E61" s="1137">
        <v>0.5</v>
      </c>
      <c r="F61" s="1152">
        <v>80</v>
      </c>
      <c r="H61" s="1103">
        <f>SUMIF(C59:C119,基准地价!C8,E59:E119)</f>
        <v>0</v>
      </c>
    </row>
    <row r="62" spans="1:8" s="1103" customFormat="1" ht="36">
      <c r="A62" s="1152">
        <v>2</v>
      </c>
      <c r="B62" s="3470"/>
      <c r="C62" s="1066" t="s">
        <v>1470</v>
      </c>
      <c r="D62" s="1066" t="s">
        <v>1471</v>
      </c>
      <c r="E62" s="1137">
        <v>0.5</v>
      </c>
      <c r="F62" s="1152">
        <v>80</v>
      </c>
    </row>
    <row r="63" spans="1:8" s="1103" customFormat="1" ht="48">
      <c r="A63" s="1152">
        <v>3</v>
      </c>
      <c r="B63" s="3470"/>
      <c r="C63" s="1066" t="s">
        <v>1472</v>
      </c>
      <c r="D63" s="1066" t="s">
        <v>1473</v>
      </c>
      <c r="E63" s="1137">
        <v>0.5</v>
      </c>
      <c r="F63" s="1152">
        <v>80</v>
      </c>
    </row>
    <row r="64" spans="1:8" s="1103" customFormat="1" ht="48">
      <c r="A64" s="1152">
        <v>4</v>
      </c>
      <c r="B64" s="3470"/>
      <c r="C64" s="1066" t="s">
        <v>1474</v>
      </c>
      <c r="D64" s="1066" t="s">
        <v>1475</v>
      </c>
      <c r="E64" s="1137">
        <v>0.4</v>
      </c>
      <c r="F64" s="1152">
        <v>60</v>
      </c>
    </row>
    <row r="65" spans="1:6" s="1103" customFormat="1" ht="48">
      <c r="A65" s="1152">
        <v>5</v>
      </c>
      <c r="B65" s="3470"/>
      <c r="C65" s="1066" t="s">
        <v>1476</v>
      </c>
      <c r="D65" s="1066" t="s">
        <v>1477</v>
      </c>
      <c r="E65" s="1137">
        <v>0.2</v>
      </c>
      <c r="F65" s="1152">
        <v>30</v>
      </c>
    </row>
    <row r="66" spans="1:6" s="1103" customFormat="1" ht="48">
      <c r="A66" s="1152">
        <v>6</v>
      </c>
      <c r="B66" s="3470"/>
      <c r="C66" s="1066" t="s">
        <v>1478</v>
      </c>
      <c r="D66" s="1066" t="s">
        <v>1479</v>
      </c>
      <c r="E66" s="1137">
        <v>0.3</v>
      </c>
      <c r="F66" s="1152">
        <v>50</v>
      </c>
    </row>
    <row r="67" spans="1:6" s="1103" customFormat="1" ht="48">
      <c r="A67" s="1152">
        <v>7</v>
      </c>
      <c r="B67" s="3470"/>
      <c r="C67" s="1066" t="s">
        <v>1480</v>
      </c>
      <c r="D67" s="1066" t="s">
        <v>1481</v>
      </c>
      <c r="E67" s="1137">
        <v>0.2</v>
      </c>
      <c r="F67" s="1152">
        <v>30</v>
      </c>
    </row>
    <row r="68" spans="1:6" s="1103" customFormat="1" ht="48">
      <c r="A68" s="1152">
        <v>8</v>
      </c>
      <c r="B68" s="3470"/>
      <c r="C68" s="1066" t="s">
        <v>1482</v>
      </c>
      <c r="D68" s="1066" t="s">
        <v>1483</v>
      </c>
      <c r="E68" s="1137">
        <v>0.2</v>
      </c>
      <c r="F68" s="1152">
        <v>30</v>
      </c>
    </row>
    <row r="69" spans="1:6" s="1103" customFormat="1" ht="48">
      <c r="A69" s="1152">
        <v>9</v>
      </c>
      <c r="B69" s="3470"/>
      <c r="C69" s="1066" t="s">
        <v>1484</v>
      </c>
      <c r="D69" s="1066" t="s">
        <v>1485</v>
      </c>
      <c r="E69" s="1137">
        <v>0.2</v>
      </c>
      <c r="F69" s="1152">
        <v>30</v>
      </c>
    </row>
    <row r="70" spans="1:6" s="1103" customFormat="1" ht="60">
      <c r="A70" s="1152">
        <v>10</v>
      </c>
      <c r="B70" s="3470"/>
      <c r="C70" s="1066" t="s">
        <v>1486</v>
      </c>
      <c r="D70" s="1066" t="s">
        <v>1487</v>
      </c>
      <c r="E70" s="1137">
        <v>0.2</v>
      </c>
      <c r="F70" s="1152">
        <v>30</v>
      </c>
    </row>
    <row r="71" spans="1:6" s="1103" customFormat="1" ht="60">
      <c r="A71" s="1152">
        <v>11</v>
      </c>
      <c r="B71" s="3470"/>
      <c r="C71" s="1066" t="s">
        <v>1488</v>
      </c>
      <c r="D71" s="1066" t="s">
        <v>1489</v>
      </c>
      <c r="E71" s="1137">
        <v>0.2</v>
      </c>
      <c r="F71" s="1152">
        <v>30</v>
      </c>
    </row>
    <row r="72" spans="1:6" s="1103" customFormat="1" ht="36">
      <c r="A72" s="1152">
        <v>12</v>
      </c>
      <c r="B72" s="3470"/>
      <c r="C72" s="1066" t="s">
        <v>1490</v>
      </c>
      <c r="D72" s="1066" t="s">
        <v>1491</v>
      </c>
      <c r="E72" s="1137">
        <v>0.5</v>
      </c>
      <c r="F72" s="1152">
        <v>80</v>
      </c>
    </row>
    <row r="73" spans="1:6" s="1103" customFormat="1" ht="36">
      <c r="A73" s="1152">
        <v>13</v>
      </c>
      <c r="B73" s="3470"/>
      <c r="C73" s="1066" t="s">
        <v>1492</v>
      </c>
      <c r="D73" s="1066" t="s">
        <v>1493</v>
      </c>
      <c r="E73" s="1137">
        <v>0.4</v>
      </c>
      <c r="F73" s="1152">
        <v>60</v>
      </c>
    </row>
    <row r="74" spans="1:6" s="1103" customFormat="1" ht="36">
      <c r="A74" s="1152">
        <v>14</v>
      </c>
      <c r="B74" s="3470"/>
      <c r="C74" s="1066" t="s">
        <v>1494</v>
      </c>
      <c r="D74" s="1066" t="s">
        <v>1495</v>
      </c>
      <c r="E74" s="1137">
        <v>0.2</v>
      </c>
      <c r="F74" s="1152">
        <v>30</v>
      </c>
    </row>
    <row r="75" spans="1:6" s="1103" customFormat="1" ht="36">
      <c r="A75" s="1152">
        <v>15</v>
      </c>
      <c r="B75" s="3470"/>
      <c r="C75" s="1066" t="s">
        <v>1496</v>
      </c>
      <c r="D75" s="1066" t="s">
        <v>1497</v>
      </c>
      <c r="E75" s="1137">
        <v>0.2</v>
      </c>
      <c r="F75" s="1152">
        <v>30</v>
      </c>
    </row>
    <row r="76" spans="1:6" s="1103" customFormat="1" ht="36">
      <c r="A76" s="1152">
        <v>16</v>
      </c>
      <c r="B76" s="3470" t="s">
        <v>1498</v>
      </c>
      <c r="C76" s="1066" t="s">
        <v>1499</v>
      </c>
      <c r="D76" s="1066" t="s">
        <v>1500</v>
      </c>
      <c r="E76" s="1137">
        <v>0.5</v>
      </c>
      <c r="F76" s="1152">
        <v>80</v>
      </c>
    </row>
    <row r="77" spans="1:6" s="1103" customFormat="1" ht="36">
      <c r="A77" s="1152">
        <v>17</v>
      </c>
      <c r="B77" s="3470"/>
      <c r="C77" s="1066" t="s">
        <v>1501</v>
      </c>
      <c r="D77" s="1066" t="s">
        <v>1502</v>
      </c>
      <c r="E77" s="1137">
        <v>0.5</v>
      </c>
      <c r="F77" s="1152">
        <v>80</v>
      </c>
    </row>
    <row r="78" spans="1:6" s="1103" customFormat="1" ht="36">
      <c r="A78" s="1152">
        <v>18</v>
      </c>
      <c r="B78" s="3470"/>
      <c r="C78" s="1066" t="s">
        <v>1503</v>
      </c>
      <c r="D78" s="1066" t="s">
        <v>1504</v>
      </c>
      <c r="E78" s="1137">
        <v>0.2</v>
      </c>
      <c r="F78" s="1152">
        <v>30</v>
      </c>
    </row>
    <row r="79" spans="1:6" s="1103" customFormat="1" ht="36">
      <c r="A79" s="1152">
        <v>19</v>
      </c>
      <c r="B79" s="3470"/>
      <c r="C79" s="1066" t="s">
        <v>1505</v>
      </c>
      <c r="D79" s="1066" t="s">
        <v>1506</v>
      </c>
      <c r="E79" s="1137">
        <v>0.5</v>
      </c>
      <c r="F79" s="1152">
        <v>80</v>
      </c>
    </row>
    <row r="80" spans="1:6" s="1103" customFormat="1" ht="36">
      <c r="A80" s="1152">
        <v>20</v>
      </c>
      <c r="B80" s="3470"/>
      <c r="C80" s="1066" t="s">
        <v>1507</v>
      </c>
      <c r="D80" s="1066" t="s">
        <v>1508</v>
      </c>
      <c r="E80" s="1137">
        <v>0.2</v>
      </c>
      <c r="F80" s="1152">
        <v>30</v>
      </c>
    </row>
    <row r="81" spans="1:6" s="1103" customFormat="1" ht="36">
      <c r="A81" s="1152">
        <v>21</v>
      </c>
      <c r="B81" s="3470"/>
      <c r="C81" s="1066" t="s">
        <v>1509</v>
      </c>
      <c r="D81" s="1066" t="s">
        <v>1510</v>
      </c>
      <c r="E81" s="1137">
        <v>0.2</v>
      </c>
      <c r="F81" s="1152">
        <v>30</v>
      </c>
    </row>
    <row r="82" spans="1:6" s="1103" customFormat="1" ht="60">
      <c r="A82" s="1152">
        <v>22</v>
      </c>
      <c r="B82" s="3470"/>
      <c r="C82" s="1066" t="s">
        <v>1511</v>
      </c>
      <c r="D82" s="1066" t="s">
        <v>1512</v>
      </c>
      <c r="E82" s="1137">
        <v>0.2</v>
      </c>
      <c r="F82" s="1152">
        <v>30</v>
      </c>
    </row>
    <row r="83" spans="1:6" s="1103" customFormat="1" ht="60">
      <c r="A83" s="1152">
        <v>23</v>
      </c>
      <c r="B83" s="3470"/>
      <c r="C83" s="1066" t="s">
        <v>1513</v>
      </c>
      <c r="D83" s="1066" t="s">
        <v>1514</v>
      </c>
      <c r="E83" s="1137">
        <v>0.2</v>
      </c>
      <c r="F83" s="1152">
        <v>30</v>
      </c>
    </row>
    <row r="84" spans="1:6" s="1103" customFormat="1" ht="48">
      <c r="A84" s="1152">
        <v>24</v>
      </c>
      <c r="B84" s="3470"/>
      <c r="C84" s="1066" t="s">
        <v>1515</v>
      </c>
      <c r="D84" s="1066" t="s">
        <v>1516</v>
      </c>
      <c r="E84" s="1137">
        <v>0.2</v>
      </c>
      <c r="F84" s="1152">
        <v>30</v>
      </c>
    </row>
    <row r="85" spans="1:6" s="1103" customFormat="1" ht="36">
      <c r="A85" s="1152">
        <v>25</v>
      </c>
      <c r="B85" s="3470"/>
      <c r="C85" s="1066" t="s">
        <v>1517</v>
      </c>
      <c r="D85" s="1066" t="s">
        <v>1518</v>
      </c>
      <c r="E85" s="1137">
        <v>0.5</v>
      </c>
      <c r="F85" s="1152">
        <v>80</v>
      </c>
    </row>
    <row r="86" spans="1:6" s="1103" customFormat="1" ht="36">
      <c r="A86" s="1152">
        <v>26</v>
      </c>
      <c r="B86" s="3470"/>
      <c r="C86" s="1066" t="s">
        <v>1519</v>
      </c>
      <c r="D86" s="1066" t="s">
        <v>1520</v>
      </c>
      <c r="E86" s="1137">
        <v>0.2</v>
      </c>
      <c r="F86" s="1152">
        <v>30</v>
      </c>
    </row>
    <row r="87" spans="1:6" s="1103" customFormat="1" ht="36">
      <c r="A87" s="1152">
        <v>27</v>
      </c>
      <c r="B87" s="3470"/>
      <c r="C87" s="1066" t="s">
        <v>1521</v>
      </c>
      <c r="D87" s="1066" t="s">
        <v>1522</v>
      </c>
      <c r="E87" s="1137">
        <v>0.2</v>
      </c>
      <c r="F87" s="1152">
        <v>30</v>
      </c>
    </row>
    <row r="88" spans="1:6" s="1103" customFormat="1" ht="36">
      <c r="A88" s="1152">
        <v>28</v>
      </c>
      <c r="B88" s="3470"/>
      <c r="C88" s="1066" t="s">
        <v>1523</v>
      </c>
      <c r="D88" s="1066" t="s">
        <v>1524</v>
      </c>
      <c r="E88" s="1137">
        <v>0.2</v>
      </c>
      <c r="F88" s="1152">
        <v>30</v>
      </c>
    </row>
    <row r="89" spans="1:6" s="1103" customFormat="1" ht="36">
      <c r="A89" s="1152">
        <v>29</v>
      </c>
      <c r="B89" s="3470"/>
      <c r="C89" s="1066" t="s">
        <v>1525</v>
      </c>
      <c r="D89" s="1066" t="s">
        <v>1526</v>
      </c>
      <c r="E89" s="1137">
        <v>0.2</v>
      </c>
      <c r="F89" s="1152">
        <v>30</v>
      </c>
    </row>
    <row r="90" spans="1:6" s="1103" customFormat="1" ht="36">
      <c r="A90" s="1152">
        <v>30</v>
      </c>
      <c r="B90" s="3470"/>
      <c r="C90" s="1066" t="s">
        <v>1527</v>
      </c>
      <c r="D90" s="1066" t="s">
        <v>1528</v>
      </c>
      <c r="E90" s="1137">
        <v>0.2</v>
      </c>
      <c r="F90" s="1152">
        <v>30</v>
      </c>
    </row>
    <row r="91" spans="1:6" s="1103" customFormat="1" ht="48">
      <c r="A91" s="1152">
        <v>31</v>
      </c>
      <c r="B91" s="3470"/>
      <c r="C91" s="1066" t="s">
        <v>1529</v>
      </c>
      <c r="D91" s="1066" t="s">
        <v>1530</v>
      </c>
      <c r="E91" s="1137">
        <v>0.2</v>
      </c>
      <c r="F91" s="1152">
        <v>30</v>
      </c>
    </row>
    <row r="92" spans="1:6" s="1103" customFormat="1" ht="36">
      <c r="A92" s="1152">
        <v>32</v>
      </c>
      <c r="B92" s="3470" t="s">
        <v>1531</v>
      </c>
      <c r="C92" s="1152" t="s">
        <v>1532</v>
      </c>
      <c r="D92" s="1066" t="s">
        <v>1533</v>
      </c>
      <c r="E92" s="1137">
        <v>0.2</v>
      </c>
      <c r="F92" s="1152">
        <v>30</v>
      </c>
    </row>
    <row r="93" spans="1:6" s="1103" customFormat="1" ht="36">
      <c r="A93" s="1152">
        <v>33</v>
      </c>
      <c r="B93" s="3470"/>
      <c r="C93" s="1152" t="s">
        <v>1534</v>
      </c>
      <c r="D93" s="1066" t="s">
        <v>1535</v>
      </c>
      <c r="E93" s="1137">
        <v>0.2</v>
      </c>
      <c r="F93" s="1152">
        <v>30</v>
      </c>
    </row>
    <row r="94" spans="1:6" s="1103" customFormat="1" ht="60">
      <c r="A94" s="1152">
        <v>34</v>
      </c>
      <c r="B94" s="3470"/>
      <c r="C94" s="1152" t="s">
        <v>1536</v>
      </c>
      <c r="D94" s="1066" t="s">
        <v>1537</v>
      </c>
      <c r="E94" s="1137">
        <v>0.2</v>
      </c>
      <c r="F94" s="1152">
        <v>30</v>
      </c>
    </row>
    <row r="95" spans="1:6" s="1103" customFormat="1" ht="48">
      <c r="A95" s="1152">
        <v>35</v>
      </c>
      <c r="B95" s="3470"/>
      <c r="C95" s="1152" t="s">
        <v>1538</v>
      </c>
      <c r="D95" s="1066" t="s">
        <v>1539</v>
      </c>
      <c r="E95" s="1137">
        <v>0.2</v>
      </c>
      <c r="F95" s="1152">
        <v>30</v>
      </c>
    </row>
    <row r="96" spans="1:6" s="1103" customFormat="1" ht="72">
      <c r="A96" s="1152">
        <v>36</v>
      </c>
      <c r="B96" s="3470"/>
      <c r="C96" s="1066" t="s">
        <v>1540</v>
      </c>
      <c r="D96" s="1066" t="s">
        <v>1541</v>
      </c>
      <c r="E96" s="1137">
        <v>0.2</v>
      </c>
      <c r="F96" s="1152">
        <v>30</v>
      </c>
    </row>
    <row r="97" spans="1:6" s="1103" customFormat="1" ht="36">
      <c r="A97" s="1152">
        <v>37</v>
      </c>
      <c r="B97" s="3470"/>
      <c r="C97" s="1152" t="s">
        <v>1542</v>
      </c>
      <c r="D97" s="1066" t="s">
        <v>1543</v>
      </c>
      <c r="E97" s="1137">
        <v>0.2</v>
      </c>
      <c r="F97" s="1152">
        <v>30</v>
      </c>
    </row>
    <row r="98" spans="1:6" s="1103" customFormat="1" ht="36">
      <c r="A98" s="1152">
        <v>38</v>
      </c>
      <c r="B98" s="3470"/>
      <c r="C98" s="1152" t="s">
        <v>1544</v>
      </c>
      <c r="D98" s="1066" t="s">
        <v>1545</v>
      </c>
      <c r="E98" s="1137">
        <v>0.2</v>
      </c>
      <c r="F98" s="1152">
        <v>30</v>
      </c>
    </row>
    <row r="99" spans="1:6" s="1103" customFormat="1" ht="36">
      <c r="A99" s="1152">
        <v>39</v>
      </c>
      <c r="B99" s="3470" t="s">
        <v>1546</v>
      </c>
      <c r="C99" s="1152" t="s">
        <v>1547</v>
      </c>
      <c r="D99" s="1066" t="s">
        <v>1548</v>
      </c>
      <c r="E99" s="1137">
        <v>0.3</v>
      </c>
      <c r="F99" s="1152">
        <v>50</v>
      </c>
    </row>
    <row r="100" spans="1:6" s="1103" customFormat="1" ht="36">
      <c r="A100" s="1152">
        <v>40</v>
      </c>
      <c r="B100" s="3470"/>
      <c r="C100" s="1152" t="s">
        <v>1549</v>
      </c>
      <c r="D100" s="1066" t="s">
        <v>1550</v>
      </c>
      <c r="E100" s="1137">
        <v>0.2</v>
      </c>
      <c r="F100" s="1152">
        <v>30</v>
      </c>
    </row>
    <row r="101" spans="1:6" s="1103" customFormat="1" ht="36">
      <c r="A101" s="1152">
        <v>41</v>
      </c>
      <c r="B101" s="3470"/>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70" t="s">
        <v>1561</v>
      </c>
      <c r="C105" s="1152" t="s">
        <v>1562</v>
      </c>
      <c r="D105" s="1066" t="s">
        <v>1563</v>
      </c>
      <c r="E105" s="1137">
        <v>0.2</v>
      </c>
      <c r="F105" s="1152">
        <v>30</v>
      </c>
    </row>
    <row r="106" spans="1:6" s="1103" customFormat="1" ht="48">
      <c r="A106" s="1152">
        <v>46</v>
      </c>
      <c r="B106" s="3470"/>
      <c r="C106" s="1152" t="s">
        <v>1564</v>
      </c>
      <c r="D106" s="1066" t="s">
        <v>1565</v>
      </c>
      <c r="E106" s="1137">
        <v>0.2</v>
      </c>
      <c r="F106" s="1152">
        <v>30</v>
      </c>
    </row>
    <row r="107" spans="1:6" s="1103" customFormat="1" ht="36">
      <c r="A107" s="1152">
        <v>47</v>
      </c>
      <c r="B107" s="3470" t="s">
        <v>1566</v>
      </c>
      <c r="C107" s="1152" t="s">
        <v>1567</v>
      </c>
      <c r="D107" s="1066" t="s">
        <v>1568</v>
      </c>
      <c r="E107" s="1137">
        <v>0.3</v>
      </c>
      <c r="F107" s="1152">
        <v>50</v>
      </c>
    </row>
    <row r="108" spans="1:6" s="1103" customFormat="1" ht="48">
      <c r="A108" s="1152">
        <v>48</v>
      </c>
      <c r="B108" s="3470"/>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70" t="s">
        <v>1577</v>
      </c>
      <c r="C111" s="1152" t="s">
        <v>1578</v>
      </c>
      <c r="D111" s="1066" t="s">
        <v>1579</v>
      </c>
      <c r="E111" s="1137">
        <v>0.2</v>
      </c>
      <c r="F111" s="1152">
        <v>30</v>
      </c>
    </row>
    <row r="112" spans="1:6" s="1103" customFormat="1" ht="36">
      <c r="A112" s="1152">
        <v>52</v>
      </c>
      <c r="B112" s="3470"/>
      <c r="C112" s="1152" t="s">
        <v>1580</v>
      </c>
      <c r="D112" s="1066" t="s">
        <v>1581</v>
      </c>
      <c r="E112" s="1137">
        <v>0.2</v>
      </c>
      <c r="F112" s="1152">
        <v>30</v>
      </c>
    </row>
    <row r="113" spans="1:14" s="1103" customFormat="1" ht="36">
      <c r="A113" s="1152">
        <v>53</v>
      </c>
      <c r="B113" s="3470"/>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70" t="s">
        <v>1590</v>
      </c>
      <c r="C116" s="1152" t="s">
        <v>1591</v>
      </c>
      <c r="D116" s="1066" t="s">
        <v>1592</v>
      </c>
      <c r="E116" s="1137">
        <v>0.2</v>
      </c>
      <c r="F116" s="1152">
        <v>30</v>
      </c>
    </row>
    <row r="117" spans="1:14" ht="36">
      <c r="A117" s="1152">
        <v>57</v>
      </c>
      <c r="B117" s="3470"/>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69" t="s">
        <v>1599</v>
      </c>
      <c r="B121" s="3469"/>
      <c r="C121" s="3469"/>
      <c r="D121" s="3469"/>
      <c r="E121" s="3469"/>
      <c r="F121" s="3469"/>
      <c r="G121" s="3469"/>
      <c r="H121" s="3469"/>
      <c r="I121" s="3469"/>
      <c r="J121" s="346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74" t="s">
        <v>1005</v>
      </c>
      <c r="B1" s="3474"/>
      <c r="C1" s="3474"/>
      <c r="D1" s="3474"/>
      <c r="E1" s="3474"/>
      <c r="F1" s="3474"/>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75" t="s">
        <v>1018</v>
      </c>
      <c r="B2" s="3475"/>
      <c r="C2" s="3475"/>
      <c r="D2" s="3475"/>
      <c r="E2" s="3475"/>
      <c r="F2" s="3475"/>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76"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77"/>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78" t="s">
        <v>2041</v>
      </c>
      <c r="B1" s="3478"/>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52.2">
      <c r="A4" s="1790" t="str">
        <f>"受贵公司委托，我公司对"&amp;项目基本情况!K2&amp;项目基本情况!B9&amp;"进行了预评估。"</f>
        <v>受贵公司委托，我公司对江苏省镇江市丹阳市北二环路（宗地代码321181403212GB00076）1宗城镇住宅用地出让国有建设用地使用权抵押价格进行了预评估。</v>
      </c>
    </row>
    <row r="5" spans="1:4" ht="17.399999999999999">
      <c r="A5" s="1793" t="s">
        <v>1867</v>
      </c>
    </row>
    <row r="6" spans="1:4" ht="87">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丹阳市北二环路（宗地代码321181403212GB00076）1宗城镇住宅用地出让国有建设用地使用权。根据苏（2019）丹阳市不动产权第0015263号，估价对象（分摊）出让国有建设用地使用权面积为33335.9平方米。根据《出让合同》，估价对象规划建筑面积为116675.65平方米。</v>
      </c>
    </row>
    <row r="7" spans="1:4" ht="52.2">
      <c r="A7" s="1794" t="s">
        <v>2709</v>
      </c>
    </row>
    <row r="8" spans="1:4" ht="17.399999999999999">
      <c r="A8" s="1793" t="s">
        <v>1868</v>
      </c>
    </row>
    <row r="9" spans="1:4" ht="87">
      <c r="A9" s="1795" t="str">
        <f>IF(项目基本情况!B8="抵押",IF(项目基本情况!B5=项目基本情况!B6,定义!C51,定义!B51),定义!D51)</f>
        <v>拟使用江苏省镇江市丹阳市北二环路（宗地代码321181403212GB00076）1宗城镇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2019年9月10日（评估专业人员勘察现场之日）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根据苏（2019）丹阳市不动产权第0015263号，估价对象（分摊）出让国有建设用地使用权面积为33335.9平方米。根据《出让合同》，估价对象规划建筑面积为116675.65平方米。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本次估价对象为出让国有建设用地使用权，证载土地终止日期为住宅2057年12月2日。截至估价期日，出让国有建设用地使用权剩余土地使用年限为。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2019年9月10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c r="D1" s="2049"/>
      <c r="E1" s="2386" t="s">
        <v>2336</v>
      </c>
      <c r="F1" s="2387">
        <f ca="1">J54</f>
        <v>-2</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5" t="s">
        <v>660</v>
      </c>
      <c r="I3" s="2056"/>
      <c r="J3" s="2056"/>
      <c r="K3" s="2057"/>
      <c r="L3" s="2056"/>
      <c r="M3" s="2056"/>
    </row>
    <row r="4" spans="1:25" ht="18" customHeight="1">
      <c r="A4" s="1644" t="s">
        <v>661</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495" t="s">
        <v>2423</v>
      </c>
      <c r="E7" s="2489"/>
      <c r="F7" s="2490"/>
      <c r="G7" s="1590"/>
      <c r="H7" s="780">
        <v>1</v>
      </c>
      <c r="I7" s="781" t="s">
        <v>2420</v>
      </c>
      <c r="J7" s="52">
        <f ca="1">J8+J12+J14</f>
        <v>0</v>
      </c>
      <c r="K7" s="2495" t="s">
        <v>2423</v>
      </c>
      <c r="L7" s="2489"/>
      <c r="M7" s="2490"/>
    </row>
    <row r="8" spans="1:25" ht="18" customHeight="1">
      <c r="A8" s="1829" t="s">
        <v>1786</v>
      </c>
      <c r="B8" s="3480" t="s">
        <v>2425</v>
      </c>
      <c r="C8" s="1824">
        <f ca="1">ROUND(F8*F10*F9*(1-F11)/10000,0)</f>
        <v>0</v>
      </c>
      <c r="D8" s="1821" t="s">
        <v>2496</v>
      </c>
      <c r="E8" s="60" t="s">
        <v>602</v>
      </c>
      <c r="F8" s="784">
        <f ca="1">INDIRECT("'数据-取费表'!u"&amp;$G$1)</f>
        <v>2</v>
      </c>
      <c r="G8" s="1590"/>
      <c r="H8" s="2503" t="s">
        <v>1786</v>
      </c>
      <c r="I8" s="3480" t="s">
        <v>2425</v>
      </c>
      <c r="J8" s="782">
        <f ca="1">ROUND(M8*M10*M9*(1-M11)/10000,0)</f>
        <v>0</v>
      </c>
      <c r="K8" s="340" t="s">
        <v>2496</v>
      </c>
      <c r="L8" s="783" t="s">
        <v>1700</v>
      </c>
      <c r="M8" s="784">
        <f ca="1">INDIRECT("'数据-取费表'!z"&amp;$G$1)</f>
        <v>0</v>
      </c>
    </row>
    <row r="9" spans="1:25" ht="18" customHeight="1">
      <c r="A9" s="2499"/>
      <c r="B9" s="3481"/>
      <c r="C9" s="1825"/>
      <c r="D9" s="1822"/>
      <c r="E9" s="60" t="s">
        <v>603</v>
      </c>
      <c r="F9" s="784">
        <f ca="1">IF(INDIRECT("'数据-取费表'!ah"&amp;$G$1)="",INDIRECT("'数据-取费表'!k"&amp;$G$1),INDIRECT("'数据-取费表'!ah"&amp;$G$1))</f>
        <v>0</v>
      </c>
      <c r="G9" s="1590"/>
      <c r="H9" s="2488"/>
      <c r="I9" s="3481"/>
      <c r="J9" s="787"/>
      <c r="K9" s="788"/>
      <c r="L9" s="783" t="s">
        <v>1701</v>
      </c>
      <c r="M9" s="784">
        <f ca="1">F9</f>
        <v>0</v>
      </c>
    </row>
    <row r="10" spans="1:25" ht="18" customHeight="1">
      <c r="A10" s="2492"/>
      <c r="B10" s="3482"/>
      <c r="C10" s="1825"/>
      <c r="D10" s="1822"/>
      <c r="E10" s="60" t="s">
        <v>604</v>
      </c>
      <c r="F10" s="784">
        <f ca="1">INDIRECT("'数据-取费表'!ai"&amp;$G$1)</f>
        <v>365</v>
      </c>
      <c r="G10" s="1590"/>
      <c r="H10" s="2488"/>
      <c r="I10" s="3482"/>
      <c r="J10" s="787"/>
      <c r="K10" s="788"/>
      <c r="L10" s="783" t="s">
        <v>1702</v>
      </c>
      <c r="M10" s="784">
        <f ca="1">INDIRECT("'数据-取费表'!ai"&amp;$G$1)</f>
        <v>365</v>
      </c>
    </row>
    <row r="11" spans="1:25" ht="18" customHeight="1">
      <c r="A11" s="785"/>
      <c r="B11" s="3483"/>
      <c r="C11" s="1825"/>
      <c r="D11" s="1822"/>
      <c r="E11" s="60" t="s">
        <v>605</v>
      </c>
      <c r="F11" s="793">
        <f ca="1">INDIRECT("'数据-取费表'!w"&amp;$G$1)</f>
        <v>0.1</v>
      </c>
      <c r="G11" s="1590"/>
      <c r="H11" s="2504"/>
      <c r="I11" s="3482"/>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0</v>
      </c>
      <c r="D15" s="1833" t="s">
        <v>607</v>
      </c>
      <c r="E15" s="794" t="s">
        <v>608</v>
      </c>
      <c r="F15" s="799">
        <f ca="1">INDIRECT("'数据-取费表'!y"&amp;$G$1)</f>
        <v>1</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0</v>
      </c>
      <c r="D16" s="1978" t="s">
        <v>611</v>
      </c>
      <c r="E16" s="1979"/>
      <c r="F16" s="804"/>
      <c r="G16" s="1590"/>
      <c r="H16" s="802" t="s">
        <v>2031</v>
      </c>
      <c r="I16" s="2230" t="s">
        <v>2787</v>
      </c>
      <c r="J16" s="52">
        <f ca="1">C31</f>
        <v>0</v>
      </c>
      <c r="K16" s="25"/>
      <c r="L16" s="800"/>
      <c r="M16" s="801"/>
    </row>
    <row r="17" spans="1:25" s="2063" customFormat="1" ht="18" customHeight="1">
      <c r="A17" s="802" t="s">
        <v>1811</v>
      </c>
      <c r="B17" s="783" t="s">
        <v>612</v>
      </c>
      <c r="C17" s="52">
        <f ca="1">ROUND(C16*F17,0)</f>
        <v>0</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0</v>
      </c>
      <c r="K18" s="25" t="s">
        <v>617</v>
      </c>
      <c r="L18" s="1981"/>
      <c r="M18" s="55"/>
    </row>
    <row r="19" spans="1:25" s="2063" customFormat="1" ht="18" customHeight="1">
      <c r="A19" s="802" t="s">
        <v>1813</v>
      </c>
      <c r="B19" s="783" t="s">
        <v>618</v>
      </c>
      <c r="C19" s="52">
        <f ca="1">ROUND(F19*(INDIRECT("'数据-取费表'!k"&amp;$G$1)+INDIRECT("'数据-取费表'!S"&amp;$G$1))/10000,0)</f>
        <v>0</v>
      </c>
      <c r="D19" s="783" t="s">
        <v>619</v>
      </c>
      <c r="E19" s="783" t="s">
        <v>620</v>
      </c>
      <c r="F19" s="55">
        <f>'数据-取费表'!B35</f>
        <v>150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0</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0</v>
      </c>
      <c r="D21" s="260" t="s">
        <v>628</v>
      </c>
      <c r="E21" s="1981"/>
      <c r="F21" s="55"/>
      <c r="G21" s="1590"/>
      <c r="H21" s="1829" t="s">
        <v>1811</v>
      </c>
      <c r="I21" s="783" t="s">
        <v>629</v>
      </c>
      <c r="J21" s="52">
        <f ca="1">IF(K21="按租金收入计税",ROUND(J7*M21,1),ROUND(C31*F35*0.7,1))</f>
        <v>0</v>
      </c>
      <c r="K21" s="810" t="s">
        <v>630</v>
      </c>
      <c r="L21" s="783" t="s">
        <v>614</v>
      </c>
      <c r="M21" s="808">
        <f>IF(K21="按租金收入计税",'数据-取费表'!B51,'数据-取费表'!B50)</f>
        <v>1.2E-2</v>
      </c>
    </row>
    <row r="22" spans="1:25" s="2063" customFormat="1" ht="18" customHeight="1">
      <c r="A22" s="802" t="s">
        <v>1839</v>
      </c>
      <c r="B22" s="783" t="s">
        <v>631</v>
      </c>
      <c r="C22" s="52">
        <f ca="1">ROUND(C21*F22,0)</f>
        <v>0</v>
      </c>
      <c r="D22" s="811" t="s">
        <v>632</v>
      </c>
      <c r="E22" s="783" t="s">
        <v>614</v>
      </c>
      <c r="F22" s="808">
        <f>'数据-取费表'!B37</f>
        <v>0.02</v>
      </c>
      <c r="G22" s="1591"/>
      <c r="H22" s="1831" t="s">
        <v>1812</v>
      </c>
      <c r="I22" s="1821" t="s">
        <v>633</v>
      </c>
      <c r="J22" s="53">
        <f ca="1">ROUND(M22*M23/10000,0)</f>
        <v>0</v>
      </c>
      <c r="K22" s="813" t="s">
        <v>634</v>
      </c>
      <c r="L22" s="783" t="s">
        <v>635</v>
      </c>
      <c r="M22" s="639">
        <f>'数据-取费表'!B52</f>
        <v>4</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1.4999999999999999E-2</v>
      </c>
    </row>
    <row r="25" spans="1:25" s="2063" customFormat="1" ht="18" customHeight="1">
      <c r="A25" s="802" t="s">
        <v>1837</v>
      </c>
      <c r="B25" s="783" t="s">
        <v>2399</v>
      </c>
      <c r="C25" s="52">
        <f ca="1">ROUND(IF('数据-取费表'!B22&lt;=1,(C21+C22)*F26*F25/2,(C21+C22)*(POWER((1+F26),F25/2)-1)),0)</f>
        <v>0</v>
      </c>
      <c r="D25" s="2570" t="str">
        <f>IF(F25&lt;=1,"(建造成本+管理费用)×利率×(建设周期÷2)","(建造成本+管理费用)×((1+利率)^(建设周期÷2)-1)")</f>
        <v>(建造成本+管理费用)×((1+利率)^(建设周期÷2)-1)</v>
      </c>
      <c r="E25" s="783" t="s">
        <v>643</v>
      </c>
      <c r="F25" s="639">
        <f>'数据-取费表'!B20</f>
        <v>2</v>
      </c>
      <c r="G25" s="1591"/>
      <c r="H25" s="802" t="s">
        <v>1840</v>
      </c>
      <c r="I25" s="783" t="s">
        <v>644</v>
      </c>
      <c r="J25" s="52">
        <f ca="1">ROUND(J15*M25,0)</f>
        <v>0</v>
      </c>
      <c r="K25" s="1976" t="s">
        <v>645</v>
      </c>
      <c r="L25" s="783" t="s">
        <v>614</v>
      </c>
      <c r="M25" s="817">
        <f ca="1">INDIRECT("'数据-取费表'!Al"&amp;$G$1)</f>
        <v>2E-3</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1E-3</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0.01</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0</v>
      </c>
      <c r="K27" s="1978" t="s">
        <v>665</v>
      </c>
      <c r="L27" s="1980"/>
      <c r="M27" s="819"/>
    </row>
    <row r="28" spans="1:25" ht="18" customHeight="1">
      <c r="A28" s="802" t="s">
        <v>1837</v>
      </c>
      <c r="B28" s="783" t="s">
        <v>2400</v>
      </c>
      <c r="C28" s="52">
        <f ca="1">ROUND((C21+C22)*F28,0)</f>
        <v>0</v>
      </c>
      <c r="D28" s="811" t="s">
        <v>666</v>
      </c>
      <c r="E28" s="794" t="s">
        <v>667</v>
      </c>
      <c r="F28" s="793">
        <f ca="1">INDIRECT("'数据-取费表'!q"&amp;$G$1)</f>
        <v>0.2</v>
      </c>
      <c r="G28" s="1590"/>
      <c r="H28" s="780" t="s">
        <v>1799</v>
      </c>
      <c r="I28" s="781" t="s">
        <v>668</v>
      </c>
      <c r="J28" s="782">
        <f ca="1">IF(J7&lt;&gt;0,ROUND(J27*(1-((1+M30)/(1+M28))^M29)/(M28-M30),0),0)</f>
        <v>0</v>
      </c>
      <c r="K28" s="813" t="s">
        <v>669</v>
      </c>
      <c r="L28" s="783" t="s">
        <v>670</v>
      </c>
      <c r="M28" s="793">
        <f ca="1">INDIRECT("'数据-取费表'!I"&amp;$G$1)</f>
        <v>5.5E-2</v>
      </c>
    </row>
    <row r="29" spans="1:25" ht="18" customHeight="1">
      <c r="A29" s="802" t="s">
        <v>1811</v>
      </c>
      <c r="B29" s="783" t="s">
        <v>651</v>
      </c>
      <c r="C29" s="52">
        <f ca="1">ROUND(F23*F28,4)</f>
        <v>4.0000000000000001E-3</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0</v>
      </c>
      <c r="D31" s="2544"/>
      <c r="E31" s="2545"/>
      <c r="F31" s="2546"/>
      <c r="G31" s="1591"/>
      <c r="H31" s="822" t="s">
        <v>1834</v>
      </c>
      <c r="I31" s="3011" t="s">
        <v>2786</v>
      </c>
      <c r="J31" s="824" t="e">
        <f ca="1">ROUND(J28/(1+F45)^F46,0)</f>
        <v>#N/A</v>
      </c>
      <c r="K31" s="825" t="s">
        <v>653</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0</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0</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0</v>
      </c>
      <c r="D36" s="813" t="s">
        <v>634</v>
      </c>
      <c r="E36" s="783" t="s">
        <v>635</v>
      </c>
      <c r="F36" s="639">
        <f>'数据-取费表'!B52</f>
        <v>4</v>
      </c>
      <c r="G36" s="2061"/>
      <c r="H36" s="2064"/>
      <c r="I36" s="3479"/>
      <c r="J36" s="2078"/>
      <c r="K36" s="2079"/>
      <c r="L36" s="2078"/>
      <c r="M36" s="2078"/>
    </row>
    <row r="37" spans="1:18" ht="18" customHeight="1">
      <c r="A37" s="814"/>
      <c r="B37" s="792"/>
      <c r="C37" s="68"/>
      <c r="D37" s="815"/>
      <c r="E37" s="783" t="s">
        <v>639</v>
      </c>
      <c r="F37" s="784">
        <f ca="1">INDIRECT("'数据-取费表'!r"&amp;$G$1)</f>
        <v>0</v>
      </c>
      <c r="G37" s="2061"/>
      <c r="H37" s="2064"/>
      <c r="I37" s="3479"/>
      <c r="J37" s="2076"/>
      <c r="K37" s="2077"/>
      <c r="L37" s="2076"/>
      <c r="M37" s="2076"/>
    </row>
    <row r="38" spans="1:18" ht="18" customHeight="1">
      <c r="A38" s="802" t="s">
        <v>1839</v>
      </c>
      <c r="B38" s="783" t="s">
        <v>641</v>
      </c>
      <c r="C38" s="52">
        <f ca="1">ROUND(C31*F38,1)</f>
        <v>0</v>
      </c>
      <c r="D38" s="1976" t="s">
        <v>656</v>
      </c>
      <c r="E38" s="783" t="s">
        <v>614</v>
      </c>
      <c r="F38" s="816">
        <f ca="1">INDIRECT("'数据-取费表'!Ak"&amp;$G$1)</f>
        <v>1.4999999999999999E-2</v>
      </c>
      <c r="G38" s="2061"/>
      <c r="H38" s="2076"/>
      <c r="I38" s="2080"/>
      <c r="J38" s="1987"/>
      <c r="K38" s="2081"/>
      <c r="L38" s="2076"/>
      <c r="M38" s="2076"/>
    </row>
    <row r="39" spans="1:18" ht="18" customHeight="1">
      <c r="A39" s="802" t="s">
        <v>1840</v>
      </c>
      <c r="B39" s="783" t="s">
        <v>644</v>
      </c>
      <c r="C39" s="52">
        <f ca="1">ROUND(C15*F39,1)</f>
        <v>0</v>
      </c>
      <c r="D39" s="1976" t="s">
        <v>645</v>
      </c>
      <c r="E39" s="783" t="s">
        <v>614</v>
      </c>
      <c r="F39" s="817">
        <f ca="1">INDIRECT("'数据-取费表'!Al"&amp;$G$1)</f>
        <v>2E-3</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0.01</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0</v>
      </c>
      <c r="D42" s="1978" t="s">
        <v>659</v>
      </c>
      <c r="E42" s="1980"/>
      <c r="F42" s="819"/>
      <c r="G42" s="2061"/>
      <c r="H42" s="2061"/>
      <c r="I42" s="2061"/>
      <c r="J42" s="2061"/>
      <c r="K42" s="2082"/>
      <c r="L42" s="2061"/>
      <c r="M42" s="2061"/>
    </row>
    <row r="43" spans="1:18" ht="18" customHeight="1">
      <c r="A43" s="802" t="s">
        <v>1839</v>
      </c>
      <c r="B43" s="834" t="s">
        <v>676</v>
      </c>
      <c r="C43" s="835">
        <f ca="1">ROUND(C15*F43,0)</f>
        <v>0</v>
      </c>
      <c r="D43" s="1354" t="s">
        <v>677</v>
      </c>
      <c r="E43" s="3122" t="s">
        <v>2923</v>
      </c>
      <c r="F43" s="3123">
        <f ca="1">INDIRECT("'数据-取费表'!j"&amp;$G$1)</f>
        <v>8.5000000000000006E-2</v>
      </c>
      <c r="G43" s="2061"/>
      <c r="H43" s="2061"/>
      <c r="I43" s="2061"/>
      <c r="J43" s="2061"/>
      <c r="K43" s="2082"/>
      <c r="L43" s="2061"/>
      <c r="M43" s="2061"/>
    </row>
    <row r="44" spans="1:18" ht="18" customHeight="1">
      <c r="A44" s="802" t="s">
        <v>1840</v>
      </c>
      <c r="B44" s="834" t="s">
        <v>678</v>
      </c>
      <c r="C44" s="1355">
        <f ca="1">C42-C43</f>
        <v>0</v>
      </c>
      <c r="D44" s="462" t="s">
        <v>679</v>
      </c>
      <c r="E44" s="463"/>
      <c r="F44" s="464"/>
      <c r="G44" s="2061"/>
      <c r="H44" s="2061"/>
      <c r="I44" s="2061"/>
      <c r="J44" s="2061"/>
      <c r="K44" s="2082"/>
      <c r="L44" s="2061"/>
      <c r="M44" s="2061"/>
    </row>
    <row r="45" spans="1:18" ht="18" customHeight="1">
      <c r="A45" s="802" t="s">
        <v>1841</v>
      </c>
      <c r="B45" s="1354" t="s">
        <v>680</v>
      </c>
      <c r="C45" s="3037" t="e">
        <f ca="1">ROUND(-PV(F45,F46,C44,0),0)</f>
        <v>#N/A</v>
      </c>
      <c r="D45" s="1356" t="s">
        <v>681</v>
      </c>
      <c r="E45" s="805" t="s">
        <v>682</v>
      </c>
      <c r="F45" s="829">
        <f ca="1">INDIRECT("'数据-取费表'!h"&amp;$G$1)</f>
        <v>0.05</v>
      </c>
      <c r="G45" s="2061"/>
      <c r="H45" s="2061"/>
      <c r="I45" s="2061"/>
      <c r="J45" s="2061"/>
      <c r="K45" s="2082"/>
      <c r="L45" s="2061"/>
      <c r="M45" s="2061"/>
    </row>
    <row r="46" spans="1:18" ht="18" customHeight="1" thickBot="1">
      <c r="A46" s="830"/>
      <c r="B46" s="1357"/>
      <c r="C46" s="1358"/>
      <c r="D46" s="1359"/>
      <c r="E46" s="3124" t="s">
        <v>2925</v>
      </c>
      <c r="F46" s="827" t="e">
        <f ca="1">IF(INDIRECT("'数据-取费表'!af"&amp;$G$1)=0,INDIRECT("'数据-取费表'!ae"&amp;$G$1),INDIRECT("'数据-取费表'!af"&amp;$G$1))</f>
        <v>#N/A</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str">
        <f ca="1">IF(M48="住宅",0,IF(L49&gt;J52,L61,J61))</f>
        <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40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0</v>
      </c>
      <c r="O49" s="2397" t="s">
        <v>2341</v>
      </c>
      <c r="P49" s="2398" t="s">
        <v>2367</v>
      </c>
      <c r="Q49" s="2399" t="e">
        <f ca="1">C41+J31</f>
        <v>#N/A</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0</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-2</v>
      </c>
      <c r="K54" s="3484"/>
      <c r="L54" s="3485"/>
      <c r="O54" s="2400" t="s">
        <v>2350</v>
      </c>
      <c r="P54" s="2398" t="s">
        <v>2351</v>
      </c>
      <c r="Q54" s="2399">
        <f ca="1">J54</f>
        <v>-2</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t="e">
        <f ca="1">Q49+Q50</f>
        <v>#N/A</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0</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0</v>
      </c>
      <c r="O58" s="2397" t="s">
        <v>2341</v>
      </c>
      <c r="P58" s="2398" t="s">
        <v>2367</v>
      </c>
      <c r="Q58" s="2399" t="e">
        <f ca="1">C41+J31</f>
        <v>#N/A</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#N/A</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t="e">
        <f ca="1">C41+J31</f>
        <v>#N/A</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0</v>
      </c>
      <c r="R69" s="2405" t="s">
        <v>2378</v>
      </c>
    </row>
    <row r="70" spans="1:18" s="2058" customFormat="1" ht="19.2" thickBot="1">
      <c r="A70" s="2095"/>
      <c r="B70" s="2096"/>
      <c r="C70" s="2096"/>
      <c r="K70" s="2085"/>
      <c r="O70" s="2400" t="s">
        <v>2346</v>
      </c>
      <c r="P70" s="2406" t="s">
        <v>2360</v>
      </c>
      <c r="Q70" s="2399">
        <f ca="1">ROUND(Q71-Q72*Q73,0)</f>
        <v>0</v>
      </c>
      <c r="R70" s="2402"/>
    </row>
    <row r="71" spans="1:18" s="2058" customFormat="1" ht="16.2" thickBot="1">
      <c r="A71" s="2095"/>
      <c r="B71" s="2096"/>
      <c r="C71" s="2096"/>
      <c r="K71" s="2085"/>
      <c r="O71" s="2400" t="s">
        <v>2361</v>
      </c>
      <c r="P71" s="2406" t="s">
        <v>2362</v>
      </c>
      <c r="Q71" s="2399">
        <f ca="1">C42</f>
        <v>0</v>
      </c>
      <c r="R71" s="2398" t="s">
        <v>2342</v>
      </c>
    </row>
    <row r="72" spans="1:18" s="2058" customFormat="1" ht="16.2" thickBot="1">
      <c r="A72" s="2095"/>
      <c r="B72" s="2096"/>
      <c r="C72" s="2096"/>
      <c r="K72" s="2085"/>
      <c r="O72" s="2400" t="s">
        <v>2363</v>
      </c>
      <c r="P72" s="2406" t="s">
        <v>2364</v>
      </c>
      <c r="Q72" s="2399">
        <f ca="1">C15</f>
        <v>0</v>
      </c>
      <c r="R72" s="2398" t="s">
        <v>2342</v>
      </c>
    </row>
    <row r="73" spans="1:18" s="2058" customFormat="1" ht="16.2" thickBot="1">
      <c r="A73" s="2095"/>
      <c r="B73" s="2096"/>
      <c r="C73" s="2096"/>
      <c r="K73" s="2085"/>
      <c r="O73" s="2400" t="s">
        <v>2365</v>
      </c>
      <c r="P73" s="2406" t="s">
        <v>2366</v>
      </c>
      <c r="Q73" s="2401">
        <f ca="1">F43</f>
        <v>8.5000000000000006E-2</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#N/A</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92" t="s">
        <v>2538</v>
      </c>
      <c r="C1" s="3492"/>
      <c r="D1" s="3492"/>
      <c r="E1" s="3492"/>
      <c r="F1" s="3492"/>
      <c r="G1" s="3491" t="s">
        <v>2539</v>
      </c>
      <c r="H1" s="3491"/>
      <c r="I1" s="3491"/>
      <c r="J1" s="3491"/>
      <c r="K1" s="3491"/>
      <c r="L1" s="3491"/>
      <c r="N1" s="3491" t="s">
        <v>2540</v>
      </c>
      <c r="O1" s="3491"/>
      <c r="P1" s="3491"/>
      <c r="Q1" s="3491"/>
      <c r="R1" s="2653"/>
      <c r="S1" s="3491" t="s">
        <v>2541</v>
      </c>
      <c r="T1" s="3491"/>
      <c r="U1" s="3491"/>
      <c r="V1" s="3491"/>
      <c r="X1" s="3490" t="s">
        <v>2601</v>
      </c>
      <c r="Y1" s="3491"/>
      <c r="Z1" s="3491"/>
      <c r="AA1" s="3491"/>
      <c r="AB1" s="3491"/>
      <c r="AD1" s="3490" t="s">
        <v>2605</v>
      </c>
      <c r="AE1" s="3491"/>
      <c r="AF1" s="3491"/>
      <c r="AG1" s="3491"/>
      <c r="AH1" s="3491"/>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89">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87"/>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87"/>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88"/>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86">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87"/>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87"/>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88"/>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86">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87"/>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87"/>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88"/>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93">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94"/>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94"/>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95"/>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86">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87"/>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87"/>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88"/>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86">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87">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87">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88">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86">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87">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87">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88">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86">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87">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87">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88">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86">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87">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87">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88">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86">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87">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87">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88">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86">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87">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87">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88">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86">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87">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87">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88">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86">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87">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87">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88">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86">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87">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87">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88">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86">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87">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87">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88">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2985</v>
      </c>
      <c r="E1" s="2386" t="s">
        <v>2336</v>
      </c>
      <c r="F1" s="2387" t="e">
        <f ca="1">J53</f>
        <v>#N/A</v>
      </c>
      <c r="G1" s="773"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t="e">
        <f ca="1">C40+J29+L46</f>
        <v>#N/A</v>
      </c>
      <c r="C2" s="2056"/>
      <c r="D2" s="2054"/>
      <c r="E2" s="2055"/>
      <c r="F2" s="2055"/>
      <c r="G2" s="1588"/>
      <c r="H2" s="2056"/>
      <c r="I2" s="2056"/>
      <c r="J2" s="2056"/>
      <c r="K2" s="2057"/>
      <c r="L2" s="2056"/>
      <c r="M2" s="2056"/>
    </row>
    <row r="3" spans="1:33" ht="18" customHeight="1" thickBot="1">
      <c r="A3" s="832" t="s">
        <v>1689</v>
      </c>
      <c r="B3" s="833">
        <f ca="1">IF(ISERROR(B2*10000/F43),0,ROUND(B2*10000/F43,0))</f>
        <v>0</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t="e">
        <f ca="1">C6+C10+C12</f>
        <v>#N/A</v>
      </c>
      <c r="D5" s="2495" t="s">
        <v>2423</v>
      </c>
      <c r="E5" s="2489"/>
      <c r="F5" s="2490"/>
      <c r="G5" s="1590"/>
      <c r="H5" s="780">
        <v>1</v>
      </c>
      <c r="I5" s="781" t="s">
        <v>2420</v>
      </c>
      <c r="J5" s="54" t="e">
        <f ca="1">J6+J10+J12</f>
        <v>#N/A</v>
      </c>
      <c r="K5" s="2495" t="s">
        <v>2423</v>
      </c>
      <c r="L5" s="2489"/>
      <c r="M5" s="2490"/>
    </row>
    <row r="6" spans="1:33" ht="18" customHeight="1">
      <c r="A6" s="1829" t="s">
        <v>1786</v>
      </c>
      <c r="B6" s="3480" t="s">
        <v>2425</v>
      </c>
      <c r="C6" s="782" t="e">
        <f ca="1">ROUND(F6*F8*F7*(1-F9)/10000,0)</f>
        <v>#N/A</v>
      </c>
      <c r="D6" s="2496" t="s">
        <v>2424</v>
      </c>
      <c r="E6" s="783" t="s">
        <v>1700</v>
      </c>
      <c r="F6" s="784" t="e">
        <f ca="1">INDIRECT("'数据-取费表'!u"&amp;$G$1)</f>
        <v>#N/A</v>
      </c>
      <c r="G6" s="1590"/>
      <c r="H6" s="2503" t="s">
        <v>2430</v>
      </c>
      <c r="I6" s="3480" t="s">
        <v>2425</v>
      </c>
      <c r="J6" s="782" t="e">
        <f ca="1">ROUND(M6*M8*M7*(1-M9)/10000,0)</f>
        <v>#N/A</v>
      </c>
      <c r="K6" s="340" t="s">
        <v>1699</v>
      </c>
      <c r="L6" s="783" t="s">
        <v>1700</v>
      </c>
      <c r="M6" s="784" t="e">
        <f ca="1">INDIRECT("'数据-取费表'!z"&amp;$G$1)</f>
        <v>#N/A</v>
      </c>
    </row>
    <row r="7" spans="1:33" ht="18" customHeight="1">
      <c r="A7" s="2499"/>
      <c r="B7" s="3481"/>
      <c r="C7" s="787"/>
      <c r="D7" s="788"/>
      <c r="E7" s="783" t="s">
        <v>1701</v>
      </c>
      <c r="F7" s="784" t="e">
        <f ca="1">IF(INDIRECT("'数据-取费表'!ah"&amp;$G$1)="",INDIRECT("'数据-取费表'!k"&amp;$G$1),INDIRECT("'数据-取费表'!ah"&amp;$G$1))</f>
        <v>#N/A</v>
      </c>
      <c r="G7" s="1590"/>
      <c r="H7" s="2488"/>
      <c r="I7" s="3481"/>
      <c r="J7" s="787"/>
      <c r="K7" s="788"/>
      <c r="L7" s="783" t="s">
        <v>1701</v>
      </c>
      <c r="M7" s="784" t="e">
        <f ca="1">F7</f>
        <v>#N/A</v>
      </c>
    </row>
    <row r="8" spans="1:33" ht="18" customHeight="1">
      <c r="A8" s="2492"/>
      <c r="B8" s="3482"/>
      <c r="C8" s="787"/>
      <c r="D8" s="788"/>
      <c r="E8" s="783" t="s">
        <v>1702</v>
      </c>
      <c r="F8" s="784" t="e">
        <f ca="1">INDIRECT("'数据-取费表'!ai"&amp;$G$1)</f>
        <v>#N/A</v>
      </c>
      <c r="G8" s="1590"/>
      <c r="H8" s="2488"/>
      <c r="I8" s="3482"/>
      <c r="J8" s="787"/>
      <c r="K8" s="788"/>
      <c r="L8" s="783" t="s">
        <v>1702</v>
      </c>
      <c r="M8" s="784" t="e">
        <f ca="1">INDIRECT("'数据-取费表'!ai"&amp;$G$1)</f>
        <v>#N/A</v>
      </c>
    </row>
    <row r="9" spans="1:33" ht="18" customHeight="1">
      <c r="A9" s="785"/>
      <c r="B9" s="3483"/>
      <c r="C9" s="787"/>
      <c r="D9" s="788"/>
      <c r="E9" s="783" t="s">
        <v>1703</v>
      </c>
      <c r="F9" s="793" t="e">
        <f ca="1">INDIRECT("'数据-取费表'!w"&amp;$G$1)</f>
        <v>#N/A</v>
      </c>
      <c r="G9" s="1590"/>
      <c r="H9" s="2504"/>
      <c r="I9" s="3482"/>
      <c r="J9" s="787"/>
      <c r="K9" s="788"/>
      <c r="L9" s="794" t="s">
        <v>1703</v>
      </c>
      <c r="M9" s="795" t="e">
        <f ca="1">INDIRECT("'数据-取费表'!ab"&amp;$G$1)</f>
        <v>#N/A</v>
      </c>
    </row>
    <row r="10" spans="1:33" ht="18" customHeight="1">
      <c r="A10" s="1829" t="s">
        <v>2428</v>
      </c>
      <c r="B10" s="2493" t="s">
        <v>2421</v>
      </c>
      <c r="C10" s="798" t="e">
        <f ca="1">ROUND(IF(F10="押一",C6/12*F11,IF(F10="押二",C6/12*2*F11,IF(F10="押三",C6/12*3*F11,C11*F11))),0)</f>
        <v>#N/A</v>
      </c>
      <c r="D10" s="2500" t="s">
        <v>2934</v>
      </c>
      <c r="E10" s="2497" t="s">
        <v>2426</v>
      </c>
      <c r="F10" s="2620" t="s">
        <v>2987</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t="e">
        <f ca="1">ROUND(C29*F13,0)</f>
        <v>#N/A</v>
      </c>
      <c r="D13" s="1833" t="s">
        <v>2259</v>
      </c>
      <c r="E13" s="1833" t="s">
        <v>1706</v>
      </c>
      <c r="F13" s="2535" t="e">
        <f ca="1">INDIRECT("'数据-取费表'!y"&amp;$G$1)</f>
        <v>#N/A</v>
      </c>
      <c r="G13" s="1590"/>
      <c r="H13" s="1828">
        <v>2</v>
      </c>
      <c r="I13" s="1826" t="s">
        <v>1704</v>
      </c>
      <c r="J13" s="1818" t="e">
        <f ca="1">ROUND(J14*J15,0)</f>
        <v>#N/A</v>
      </c>
      <c r="K13" s="1820" t="s">
        <v>1705</v>
      </c>
      <c r="L13" s="2551"/>
      <c r="M13" s="2552"/>
    </row>
    <row r="14" spans="1:33" ht="18" customHeight="1">
      <c r="A14" s="1646" t="s">
        <v>1846</v>
      </c>
      <c r="B14" s="783" t="s">
        <v>610</v>
      </c>
      <c r="C14" s="803" t="e">
        <f ca="1">INDIRECT("'数据-取费表'!m"&amp;$G$1)+INDIRECT("'数据-取费表'!t"&amp;$G$1)</f>
        <v>#N/A</v>
      </c>
      <c r="D14" s="1978" t="s">
        <v>1707</v>
      </c>
      <c r="E14" s="1979"/>
      <c r="F14" s="804"/>
      <c r="G14" s="1590"/>
      <c r="H14" s="1647" t="s">
        <v>1792</v>
      </c>
      <c r="I14" s="2230" t="s">
        <v>2788</v>
      </c>
      <c r="J14" s="52" t="e">
        <f ca="1">C29</f>
        <v>#N/A</v>
      </c>
      <c r="K14" s="25"/>
      <c r="L14" s="800"/>
      <c r="M14" s="801"/>
    </row>
    <row r="15" spans="1:33" s="2063" customFormat="1" ht="18" customHeight="1" thickBot="1">
      <c r="A15" s="1646" t="s">
        <v>1847</v>
      </c>
      <c r="B15" s="783" t="s">
        <v>612</v>
      </c>
      <c r="C15" s="52" t="e">
        <f ca="1">ROUND(C14*F15,0)</f>
        <v>#N/A</v>
      </c>
      <c r="D15" s="805" t="s">
        <v>1708</v>
      </c>
      <c r="E15" s="805" t="s">
        <v>1709</v>
      </c>
      <c r="F15" s="806">
        <f>'数据-取费表'!B33</f>
        <v>0.03</v>
      </c>
      <c r="G15" s="1591"/>
      <c r="H15" s="2550" t="s">
        <v>1851</v>
      </c>
      <c r="I15" s="2545" t="s">
        <v>1706</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t="e">
        <f ca="1">ROUND(INDIRECT("'数据-取费表'!m"&amp;$G$1)*F16,0)</f>
        <v>#N/A</v>
      </c>
      <c r="D16" s="783" t="s">
        <v>1708</v>
      </c>
      <c r="E16" s="783" t="s">
        <v>1709</v>
      </c>
      <c r="F16" s="808" t="e">
        <f ca="1">IF(INDIRECT("'数据-取费表'!c"&amp;$G$1)="住宅",'数据-取费表'!B34,0)</f>
        <v>#N/A</v>
      </c>
      <c r="G16" s="1590"/>
      <c r="H16" s="1828" t="s">
        <v>1710</v>
      </c>
      <c r="I16" s="1826" t="s">
        <v>1711</v>
      </c>
      <c r="J16" s="791" t="e">
        <f ca="1">ROUND(J17+J22+J23+J24,0)</f>
        <v>#N/A</v>
      </c>
      <c r="K16" s="1820" t="s">
        <v>1712</v>
      </c>
      <c r="L16" s="2485"/>
      <c r="M16" s="2490"/>
    </row>
    <row r="17" spans="1:33" s="2063" customFormat="1" ht="18" customHeight="1">
      <c r="A17" s="1646" t="s">
        <v>1849</v>
      </c>
      <c r="B17" s="783" t="s">
        <v>618</v>
      </c>
      <c r="C17" s="52" t="e">
        <f ca="1">ROUND(F17*(F43+INDIRECT("'数据-取费表'!S"&amp;$G$1))/10000,0)</f>
        <v>#N/A</v>
      </c>
      <c r="D17" s="783" t="s">
        <v>1713</v>
      </c>
      <c r="E17" s="783" t="s">
        <v>1714</v>
      </c>
      <c r="F17" s="55">
        <f>'数据-取费表'!B35</f>
        <v>150</v>
      </c>
      <c r="G17" s="1591"/>
      <c r="H17" s="1647" t="s">
        <v>1792</v>
      </c>
      <c r="I17" s="783" t="s">
        <v>621</v>
      </c>
      <c r="J17" s="52" t="e">
        <f ca="1">ROUND(IF(项目基本情况!B11="自然人",J5*M17,J18+J19+J20),0)</f>
        <v>#N/A</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t="e">
        <f ca="1">ROUND(C14*F18,0)</f>
        <v>#N/A</v>
      </c>
      <c r="D18" s="783" t="s">
        <v>1708</v>
      </c>
      <c r="E18" s="783" t="s">
        <v>1709</v>
      </c>
      <c r="F18" s="808">
        <f>'数据-取费表'!B36</f>
        <v>1.4999999999999999E-2</v>
      </c>
      <c r="G18" s="1591"/>
      <c r="H18" s="1646" t="s">
        <v>1846</v>
      </c>
      <c r="I18" s="783" t="s">
        <v>1717</v>
      </c>
      <c r="J18" s="52" t="e">
        <f ca="1">ROUND(J5*M18/1.05,1)</f>
        <v>#N/A</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t="e">
        <f ca="1">SUM(C14:C18)</f>
        <v>#N/A</v>
      </c>
      <c r="D19" s="260" t="s">
        <v>1719</v>
      </c>
      <c r="E19" s="1981"/>
      <c r="F19" s="55"/>
      <c r="G19" s="1590"/>
      <c r="H19" s="1646" t="s">
        <v>1847</v>
      </c>
      <c r="I19" s="783" t="s">
        <v>1720</v>
      </c>
      <c r="J19" s="52" t="e">
        <f ca="1">IF(K19="按租金收入计税",ROUND(J5*M19,1),ROUND(C29*F33*0.7,1))</f>
        <v>#N/A</v>
      </c>
      <c r="K19" s="810" t="s">
        <v>630</v>
      </c>
      <c r="L19" s="783" t="s">
        <v>1709</v>
      </c>
      <c r="M19" s="808">
        <f>IF(K19="按租金收入计税",'数据-取费表'!B51,'数据-取费表'!B50)</f>
        <v>1.2E-2</v>
      </c>
    </row>
    <row r="20" spans="1:33" s="2063" customFormat="1" ht="18" customHeight="1">
      <c r="A20" s="1647" t="s">
        <v>1851</v>
      </c>
      <c r="B20" s="783" t="s">
        <v>631</v>
      </c>
      <c r="C20" s="52" t="e">
        <f ca="1">ROUND(C19*F20,0)</f>
        <v>#N/A</v>
      </c>
      <c r="D20" s="811" t="s">
        <v>1721</v>
      </c>
      <c r="E20" s="783" t="s">
        <v>1709</v>
      </c>
      <c r="F20" s="808">
        <f>'数据-取费表'!B37</f>
        <v>0.02</v>
      </c>
      <c r="G20" s="1591"/>
      <c r="H20" s="1649" t="s">
        <v>1842</v>
      </c>
      <c r="I20" s="340" t="s">
        <v>1722</v>
      </c>
      <c r="J20" s="53" t="e">
        <f ca="1">ROUND(M20*M21/10000,0)</f>
        <v>#N/A</v>
      </c>
      <c r="K20" s="813" t="s">
        <v>1723</v>
      </c>
      <c r="L20" s="783" t="s">
        <v>1724</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t="e">
        <f ca="1">ROUND(J14*M22,0)</f>
        <v>#N/A</v>
      </c>
      <c r="K22" s="2483" t="s">
        <v>1731</v>
      </c>
      <c r="L22" s="783" t="s">
        <v>1709</v>
      </c>
      <c r="M22" s="816" t="e">
        <f ca="1">INDIRECT("'数据-取费表'!Ak"&amp;$G$1)</f>
        <v>#N/A</v>
      </c>
    </row>
    <row r="23" spans="1:33" s="2063" customFormat="1" ht="18" customHeight="1">
      <c r="A23" s="1646" t="s">
        <v>1793</v>
      </c>
      <c r="B23" s="783" t="s">
        <v>2497</v>
      </c>
      <c r="C23" s="52" t="e">
        <f ca="1">ROUND(IF('数据-取费表'!B22&lt;=1,(C19+C20)*F24*F23/2,(C19+C20)*(POWER((1+F24),F23/2)-1)),0)</f>
        <v>#N/A</v>
      </c>
      <c r="D23" s="2570" t="str">
        <f>IF(F23&lt;=1,"(建造成本+管理费用)×利率×(建设周期÷2)","(建造成本+管理费用)×((1+利率)^(建设周期÷2)-1)")</f>
        <v>(建造成本+管理费用)×((1+利率)^(建设周期÷2)-1)</v>
      </c>
      <c r="E23" s="783" t="s">
        <v>1732</v>
      </c>
      <c r="F23" s="639">
        <f>'数据-取费表'!B20</f>
        <v>2</v>
      </c>
      <c r="G23" s="1591"/>
      <c r="H23" s="1647" t="s">
        <v>1852</v>
      </c>
      <c r="I23" s="783" t="s">
        <v>644</v>
      </c>
      <c r="J23" s="52" t="e">
        <f ca="1">ROUND(J13*M23,0)</f>
        <v>#N/A</v>
      </c>
      <c r="K23" s="2483" t="s">
        <v>1733</v>
      </c>
      <c r="L23" s="783" t="s">
        <v>1709</v>
      </c>
      <c r="M23" s="817"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1E-3</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t="e">
        <f ca="1">ROUND(J5*M24,0)</f>
        <v>#N/A</v>
      </c>
      <c r="K24" s="2544" t="s">
        <v>1736</v>
      </c>
      <c r="L24" s="2545" t="s">
        <v>1709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t="e">
        <f ca="1">J5-J16</f>
        <v>#N/A</v>
      </c>
      <c r="K25" s="2547" t="s">
        <v>1739</v>
      </c>
      <c r="L25" s="2548"/>
      <c r="M25" s="2549"/>
    </row>
    <row r="26" spans="1:33" ht="18" customHeight="1">
      <c r="A26" s="1646" t="s">
        <v>1793</v>
      </c>
      <c r="B26" s="783" t="s">
        <v>2400</v>
      </c>
      <c r="C26" s="52" t="e">
        <f ca="1">ROUND((C19+C20)*F26,0)</f>
        <v>#N/A</v>
      </c>
      <c r="D26" s="811" t="s">
        <v>1740</v>
      </c>
      <c r="E26" s="794" t="s">
        <v>1741</v>
      </c>
      <c r="F26" s="793" t="e">
        <f ca="1">INDIRECT("'数据-取费表'!q"&amp;$G$1)</f>
        <v>#N/A</v>
      </c>
      <c r="G26" s="1590"/>
      <c r="H26" s="2501" t="s">
        <v>1742</v>
      </c>
      <c r="I26" s="2231" t="s">
        <v>2789</v>
      </c>
      <c r="J26" s="782" t="e">
        <f ca="1">IF(J5&lt;&gt;0,ROUND(J25*(1-((1+M28)/(1+M26))^M27)/(M26-M28),0),0)</f>
        <v>#N/A</v>
      </c>
      <c r="K26" s="813" t="s">
        <v>1743</v>
      </c>
      <c r="L26" s="783" t="s">
        <v>2381</v>
      </c>
      <c r="M26" s="793" t="e">
        <f ca="1">INDIRECT("'数据-取费表'!I"&amp;$G$1)</f>
        <v>#N/A</v>
      </c>
    </row>
    <row r="27" spans="1:33" ht="18" customHeight="1">
      <c r="A27" s="1646" t="s">
        <v>1794</v>
      </c>
      <c r="B27" s="783" t="s">
        <v>651</v>
      </c>
      <c r="C27" s="52" t="e">
        <f ca="1">ROUND(F21*F26,4)</f>
        <v>#N/A</v>
      </c>
      <c r="D27" s="811" t="s">
        <v>1744</v>
      </c>
      <c r="E27" s="805"/>
      <c r="F27" s="806"/>
      <c r="G27" s="1590"/>
      <c r="H27" s="2502"/>
      <c r="I27" s="786"/>
      <c r="J27" s="787"/>
      <c r="K27" s="820" t="s">
        <v>1745</v>
      </c>
      <c r="L27" s="783" t="s">
        <v>1746</v>
      </c>
      <c r="M27" s="821" t="e">
        <f ca="1">INDIRECT("'数据-取费表'!ag"&amp;$G$1)</f>
        <v>#N/A</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t="e">
        <f ca="1">ROUND((C19+C20+C23+C26)/(1-F21-C24-C27-C28),0)</f>
        <v>#N/A</v>
      </c>
      <c r="D29" s="2544"/>
      <c r="E29" s="2545"/>
      <c r="F29" s="2546"/>
      <c r="G29" s="1591"/>
      <c r="H29" s="822" t="s">
        <v>1749</v>
      </c>
      <c r="I29" s="823" t="s">
        <v>1750</v>
      </c>
      <c r="J29" s="824" t="e">
        <f ca="1">ROUND(J26/(1+F40)^F41,0)</f>
        <v>#N/A</v>
      </c>
      <c r="K29" s="825" t="s">
        <v>1751</v>
      </c>
      <c r="L29" s="826"/>
      <c r="M29" s="827"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t="e">
        <f ca="1">ROUND(C31+C36+C37+C38,0)</f>
        <v>#N/A</v>
      </c>
      <c r="D30" s="1820" t="s">
        <v>1753</v>
      </c>
      <c r="E30" s="2485"/>
      <c r="F30" s="2490"/>
      <c r="G30" s="2061"/>
      <c r="H30" s="2064"/>
      <c r="I30" s="2065"/>
      <c r="J30" s="2066"/>
      <c r="K30" s="2067"/>
      <c r="L30" s="2068"/>
      <c r="M30" s="2069"/>
    </row>
    <row r="31" spans="1:33" ht="18" customHeight="1">
      <c r="A31" s="1647" t="s">
        <v>1792</v>
      </c>
      <c r="B31" s="783" t="s">
        <v>621</v>
      </c>
      <c r="C31" s="52" t="e">
        <f ca="1">ROUND(IF(项目基本情况!B11="自然人",C5*F31,C32+C33+C34),1)</f>
        <v>#N/A</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t="e">
        <f ca="1">ROUND(C5*F32/1.05,1)</f>
        <v>#N/A</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t="e">
        <f ca="1">IF(D33="按租金收入计税",ROUND(C5*F33,1),IF(D33="按房产原值计税",ROUND(C29*F33*0.7,1),INDIRECT("'数据-取费表'!Aj"&amp;$G$1)))</f>
        <v>#N/A</v>
      </c>
      <c r="D33" s="810" t="s">
        <v>2988</v>
      </c>
      <c r="E33" s="783" t="s">
        <v>1758</v>
      </c>
      <c r="F33" s="808">
        <f>IF(D33="按租金收入计税",'数据-取费表'!B51,'数据-取费表'!B50)</f>
        <v>0.12</v>
      </c>
      <c r="G33" s="2061"/>
      <c r="H33" s="2076"/>
      <c r="I33" s="2076"/>
      <c r="J33" s="2076"/>
      <c r="K33" s="2077"/>
      <c r="L33" s="2076"/>
      <c r="M33" s="2076"/>
    </row>
    <row r="34" spans="1:18" ht="18" customHeight="1">
      <c r="A34" s="1649" t="s">
        <v>1795</v>
      </c>
      <c r="B34" s="340" t="s">
        <v>1760</v>
      </c>
      <c r="C34" s="53" t="e">
        <f ca="1">ROUND(F34*F35/10000,1)</f>
        <v>#N/A</v>
      </c>
      <c r="D34" s="813" t="s">
        <v>1761</v>
      </c>
      <c r="E34" s="783" t="s">
        <v>1762</v>
      </c>
      <c r="F34" s="639">
        <f>'数据-取费表'!B52</f>
        <v>4</v>
      </c>
      <c r="G34" s="2061"/>
      <c r="H34" s="2064"/>
      <c r="I34" s="834" t="s">
        <v>1775</v>
      </c>
      <c r="J34" s="835"/>
      <c r="K34" s="2079"/>
      <c r="L34" s="2078"/>
      <c r="M34" s="2078"/>
    </row>
    <row r="35" spans="1:18" ht="18" customHeight="1">
      <c r="A35" s="814"/>
      <c r="B35" s="792"/>
      <c r="C35" s="68"/>
      <c r="D35" s="815"/>
      <c r="E35" s="783" t="s">
        <v>1763</v>
      </c>
      <c r="F35" s="784" t="e">
        <f ca="1">INDIRECT("'数据-取费表'!r"&amp;$G$1)</f>
        <v>#N/A</v>
      </c>
      <c r="G35" s="2061"/>
      <c r="H35" s="2064"/>
      <c r="I35" s="836" t="s">
        <v>1776</v>
      </c>
      <c r="J35" s="837" t="e">
        <f ca="1">ROUND(C13*J36,0)</f>
        <v>#N/A</v>
      </c>
      <c r="K35" s="2077"/>
      <c r="L35" s="2076"/>
      <c r="M35" s="2076"/>
    </row>
    <row r="36" spans="1:18" ht="18" customHeight="1">
      <c r="A36" s="1647" t="s">
        <v>1851</v>
      </c>
      <c r="B36" s="783" t="s">
        <v>1764</v>
      </c>
      <c r="C36" s="52" t="e">
        <f ca="1">ROUND(C29*F36,1)</f>
        <v>#N/A</v>
      </c>
      <c r="D36" s="1976" t="s">
        <v>1765</v>
      </c>
      <c r="E36" s="783" t="s">
        <v>1758</v>
      </c>
      <c r="F36" s="816" t="e">
        <f ca="1">INDIRECT("'数据-取费表'!Ak"&amp;$G$1)</f>
        <v>#N/A</v>
      </c>
      <c r="G36" s="2061"/>
      <c r="H36" s="2076"/>
      <c r="I36" s="838" t="s">
        <v>1777</v>
      </c>
      <c r="J36" s="839" t="e">
        <f ca="1">INDIRECT("'数据-取费表'!j"&amp;$G$1)</f>
        <v>#N/A</v>
      </c>
      <c r="K36" s="2081"/>
      <c r="L36" s="2076"/>
      <c r="M36" s="2076"/>
    </row>
    <row r="37" spans="1:18" ht="18" customHeight="1">
      <c r="A37" s="1647" t="s">
        <v>1852</v>
      </c>
      <c r="B37" s="783" t="s">
        <v>644</v>
      </c>
      <c r="C37" s="52" t="e">
        <f ca="1">ROUND(C13*F37,1)</f>
        <v>#N/A</v>
      </c>
      <c r="D37" s="1976" t="s">
        <v>1766</v>
      </c>
      <c r="E37" s="783" t="s">
        <v>1758</v>
      </c>
      <c r="F37" s="817" t="e">
        <f ca="1">INDIRECT("'数据-取费表'!Al"&amp;$G$1)</f>
        <v>#N/A</v>
      </c>
      <c r="G37" s="2061"/>
      <c r="H37" s="2076"/>
      <c r="I37" s="840" t="s">
        <v>1778</v>
      </c>
      <c r="J37" s="841"/>
      <c r="K37" s="2081"/>
      <c r="L37" s="2076"/>
      <c r="M37" s="2076"/>
    </row>
    <row r="38" spans="1:18" ht="18" customHeight="1" thickBot="1">
      <c r="A38" s="2550" t="s">
        <v>1853</v>
      </c>
      <c r="B38" s="2545" t="s">
        <v>631</v>
      </c>
      <c r="C38" s="2543" t="e">
        <f ca="1">ROUND(C5*F38,1)</f>
        <v>#N/A</v>
      </c>
      <c r="D38" s="2544" t="s">
        <v>1767</v>
      </c>
      <c r="E38" s="2545" t="s">
        <v>1758</v>
      </c>
      <c r="F38" s="2541" t="e">
        <f ca="1">INDIRECT("'数据-取费表'!Am"&amp;$G$1)</f>
        <v>#N/A</v>
      </c>
      <c r="G38" s="2061"/>
      <c r="H38" s="2076"/>
      <c r="I38" s="842" t="s">
        <v>1779</v>
      </c>
      <c r="J38" s="843"/>
      <c r="K38" s="2082"/>
      <c r="L38" s="2076"/>
      <c r="M38" s="2076"/>
    </row>
    <row r="39" spans="1:18" ht="24.6" customHeight="1" thickTop="1">
      <c r="A39" s="1828" t="s">
        <v>1856</v>
      </c>
      <c r="B39" s="3009" t="s">
        <v>2784</v>
      </c>
      <c r="C39" s="791" t="e">
        <f ca="1">C5-C30</f>
        <v>#N/A</v>
      </c>
      <c r="D39" s="2547" t="s">
        <v>1768</v>
      </c>
      <c r="E39" s="2548"/>
      <c r="F39" s="2549"/>
      <c r="G39" s="2061"/>
      <c r="H39" s="2076"/>
      <c r="I39" s="836" t="s">
        <v>1780</v>
      </c>
      <c r="J39" s="844" t="e">
        <f ca="1">ROUND(J35/C39,3)</f>
        <v>#N/A</v>
      </c>
      <c r="K39" s="2082"/>
      <c r="L39" s="2076"/>
      <c r="M39" s="2076"/>
    </row>
    <row r="40" spans="1:18" ht="18" customHeight="1">
      <c r="A40" s="780" t="s">
        <v>1857</v>
      </c>
      <c r="B40" s="2231" t="s">
        <v>2263</v>
      </c>
      <c r="C40" s="782" t="e">
        <f ca="1">ROUND(C39*(1-((1+F42)/(1+F40))^F41)/(F40-F42),0)</f>
        <v>#N/A</v>
      </c>
      <c r="D40" s="813" t="s">
        <v>1769</v>
      </c>
      <c r="E40" s="783" t="s">
        <v>2381</v>
      </c>
      <c r="F40" s="793" t="e">
        <f ca="1">INDIRECT("'数据-取费表'!I"&amp;$G$1)</f>
        <v>#N/A</v>
      </c>
      <c r="G40" s="2061"/>
      <c r="H40" s="2061"/>
      <c r="I40" s="836" t="s">
        <v>1781</v>
      </c>
      <c r="J40" s="844" t="e">
        <f ca="1">1-J39</f>
        <v>#N/A</v>
      </c>
      <c r="K40" s="2082"/>
      <c r="L40" s="2061"/>
      <c r="M40" s="2061"/>
    </row>
    <row r="41" spans="1:18" ht="18" customHeight="1">
      <c r="A41" s="785"/>
      <c r="B41" s="786"/>
      <c r="C41" s="787"/>
      <c r="D41" s="820" t="s">
        <v>1770</v>
      </c>
      <c r="E41" s="783" t="s">
        <v>2924</v>
      </c>
      <c r="F41" s="821" t="e">
        <f ca="1">IF(INDIRECT("'数据-取费表'!af"&amp;$G$1)=0,INDIRECT("'数据-取费表'!ae"&amp;$G$1),INDIRECT("'数据-取费表'!af"&amp;$G$1))</f>
        <v>#N/A</v>
      </c>
      <c r="G41" s="2061"/>
      <c r="H41" s="1987"/>
      <c r="I41" s="842" t="s">
        <v>1782</v>
      </c>
      <c r="J41" s="845"/>
      <c r="K41" s="2081"/>
      <c r="L41" s="1987"/>
      <c r="M41" s="1987"/>
    </row>
    <row r="42" spans="1:18" ht="18" customHeight="1">
      <c r="A42" s="789"/>
      <c r="B42" s="790"/>
      <c r="C42" s="791"/>
      <c r="D42" s="815"/>
      <c r="E42" s="783" t="s">
        <v>1771</v>
      </c>
      <c r="F42" s="793" t="e">
        <f ca="1">INDIRECT("'数据-取费表'!v"&amp;$G$1)</f>
        <v>#N/A</v>
      </c>
      <c r="G42" s="2061"/>
      <c r="H42" s="1987"/>
      <c r="I42" s="846" t="s">
        <v>1783</v>
      </c>
      <c r="J42" s="844" t="e">
        <f ca="1">ROUND(C13/C40,3)</f>
        <v>#N/A</v>
      </c>
      <c r="K42" s="2081"/>
      <c r="L42" s="1987"/>
      <c r="M42" s="1987"/>
    </row>
    <row r="43" spans="1:18" ht="18" customHeight="1" thickBot="1">
      <c r="A43" s="822" t="s">
        <v>1749</v>
      </c>
      <c r="B43" s="823" t="s">
        <v>1772</v>
      </c>
      <c r="C43" s="824" t="e">
        <f ca="1">ROUND(C40*10000/F43,0)</f>
        <v>#N/A</v>
      </c>
      <c r="D43" s="825" t="s">
        <v>1773</v>
      </c>
      <c r="E43" s="826" t="s">
        <v>1774</v>
      </c>
      <c r="F43" s="827" t="e">
        <f ca="1">INDIRECT("'数据-取费表'!k"&amp;$G$1)</f>
        <v>#N/A</v>
      </c>
      <c r="G43" s="2061"/>
      <c r="H43" s="1987"/>
      <c r="I43" s="846" t="s">
        <v>1784</v>
      </c>
      <c r="J43" s="847"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t="e">
        <f ca="1">C67-C40</f>
        <v>#N/A</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t="e">
        <f ca="1">C48+C52+C54</f>
        <v>#N/A</v>
      </c>
      <c r="D47" s="2084"/>
      <c r="E47" s="2084"/>
      <c r="F47" s="2084"/>
      <c r="I47" s="3150" t="s">
        <v>2306</v>
      </c>
      <c r="J47" s="2380" t="s">
        <v>2984</v>
      </c>
      <c r="K47" s="3157" t="s">
        <v>2311</v>
      </c>
      <c r="L47" s="3161" t="e">
        <f ca="1">INDIRECT("'数据-取费表'!d"&amp;$G$1)</f>
        <v>#N/A</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t="e">
        <f ca="1">ROUND(F48*F50*F49*(1-F51)/10000,0)</f>
        <v>#N/A</v>
      </c>
      <c r="D48" s="2374" t="s">
        <v>601</v>
      </c>
      <c r="E48" s="2375" t="s">
        <v>2258</v>
      </c>
      <c r="F48" s="2376"/>
      <c r="G48" s="2089"/>
      <c r="I48" s="3126" t="s">
        <v>2307</v>
      </c>
      <c r="J48" s="2381" t="s">
        <v>2312</v>
      </c>
      <c r="K48" s="3158" t="s">
        <v>2313</v>
      </c>
      <c r="L48" s="1907" t="e">
        <f ca="1">INDIRECT("'数据-取费表'!f"&amp;$G$1)</f>
        <v>#N/A</v>
      </c>
      <c r="O48" s="2397" t="s">
        <v>2341</v>
      </c>
      <c r="P48" s="2398" t="s">
        <v>2367</v>
      </c>
      <c r="Q48" s="2399" t="e">
        <f ca="1">C40+J29</f>
        <v>#N/A</v>
      </c>
      <c r="R48" s="2398" t="s">
        <v>2342</v>
      </c>
    </row>
    <row r="49" spans="1:18" s="2058" customFormat="1" ht="18" customHeight="1" thickBot="1">
      <c r="A49" s="785"/>
      <c r="B49" s="786"/>
      <c r="C49" s="787"/>
      <c r="D49" s="788"/>
      <c r="E49" s="783" t="s">
        <v>1701</v>
      </c>
      <c r="F49" s="784" t="e">
        <f ca="1">F7</f>
        <v>#N/A</v>
      </c>
      <c r="G49" s="2089"/>
      <c r="H49" s="2092"/>
      <c r="I49" s="3126" t="s">
        <v>2308</v>
      </c>
      <c r="J49" s="2382">
        <v>2018</v>
      </c>
      <c r="K49" s="3159" t="s">
        <v>2314</v>
      </c>
      <c r="L49" s="2383"/>
      <c r="O49" s="2397" t="s">
        <v>2343</v>
      </c>
      <c r="P49" s="2398" t="s">
        <v>2368</v>
      </c>
      <c r="Q49" s="2399" t="e">
        <f ca="1">J60</f>
        <v>#N/A</v>
      </c>
      <c r="R49" s="2398" t="s">
        <v>2344</v>
      </c>
    </row>
    <row r="50" spans="1:18" s="2058" customFormat="1" ht="18" customHeight="1" thickBot="1">
      <c r="A50" s="785"/>
      <c r="B50" s="786"/>
      <c r="C50" s="787"/>
      <c r="D50" s="788"/>
      <c r="E50" s="783" t="s">
        <v>1702</v>
      </c>
      <c r="F50" s="784" t="e">
        <f ca="1">F8</f>
        <v>#N/A</v>
      </c>
      <c r="G50" s="2094"/>
      <c r="H50" s="2092"/>
      <c r="I50" s="3126" t="s">
        <v>2309</v>
      </c>
      <c r="J50" s="3154">
        <f>SUMPRODUCT((I63:I65=J47)*(J62:L62=J48)*(J63:L65))</f>
        <v>60</v>
      </c>
      <c r="K50" s="3159" t="s">
        <v>2315</v>
      </c>
      <c r="L50" s="2383"/>
      <c r="O50" s="2400" t="s">
        <v>2345</v>
      </c>
      <c r="P50" s="2398" t="s">
        <v>2369</v>
      </c>
      <c r="Q50" s="2399" t="e">
        <f ca="1">C29</f>
        <v>#N/A</v>
      </c>
      <c r="R50" s="2398" t="s">
        <v>2342</v>
      </c>
    </row>
    <row r="51" spans="1:18" s="2058" customFormat="1" ht="18" customHeight="1" thickBot="1">
      <c r="A51" s="785"/>
      <c r="B51" s="786"/>
      <c r="C51" s="787"/>
      <c r="D51" s="788"/>
      <c r="E51" s="783" t="s">
        <v>605</v>
      </c>
      <c r="F51" s="2370"/>
      <c r="H51" s="2092"/>
      <c r="I51" s="3151" t="s">
        <v>2310</v>
      </c>
      <c r="J51" s="3155">
        <f>IF(J49="",J50,J49+J50-YEAR('数据-取费表'!B2))</f>
        <v>59</v>
      </c>
      <c r="K51" s="3126" t="s">
        <v>2316</v>
      </c>
      <c r="L51" s="3162" t="e">
        <f ca="1">ROUND(-PV(INDIRECT("'数据-取费表'!h"&amp;$G$1),L48,(C39-C13*J36),0),0)</f>
        <v>#N/A</v>
      </c>
      <c r="O51" s="2400" t="s">
        <v>2346</v>
      </c>
      <c r="P51" s="2398" t="s">
        <v>2347</v>
      </c>
      <c r="Q51" s="2401" t="e">
        <f ca="1">J58</f>
        <v>#N/A</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t="e">
        <f ca="1">IF(M47="住宅",IF(D1="——",MAX(J51,L48),MAX(J51,L48-'数据-取费表'!B20)),IF(D1="——",MIN(J51,L48),MIN(J51,L48-'数据-取费表'!B20)))</f>
        <v>#N/A</v>
      </c>
      <c r="K53" s="3496" t="s">
        <v>2926</v>
      </c>
      <c r="L53" s="3497"/>
      <c r="O53" s="2400" t="s">
        <v>2350</v>
      </c>
      <c r="P53" s="2398" t="s">
        <v>2351</v>
      </c>
      <c r="Q53" s="2399" t="e">
        <f ca="1">J53</f>
        <v>#N/A</v>
      </c>
      <c r="R53" s="2398" t="s">
        <v>2352</v>
      </c>
    </row>
    <row r="54" spans="1:18" s="2058" customFormat="1" ht="18" customHeight="1" thickBot="1">
      <c r="A54" s="2536" t="s">
        <v>2429</v>
      </c>
      <c r="B54" s="2537" t="s">
        <v>2422</v>
      </c>
      <c r="C54" s="2538"/>
      <c r="D54" s="2500"/>
      <c r="E54" s="2497"/>
      <c r="F54" s="799"/>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2353</v>
      </c>
      <c r="P54" s="2398" t="s">
        <v>2370</v>
      </c>
      <c r="Q54" s="2399" t="e">
        <f ca="1">Q48+Q49</f>
        <v>#N/A</v>
      </c>
      <c r="R54" s="2402" t="s">
        <v>2354</v>
      </c>
    </row>
    <row r="55" spans="1:18" s="2058" customFormat="1" ht="18" customHeight="1" thickTop="1" thickBot="1">
      <c r="A55" s="796">
        <v>2</v>
      </c>
      <c r="B55" s="797" t="s">
        <v>609</v>
      </c>
      <c r="C55" s="798" t="e">
        <f ca="1">C13</f>
        <v>#N/A</v>
      </c>
      <c r="D55" s="794"/>
      <c r="E55" s="794"/>
      <c r="F55" s="799"/>
      <c r="I55" s="3165" t="s">
        <v>2317</v>
      </c>
      <c r="J55" s="3101" t="e">
        <f ca="1">ROUND(IF(J47="钢混",J57/J50,1-(1-2%)*(J50-J57)/J50),3)</f>
        <v>#N/A</v>
      </c>
      <c r="K55" s="3166" t="s">
        <v>2318</v>
      </c>
      <c r="L55" s="2385"/>
      <c r="O55" s="2403" t="s">
        <v>2373</v>
      </c>
      <c r="P55" s="1590"/>
      <c r="Q55" s="1602"/>
      <c r="R55" s="1590"/>
    </row>
    <row r="56" spans="1:18" s="2058" customFormat="1" ht="42.75" customHeight="1" thickBot="1">
      <c r="A56" s="1648"/>
      <c r="B56" s="2230" t="s">
        <v>2264</v>
      </c>
      <c r="C56" s="52" t="e">
        <f ca="1">C29</f>
        <v>#N/A</v>
      </c>
      <c r="D56" s="2638"/>
      <c r="E56" s="783"/>
      <c r="F56" s="808"/>
      <c r="I56" s="3167" t="s">
        <v>2319</v>
      </c>
      <c r="J56" s="3177"/>
      <c r="K56" s="3126" t="s">
        <v>2324</v>
      </c>
      <c r="L56" s="1907" t="e">
        <f ca="1">IF(L48&lt;J51,"——",L48-J51)</f>
        <v>#N/A</v>
      </c>
      <c r="O56" s="2394" t="s">
        <v>2337</v>
      </c>
      <c r="P56" s="2395" t="s">
        <v>2338</v>
      </c>
      <c r="Q56" s="2396" t="s">
        <v>2339</v>
      </c>
      <c r="R56" s="2395" t="s">
        <v>2340</v>
      </c>
    </row>
    <row r="57" spans="1:18" s="2058" customFormat="1" ht="28.5" customHeight="1" thickBot="1">
      <c r="A57" s="796" t="s">
        <v>1710</v>
      </c>
      <c r="B57" s="797" t="s">
        <v>616</v>
      </c>
      <c r="C57" s="798" t="e">
        <f ca="1">ROUND(C58+C63+C64+C65,0)</f>
        <v>#N/A</v>
      </c>
      <c r="D57" s="25" t="s">
        <v>1712</v>
      </c>
      <c r="E57" s="2639"/>
      <c r="F57" s="55"/>
      <c r="I57" s="3168" t="s">
        <v>2320</v>
      </c>
      <c r="J57" s="3169" t="e">
        <f ca="1">IF(OR(M47="住宅",J51&lt;L48,J56="是"),"——",J51-L48)</f>
        <v>#N/A</v>
      </c>
      <c r="K57" s="3126" t="s">
        <v>2325</v>
      </c>
      <c r="L57" s="1907" t="e">
        <f ca="1">IF(L48&lt;J51,"——",IF(L55="比较法",L49,IF(L55="基准地价",L50,L51)))</f>
        <v>#N/A</v>
      </c>
      <c r="O57" s="2397" t="s">
        <v>2341</v>
      </c>
      <c r="P57" s="2398" t="s">
        <v>2371</v>
      </c>
      <c r="Q57" s="2399" t="e">
        <f ca="1">C40+J29</f>
        <v>#N/A</v>
      </c>
      <c r="R57" s="2398" t="s">
        <v>2342</v>
      </c>
    </row>
    <row r="58" spans="1:18" s="2058" customFormat="1" ht="28.5" customHeight="1" thickBot="1">
      <c r="A58" s="1647" t="s">
        <v>1786</v>
      </c>
      <c r="B58" s="783" t="s">
        <v>621</v>
      </c>
      <c r="C58" s="52" t="e">
        <f ca="1">ROUND(IF(项目基本情况!B11="自然人",C47*F58,C59+C60+C61),1)</f>
        <v>#N/A</v>
      </c>
      <c r="D58" s="2637" t="s">
        <v>622</v>
      </c>
      <c r="E58" s="2638" t="s">
        <v>655</v>
      </c>
      <c r="F58" s="809" t="str">
        <f ca="1">IF(项目基本情况!B11="企业","",IF(INDIRECT("'数据-取费表'!c"&amp;$G$1)="住宅",5%,IF(F48*F49*F50/12/(1+'数据-取费表'!C42)&gt;20000,12%,7%)))</f>
        <v/>
      </c>
      <c r="I58" s="3168" t="s">
        <v>2321</v>
      </c>
      <c r="J58" s="3102" t="e">
        <f ca="1">IF(J55&lt;0.4,0.4,J55)</f>
        <v>#N/A</v>
      </c>
      <c r="K58" s="3126" t="s">
        <v>2326</v>
      </c>
      <c r="L58" s="1907" t="e">
        <f ca="1">ROUND(POWER(1+L52,L47-L48)*(POWER(1+L52,L48)-1)/(POWER(1+L52,L47)-1),4)</f>
        <v>#N/A</v>
      </c>
      <c r="O58" s="2397" t="s">
        <v>2343</v>
      </c>
      <c r="P58" s="2398" t="s">
        <v>2374</v>
      </c>
      <c r="Q58" s="2399" t="e">
        <f ca="1">L60</f>
        <v>#N/A</v>
      </c>
      <c r="R58" s="2402" t="s">
        <v>2376</v>
      </c>
    </row>
    <row r="59" spans="1:18" s="2058" customFormat="1" ht="28.5" customHeight="1" thickBot="1">
      <c r="A59" s="1646" t="s">
        <v>1793</v>
      </c>
      <c r="B59" s="783" t="s">
        <v>625</v>
      </c>
      <c r="C59" s="52" t="e">
        <f ca="1">ROUND(C47*F59/1.05,1)</f>
        <v>#N/A</v>
      </c>
      <c r="D59" s="2638" t="s">
        <v>1718</v>
      </c>
      <c r="E59" s="783" t="s">
        <v>1709</v>
      </c>
      <c r="F59" s="808">
        <f t="shared" ref="F59:F65" si="0">F32</f>
        <v>5.6000000000000001E-2</v>
      </c>
      <c r="I59" s="3168" t="s">
        <v>2322</v>
      </c>
      <c r="J59" s="3169" t="e">
        <f ca="1">IF(OR(M47="住宅",J51&lt;L48,J56="是"),"——",ROUND(C29*J58,0))</f>
        <v>#N/A</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2345</v>
      </c>
      <c r="P59" s="2398" t="s">
        <v>2375</v>
      </c>
      <c r="Q59" s="2399">
        <f>IF(L55="比较法",L49,IF(L55="基准地价",L50,0))</f>
        <v>0</v>
      </c>
      <c r="R59" s="2398" t="s">
        <v>2342</v>
      </c>
    </row>
    <row r="60" spans="1:18" s="2058" customFormat="1" ht="18" customHeight="1" thickBot="1">
      <c r="A60" s="1646" t="s">
        <v>1794</v>
      </c>
      <c r="B60" s="783" t="s">
        <v>1720</v>
      </c>
      <c r="C60" s="52" t="e">
        <f ca="1">IF(D60="按租金收入计税",ROUND(C47*F60,1),IF(D60="按房产原值计税",ROUND(C56*F60*0.7,1),INDIRECT("'数据-取费表'!Aj"&amp;$G$1)))</f>
        <v>#N/A</v>
      </c>
      <c r="D60" s="2638" t="str">
        <f>D33</f>
        <v>按租金收入计税</v>
      </c>
      <c r="E60" s="783" t="s">
        <v>1709</v>
      </c>
      <c r="F60" s="808">
        <f t="shared" si="0"/>
        <v>0.12</v>
      </c>
      <c r="I60" s="3170" t="s">
        <v>2323</v>
      </c>
      <c r="J60" s="3171" t="e">
        <f ca="1">IF(OR(M47="住宅",J51&lt;L48,J56="是"),"0",ROUND(J59/(1+J52)^J53,0))</f>
        <v>#N/A</v>
      </c>
      <c r="K60" s="3172" t="s">
        <v>2328</v>
      </c>
      <c r="L60" s="3171" t="e">
        <f ca="1">IF(OR(M47="住宅",L48&lt;J51),0,ROUND(L57*(L58/L59-1),0))</f>
        <v>#N/A</v>
      </c>
      <c r="O60" s="2400" t="s">
        <v>2346</v>
      </c>
      <c r="P60" s="2398" t="s">
        <v>2355</v>
      </c>
      <c r="Q60" s="2401">
        <f>L52</f>
        <v>0</v>
      </c>
      <c r="R60" s="2402"/>
    </row>
    <row r="61" spans="1:18" s="2058" customFormat="1" ht="18" customHeight="1" thickBot="1">
      <c r="A61" s="1649" t="s">
        <v>1795</v>
      </c>
      <c r="B61" s="340" t="s">
        <v>633</v>
      </c>
      <c r="C61" s="53" t="e">
        <f ca="1">ROUND(F61*F62/10000,1)</f>
        <v>#N/A</v>
      </c>
      <c r="D61" s="813" t="s">
        <v>634</v>
      </c>
      <c r="E61" s="783" t="s">
        <v>635</v>
      </c>
      <c r="F61" s="639">
        <f t="shared" si="0"/>
        <v>4</v>
      </c>
      <c r="K61" s="2085"/>
      <c r="O61" s="2400" t="s">
        <v>2348</v>
      </c>
      <c r="P61" s="2398" t="s">
        <v>2356</v>
      </c>
      <c r="Q61" s="2399" t="e">
        <f ca="1">L58</f>
        <v>#N/A</v>
      </c>
      <c r="R61" s="2402" t="s">
        <v>2357</v>
      </c>
    </row>
    <row r="62" spans="1:18" s="2058" customFormat="1" ht="16.2" thickBot="1">
      <c r="A62" s="814"/>
      <c r="B62" s="792"/>
      <c r="C62" s="68"/>
      <c r="D62" s="815"/>
      <c r="E62" s="783" t="s">
        <v>639</v>
      </c>
      <c r="F62" s="784" t="e">
        <f t="shared" ca="1" si="0"/>
        <v>#N/A</v>
      </c>
      <c r="I62" s="3173" t="s">
        <v>2329</v>
      </c>
      <c r="J62" s="3174" t="s">
        <v>2330</v>
      </c>
      <c r="K62" s="3174" t="s">
        <v>2331</v>
      </c>
      <c r="L62" s="3174" t="s">
        <v>2312</v>
      </c>
      <c r="M62" s="3175" t="s">
        <v>2904</v>
      </c>
      <c r="O62" s="2400" t="s">
        <v>2350</v>
      </c>
      <c r="P62" s="2398" t="str">
        <f>K59</f>
        <v>建设期及建筑物耐用年限下的土地年期修正系数Kn</v>
      </c>
      <c r="Q62" s="2399" t="e">
        <f ca="1">L59</f>
        <v>#N/A</v>
      </c>
      <c r="R62" s="2402" t="s">
        <v>2359</v>
      </c>
    </row>
    <row r="63" spans="1:18" s="2058" customFormat="1" ht="16.2" thickBot="1">
      <c r="A63" s="1647" t="s">
        <v>1851</v>
      </c>
      <c r="B63" s="783" t="s">
        <v>641</v>
      </c>
      <c r="C63" s="52" t="e">
        <f ca="1">ROUND(C56*F63,1)</f>
        <v>#N/A</v>
      </c>
      <c r="D63" s="2638" t="s">
        <v>1765</v>
      </c>
      <c r="E63" s="783" t="s">
        <v>1709</v>
      </c>
      <c r="F63" s="816" t="e">
        <f t="shared" ca="1" si="0"/>
        <v>#N/A</v>
      </c>
      <c r="I63" s="3173" t="s">
        <v>2332</v>
      </c>
      <c r="J63" s="3174">
        <v>70</v>
      </c>
      <c r="K63" s="3174">
        <v>50</v>
      </c>
      <c r="L63" s="3174">
        <v>80</v>
      </c>
      <c r="M63" s="3176">
        <v>0.02</v>
      </c>
      <c r="O63" s="2397" t="s">
        <v>2353</v>
      </c>
      <c r="P63" s="2398" t="s">
        <v>2370</v>
      </c>
      <c r="Q63" s="2399" t="e">
        <f ca="1">Q57+Q58</f>
        <v>#N/A</v>
      </c>
      <c r="R63" s="2402" t="s">
        <v>2354</v>
      </c>
    </row>
    <row r="64" spans="1:18" s="2058" customFormat="1" ht="16.2" thickBot="1">
      <c r="A64" s="1647" t="s">
        <v>1852</v>
      </c>
      <c r="B64" s="783" t="s">
        <v>644</v>
      </c>
      <c r="C64" s="52" t="e">
        <f ca="1">ROUND(C55*F64,1)</f>
        <v>#N/A</v>
      </c>
      <c r="D64" s="2638" t="s">
        <v>645</v>
      </c>
      <c r="E64" s="783" t="s">
        <v>1709</v>
      </c>
      <c r="F64" s="817" t="e">
        <f t="shared" ca="1" si="0"/>
        <v>#N/A</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t="e">
        <f ca="1">ROUND(C47*F65,1)</f>
        <v>#N/A</v>
      </c>
      <c r="D65" s="2638" t="s">
        <v>648</v>
      </c>
      <c r="E65" s="783" t="s">
        <v>1709</v>
      </c>
      <c r="F65" s="793" t="e">
        <f t="shared" ca="1" si="0"/>
        <v>#N/A</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t="e">
        <f ca="1">C47-C57</f>
        <v>#N/A</v>
      </c>
      <c r="D66" s="2637" t="s">
        <v>665</v>
      </c>
      <c r="E66" s="2636"/>
      <c r="F66" s="819"/>
      <c r="K66" s="2085"/>
      <c r="O66" s="2397" t="s">
        <v>2341</v>
      </c>
      <c r="P66" s="2398" t="s">
        <v>2371</v>
      </c>
      <c r="Q66" s="2399" t="e">
        <f ca="1">C40+J29</f>
        <v>#N/A</v>
      </c>
      <c r="R66" s="2398" t="s">
        <v>2342</v>
      </c>
    </row>
    <row r="67" spans="1:18" s="2058" customFormat="1" ht="19.2" thickBot="1">
      <c r="A67" s="780" t="s">
        <v>1742</v>
      </c>
      <c r="B67" s="2231" t="s">
        <v>2263</v>
      </c>
      <c r="C67" s="782" t="e">
        <f ca="1">ROUND(C66*(1-((1+F69)/(1+F67))^F68)/(F67-F69),0)</f>
        <v>#N/A</v>
      </c>
      <c r="D67" s="813" t="s">
        <v>669</v>
      </c>
      <c r="E67" s="783" t="s">
        <v>670</v>
      </c>
      <c r="F67" s="793" t="e">
        <f ca="1">F40</f>
        <v>#N/A</v>
      </c>
      <c r="K67" s="2085"/>
      <c r="O67" s="2397" t="s">
        <v>2343</v>
      </c>
      <c r="P67" s="2398" t="s">
        <v>2374</v>
      </c>
      <c r="Q67" s="2399" t="e">
        <f ca="1">L60</f>
        <v>#N/A</v>
      </c>
      <c r="R67" s="2402" t="s">
        <v>2376</v>
      </c>
    </row>
    <row r="68" spans="1:18" ht="20.399999999999999" thickBot="1">
      <c r="A68" s="785"/>
      <c r="B68" s="786"/>
      <c r="C68" s="787"/>
      <c r="D68" s="820" t="s">
        <v>1770</v>
      </c>
      <c r="E68" s="783" t="s">
        <v>1746</v>
      </c>
      <c r="F68" s="821" t="e">
        <f ca="1">F41</f>
        <v>#N/A</v>
      </c>
      <c r="O68" s="2400" t="s">
        <v>2345</v>
      </c>
      <c r="P68" s="2398" t="s">
        <v>2375</v>
      </c>
      <c r="Q68" s="2404" t="e">
        <f ca="1">L51</f>
        <v>#N/A</v>
      </c>
      <c r="R68" s="2405" t="s">
        <v>2378</v>
      </c>
    </row>
    <row r="69" spans="1:18" ht="19.2" thickBot="1">
      <c r="A69" s="789"/>
      <c r="B69" s="790"/>
      <c r="C69" s="791"/>
      <c r="D69" s="815"/>
      <c r="E69" s="783" t="s">
        <v>675</v>
      </c>
      <c r="F69" s="2370"/>
      <c r="O69" s="2400" t="s">
        <v>2346</v>
      </c>
      <c r="P69" s="2406" t="s">
        <v>2360</v>
      </c>
      <c r="Q69" s="2399" t="e">
        <f ca="1">ROUND(Q70-Q71*Q72,0)</f>
        <v>#N/A</v>
      </c>
      <c r="R69" s="2402"/>
    </row>
    <row r="70" spans="1:18" ht="16.2" thickBot="1">
      <c r="A70" s="822" t="s">
        <v>1749</v>
      </c>
      <c r="B70" s="823" t="s">
        <v>1772</v>
      </c>
      <c r="C70" s="824" t="e">
        <f ca="1">ROUND(C67*10000/F70,0)</f>
        <v>#N/A</v>
      </c>
      <c r="D70" s="825" t="s">
        <v>1773</v>
      </c>
      <c r="E70" s="826" t="s">
        <v>1774</v>
      </c>
      <c r="F70" s="827" t="e">
        <f ca="1">F43</f>
        <v>#N/A</v>
      </c>
      <c r="O70" s="2400" t="s">
        <v>2361</v>
      </c>
      <c r="P70" s="2406" t="s">
        <v>2362</v>
      </c>
      <c r="Q70" s="2399" t="e">
        <f ca="1">C39</f>
        <v>#N/A</v>
      </c>
      <c r="R70" s="2398" t="s">
        <v>2342</v>
      </c>
    </row>
    <row r="71" spans="1:18" ht="16.2" thickBot="1">
      <c r="O71" s="2400" t="s">
        <v>2363</v>
      </c>
      <c r="P71" s="2406" t="s">
        <v>2364</v>
      </c>
      <c r="Q71" s="2399" t="e">
        <f ca="1">C13</f>
        <v>#N/A</v>
      </c>
      <c r="R71" s="2398" t="s">
        <v>2342</v>
      </c>
    </row>
    <row r="72" spans="1:18" ht="16.2" thickBot="1">
      <c r="O72" s="2400" t="s">
        <v>2365</v>
      </c>
      <c r="P72" s="2406" t="s">
        <v>2366</v>
      </c>
      <c r="Q72" s="2401" t="e">
        <f ca="1">J36</f>
        <v>#N/A</v>
      </c>
      <c r="R72" s="2402"/>
    </row>
    <row r="73" spans="1:18" ht="16.2" thickBot="1">
      <c r="O73" s="2400" t="s">
        <v>2348</v>
      </c>
      <c r="P73" s="2398" t="s">
        <v>2355</v>
      </c>
      <c r="Q73" s="2401">
        <f>L52</f>
        <v>0</v>
      </c>
      <c r="R73" s="2402"/>
    </row>
    <row r="74" spans="1:18" ht="19.2" thickBot="1">
      <c r="O74" s="2400" t="s">
        <v>2350</v>
      </c>
      <c r="P74" s="2398" t="s">
        <v>2356</v>
      </c>
      <c r="Q74" s="2399" t="e">
        <f ca="1">L58</f>
        <v>#N/A</v>
      </c>
      <c r="R74" s="2402" t="s">
        <v>2357</v>
      </c>
    </row>
    <row r="75" spans="1:18" ht="16.2" thickBot="1">
      <c r="O75" s="2400" t="s">
        <v>2379</v>
      </c>
      <c r="P75" s="2398" t="str">
        <f>K59</f>
        <v>建设期及建筑物耐用年限下的土地年期修正系数Kn</v>
      </c>
      <c r="Q75" s="2399" t="e">
        <f ca="1">L59</f>
        <v>#N/A</v>
      </c>
      <c r="R75" s="2402" t="s">
        <v>2359</v>
      </c>
    </row>
    <row r="76" spans="1:18" ht="16.2" thickBot="1">
      <c r="O76" s="2397" t="s">
        <v>2353</v>
      </c>
      <c r="P76" s="2398" t="s">
        <v>2370</v>
      </c>
      <c r="Q76" s="2399" t="e">
        <f ca="1">Q66+Q67</f>
        <v>#N/A</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98" t="s">
        <v>2433</v>
      </c>
      <c r="B1" s="3499"/>
      <c r="C1" s="3500"/>
      <c r="D1" s="3501">
        <f>SUM(I10,I15,I20,I21,I23)</f>
        <v>0</v>
      </c>
      <c r="E1" s="3501"/>
      <c r="F1" s="3501"/>
      <c r="G1" s="3501"/>
      <c r="H1" s="3501"/>
      <c r="I1" s="3502"/>
    </row>
    <row r="2" spans="1:9">
      <c r="A2" s="3503" t="s">
        <v>2434</v>
      </c>
      <c r="B2" s="3504" t="s">
        <v>2435</v>
      </c>
      <c r="C2" s="3504"/>
      <c r="D2" s="2506" t="s">
        <v>2436</v>
      </c>
      <c r="E2" s="2506" t="s">
        <v>2437</v>
      </c>
      <c r="F2" s="2506" t="s">
        <v>2438</v>
      </c>
      <c r="G2" s="2506" t="s">
        <v>2439</v>
      </c>
      <c r="H2" s="2506" t="s">
        <v>2440</v>
      </c>
      <c r="I2" s="2507" t="s">
        <v>2441</v>
      </c>
    </row>
    <row r="3" spans="1:9">
      <c r="A3" s="3503"/>
      <c r="B3" s="3504" t="s">
        <v>2442</v>
      </c>
      <c r="C3" s="3504"/>
      <c r="D3" s="2508"/>
      <c r="E3" s="2506"/>
      <c r="F3" s="2509"/>
      <c r="G3" s="2509"/>
      <c r="H3" s="2510"/>
      <c r="I3" s="2511">
        <f>ROUND(D3*E3*F3*G3*H3/10000,0)</f>
        <v>0</v>
      </c>
    </row>
    <row r="4" spans="1:9">
      <c r="A4" s="3503"/>
      <c r="B4" s="3504" t="s">
        <v>2443</v>
      </c>
      <c r="C4" s="3504"/>
      <c r="D4" s="2508"/>
      <c r="E4" s="2506"/>
      <c r="F4" s="2509"/>
      <c r="G4" s="2509"/>
      <c r="H4" s="2510"/>
      <c r="I4" s="2511">
        <f t="shared" ref="I4:I9" si="0">ROUND(D4*E4*F4*G4*H4/10000,0)</f>
        <v>0</v>
      </c>
    </row>
    <row r="5" spans="1:9">
      <c r="A5" s="3503"/>
      <c r="B5" s="3504" t="s">
        <v>2444</v>
      </c>
      <c r="C5" s="3504"/>
      <c r="D5" s="2508"/>
      <c r="E5" s="2506"/>
      <c r="F5" s="2509"/>
      <c r="G5" s="2509"/>
      <c r="H5" s="2510"/>
      <c r="I5" s="2511">
        <f t="shared" si="0"/>
        <v>0</v>
      </c>
    </row>
    <row r="6" spans="1:9">
      <c r="A6" s="3503"/>
      <c r="B6" s="3504" t="s">
        <v>2445</v>
      </c>
      <c r="C6" s="3504"/>
      <c r="D6" s="2508"/>
      <c r="E6" s="2506"/>
      <c r="F6" s="2509"/>
      <c r="G6" s="2509"/>
      <c r="H6" s="2510"/>
      <c r="I6" s="2511">
        <f t="shared" si="0"/>
        <v>0</v>
      </c>
    </row>
    <row r="7" spans="1:9">
      <c r="A7" s="3503"/>
      <c r="B7" s="3504" t="s">
        <v>2446</v>
      </c>
      <c r="C7" s="3504"/>
      <c r="D7" s="2508"/>
      <c r="E7" s="2506"/>
      <c r="F7" s="2509"/>
      <c r="G7" s="2509"/>
      <c r="H7" s="2510"/>
      <c r="I7" s="2511">
        <f t="shared" si="0"/>
        <v>0</v>
      </c>
    </row>
    <row r="8" spans="1:9">
      <c r="A8" s="3503"/>
      <c r="B8" s="3504" t="s">
        <v>2447</v>
      </c>
      <c r="C8" s="3504"/>
      <c r="D8" s="2508"/>
      <c r="E8" s="2506"/>
      <c r="F8" s="2509"/>
      <c r="G8" s="2509"/>
      <c r="H8" s="2510"/>
      <c r="I8" s="2511">
        <f t="shared" si="0"/>
        <v>0</v>
      </c>
    </row>
    <row r="9" spans="1:9">
      <c r="A9" s="3503"/>
      <c r="B9" s="3504" t="s">
        <v>2448</v>
      </c>
      <c r="C9" s="3504"/>
      <c r="D9" s="2508"/>
      <c r="E9" s="2506"/>
      <c r="F9" s="2509"/>
      <c r="G9" s="2509"/>
      <c r="H9" s="2510"/>
      <c r="I9" s="2511">
        <f t="shared" si="0"/>
        <v>0</v>
      </c>
    </row>
    <row r="10" spans="1:9">
      <c r="A10" s="3503"/>
      <c r="B10" s="3505" t="s">
        <v>2449</v>
      </c>
      <c r="C10" s="3505"/>
      <c r="D10" s="2512">
        <v>527</v>
      </c>
      <c r="E10" s="2512" t="e">
        <f>ROUND(D1*10000/D10/H9,0)</f>
        <v>#DIV/0!</v>
      </c>
      <c r="F10" s="2513"/>
      <c r="G10" s="2513"/>
      <c r="H10" s="2514"/>
      <c r="I10" s="2515">
        <f>SUM(I3:I9)</f>
        <v>0</v>
      </c>
    </row>
    <row r="11" spans="1:9" ht="15.6">
      <c r="A11" s="3503" t="s">
        <v>2450</v>
      </c>
      <c r="B11" s="3504" t="s">
        <v>2451</v>
      </c>
      <c r="C11" s="3504"/>
      <c r="D11" s="2508" t="s">
        <v>2452</v>
      </c>
      <c r="E11" s="2508" t="s">
        <v>2453</v>
      </c>
      <c r="F11" s="2509" t="s">
        <v>2454</v>
      </c>
      <c r="G11" s="2509" t="s">
        <v>2455</v>
      </c>
      <c r="H11" s="2516" t="s">
        <v>2456</v>
      </c>
      <c r="I11" s="2507" t="s">
        <v>2457</v>
      </c>
    </row>
    <row r="12" spans="1:9">
      <c r="A12" s="3503"/>
      <c r="B12" s="3504" t="s">
        <v>2458</v>
      </c>
      <c r="C12" s="3504"/>
      <c r="D12" s="2508"/>
      <c r="E12" s="2508"/>
      <c r="F12" s="2509"/>
      <c r="G12" s="2510"/>
      <c r="H12" s="2517"/>
      <c r="I12" s="2507">
        <f>ROUND(D12*E12*F12*G12/10000,0)</f>
        <v>0</v>
      </c>
    </row>
    <row r="13" spans="1:9">
      <c r="A13" s="3503"/>
      <c r="B13" s="3504" t="s">
        <v>2459</v>
      </c>
      <c r="C13" s="3504"/>
      <c r="D13" s="2508"/>
      <c r="E13" s="2508"/>
      <c r="F13" s="2509"/>
      <c r="G13" s="2510"/>
      <c r="H13" s="2517"/>
      <c r="I13" s="2507">
        <f>ROUND(D13*E13*F13*G13/10000,0)</f>
        <v>0</v>
      </c>
    </row>
    <row r="14" spans="1:9">
      <c r="A14" s="3503"/>
      <c r="B14" s="3504" t="s">
        <v>2460</v>
      </c>
      <c r="C14" s="3504"/>
      <c r="D14" s="2508"/>
      <c r="E14" s="2508"/>
      <c r="F14" s="2509"/>
      <c r="G14" s="2510"/>
      <c r="H14" s="2517"/>
      <c r="I14" s="2507">
        <f>ROUND(D14*E14*F14*G14/10000,0)</f>
        <v>0</v>
      </c>
    </row>
    <row r="15" spans="1:9">
      <c r="A15" s="3503"/>
      <c r="B15" s="3505" t="s">
        <v>2449</v>
      </c>
      <c r="C15" s="3505"/>
      <c r="D15" s="2512"/>
      <c r="E15" s="2512">
        <f>SUM(E12:E14)</f>
        <v>0</v>
      </c>
      <c r="F15" s="2513"/>
      <c r="G15" s="2510"/>
      <c r="H15" s="2517"/>
      <c r="I15" s="2518">
        <f>SUM(I12:I14)</f>
        <v>0</v>
      </c>
    </row>
    <row r="16" spans="1:9" ht="24">
      <c r="A16" s="3503" t="s">
        <v>2461</v>
      </c>
      <c r="B16" s="3504" t="s">
        <v>2462</v>
      </c>
      <c r="C16" s="3504"/>
      <c r="D16" s="2508" t="s">
        <v>2463</v>
      </c>
      <c r="E16" s="2519" t="s">
        <v>2464</v>
      </c>
      <c r="F16" s="2509" t="s">
        <v>2465</v>
      </c>
      <c r="G16" s="2510" t="s">
        <v>2455</v>
      </c>
      <c r="H16" s="2516" t="s">
        <v>2456</v>
      </c>
      <c r="I16" s="2507" t="s">
        <v>2457</v>
      </c>
    </row>
    <row r="17" spans="1:9" ht="15.6">
      <c r="A17" s="3503"/>
      <c r="B17" s="3504" t="s">
        <v>2466</v>
      </c>
      <c r="C17" s="3504"/>
      <c r="D17" s="2508"/>
      <c r="E17" s="2508"/>
      <c r="F17" s="2509"/>
      <c r="G17" s="2510"/>
      <c r="H17" s="2520"/>
      <c r="I17" s="2521">
        <f>ROUND(D17*E17*F17*G17/10000,0)</f>
        <v>0</v>
      </c>
    </row>
    <row r="18" spans="1:9" ht="15.6">
      <c r="A18" s="3503"/>
      <c r="B18" s="3504" t="s">
        <v>2467</v>
      </c>
      <c r="C18" s="3504"/>
      <c r="D18" s="2508"/>
      <c r="E18" s="2508"/>
      <c r="F18" s="2509"/>
      <c r="G18" s="2510"/>
      <c r="H18" s="2520"/>
      <c r="I18" s="2521">
        <f>ROUND(D18*E18*F18*G18/10000,0)</f>
        <v>0</v>
      </c>
    </row>
    <row r="19" spans="1:9" ht="15.6">
      <c r="A19" s="3503"/>
      <c r="B19" s="3504" t="s">
        <v>2468</v>
      </c>
      <c r="C19" s="3504"/>
      <c r="D19" s="2508"/>
      <c r="E19" s="2508"/>
      <c r="F19" s="2509"/>
      <c r="G19" s="2510"/>
      <c r="H19" s="2520"/>
      <c r="I19" s="2521">
        <f>ROUND(D19*E19*F19*G19/10000,0)</f>
        <v>0</v>
      </c>
    </row>
    <row r="20" spans="1:9">
      <c r="A20" s="3503"/>
      <c r="B20" s="3505" t="s">
        <v>2449</v>
      </c>
      <c r="C20" s="3505"/>
      <c r="D20" s="2512">
        <f>SUM(D17:D19)</f>
        <v>0</v>
      </c>
      <c r="E20" s="2512"/>
      <c r="F20" s="2513"/>
      <c r="G20" s="2510"/>
      <c r="H20" s="2517"/>
      <c r="I20" s="2518">
        <f>SUM(I17:I19)</f>
        <v>0</v>
      </c>
    </row>
    <row r="21" spans="1:9">
      <c r="A21" s="3503" t="s">
        <v>2469</v>
      </c>
      <c r="B21" s="3507"/>
      <c r="C21" s="3507"/>
      <c r="D21" s="3507"/>
      <c r="E21" s="3507"/>
      <c r="F21" s="3507"/>
      <c r="G21" s="3507"/>
      <c r="H21" s="2522">
        <v>0.1</v>
      </c>
      <c r="I21" s="2515">
        <f>ROUND(I10*H21,0)</f>
        <v>0</v>
      </c>
    </row>
    <row r="22" spans="1:9" ht="15.6">
      <c r="A22" s="3508" t="s">
        <v>2470</v>
      </c>
      <c r="B22" s="3509"/>
      <c r="C22" s="3510"/>
      <c r="D22" s="2523" t="s">
        <v>2471</v>
      </c>
      <c r="E22" s="2523" t="s">
        <v>2472</v>
      </c>
      <c r="F22" s="2524" t="s">
        <v>2473</v>
      </c>
      <c r="G22" s="2524" t="s">
        <v>2474</v>
      </c>
      <c r="H22" s="2516" t="s">
        <v>2475</v>
      </c>
      <c r="I22" s="2507" t="s">
        <v>2476</v>
      </c>
    </row>
    <row r="23" spans="1:9" ht="15" thickBot="1">
      <c r="A23" s="3511"/>
      <c r="B23" s="3512"/>
      <c r="C23" s="3513"/>
      <c r="D23" s="2525"/>
      <c r="E23" s="2525"/>
      <c r="F23" s="2525"/>
      <c r="G23" s="2526"/>
      <c r="H23" s="2527"/>
      <c r="I23" s="2528">
        <f>ROUND(E23*D23*F23*(1-G23)/10000,0)</f>
        <v>0</v>
      </c>
    </row>
    <row r="26" spans="1:9">
      <c r="A26" s="2529" t="s">
        <v>2477</v>
      </c>
      <c r="B26" s="2529"/>
      <c r="C26" s="2529"/>
      <c r="D26" s="2529"/>
      <c r="E26" s="3514">
        <f>C27-C30-C31-C32</f>
        <v>0</v>
      </c>
      <c r="F26" s="3514"/>
      <c r="G26" s="3514"/>
      <c r="H26" s="3043" t="s">
        <v>2805</v>
      </c>
    </row>
    <row r="27" spans="1:9">
      <c r="A27" s="2530">
        <v>1</v>
      </c>
      <c r="B27" s="2531" t="s">
        <v>2478</v>
      </c>
      <c r="C27" s="2531"/>
      <c r="D27" s="2531"/>
      <c r="E27" s="3515"/>
      <c r="F27" s="3515"/>
      <c r="G27" s="3515"/>
    </row>
    <row r="28" spans="1:9">
      <c r="A28" s="2532" t="s">
        <v>2479</v>
      </c>
      <c r="B28" s="2531" t="s">
        <v>2480</v>
      </c>
      <c r="C28" s="2531"/>
      <c r="D28" s="2531"/>
      <c r="E28" s="3515"/>
      <c r="F28" s="3515"/>
      <c r="G28" s="3515"/>
    </row>
    <row r="29" spans="1:9">
      <c r="A29" s="2532" t="s">
        <v>2481</v>
      </c>
      <c r="B29" s="2531" t="s">
        <v>2422</v>
      </c>
      <c r="C29" s="2531"/>
      <c r="D29" s="2531"/>
      <c r="E29" s="2531" t="s">
        <v>2482</v>
      </c>
      <c r="F29" s="2531"/>
      <c r="G29" s="2531"/>
    </row>
    <row r="30" spans="1:9">
      <c r="A30" s="2530">
        <v>2</v>
      </c>
      <c r="B30" s="2531" t="s">
        <v>2483</v>
      </c>
      <c r="C30" s="2531">
        <f>C27*D30</f>
        <v>0</v>
      </c>
      <c r="D30" s="2533">
        <v>0.2</v>
      </c>
      <c r="E30" s="2531" t="s">
        <v>2484</v>
      </c>
      <c r="F30" s="2531"/>
      <c r="G30" s="2531"/>
    </row>
    <row r="31" spans="1:9">
      <c r="A31" s="2530">
        <v>3</v>
      </c>
      <c r="B31" s="2531" t="s">
        <v>2485</v>
      </c>
      <c r="C31" s="2531">
        <f>C25*D31</f>
        <v>0</v>
      </c>
      <c r="D31" s="2533">
        <v>0.15</v>
      </c>
      <c r="E31" s="2531" t="s">
        <v>2486</v>
      </c>
      <c r="F31" s="2531"/>
      <c r="G31" s="2531"/>
    </row>
    <row r="32" spans="1:9">
      <c r="A32" s="2530">
        <v>4</v>
      </c>
      <c r="B32" s="2531" t="s">
        <v>2487</v>
      </c>
      <c r="C32" s="2531">
        <f>C27*D32</f>
        <v>0</v>
      </c>
      <c r="D32" s="2533">
        <v>0.05</v>
      </c>
      <c r="E32" s="3506"/>
      <c r="F32" s="3506"/>
      <c r="G32" s="3506"/>
    </row>
    <row r="33" spans="1:7" hidden="1">
      <c r="A33" s="3516" t="s">
        <v>2488</v>
      </c>
      <c r="B33" s="3517"/>
      <c r="C33" s="3517"/>
      <c r="D33" s="3518"/>
      <c r="E33" s="3514"/>
      <c r="F33" s="3514"/>
      <c r="G33" s="3514"/>
    </row>
    <row r="34" spans="1:7" hidden="1">
      <c r="A34" s="2534">
        <v>1</v>
      </c>
      <c r="B34" s="2531" t="s">
        <v>2489</v>
      </c>
      <c r="C34" s="2531"/>
      <c r="D34" s="2531"/>
      <c r="E34" s="3515"/>
      <c r="F34" s="3515"/>
      <c r="G34" s="3515"/>
    </row>
    <row r="35" spans="1:7" hidden="1">
      <c r="A35" s="2534">
        <v>2</v>
      </c>
      <c r="B35" s="2531" t="s">
        <v>2490</v>
      </c>
      <c r="C35" s="2531"/>
      <c r="D35" s="2531"/>
      <c r="E35" s="3515"/>
      <c r="F35" s="3515"/>
      <c r="G35" s="3515"/>
    </row>
    <row r="36" spans="1:7" hidden="1">
      <c r="A36" s="2534">
        <v>3</v>
      </c>
      <c r="B36" s="2531" t="s">
        <v>2491</v>
      </c>
      <c r="C36" s="2531"/>
      <c r="D36" s="2531"/>
      <c r="E36" s="3515"/>
      <c r="F36" s="3515"/>
      <c r="G36" s="3515"/>
    </row>
    <row r="37" spans="1:7" hidden="1">
      <c r="A37" s="2534">
        <v>4</v>
      </c>
      <c r="B37" s="2531" t="s">
        <v>2492</v>
      </c>
      <c r="C37" s="2531"/>
      <c r="D37" s="2531"/>
      <c r="E37" s="3515"/>
      <c r="F37" s="3515"/>
      <c r="G37" s="3515"/>
    </row>
    <row r="38" spans="1:7" hidden="1">
      <c r="A38" s="3516" t="s">
        <v>2493</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116675.65000000001</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875</v>
      </c>
      <c r="D12" s="757">
        <f>'数据-汇总表'!E5</f>
        <v>116675.65000000001</v>
      </c>
      <c r="E12" s="756">
        <f>'数据-取费表'!B27</f>
        <v>75</v>
      </c>
      <c r="F12" s="754"/>
      <c r="G12" s="758"/>
    </row>
    <row r="13" spans="1:25" s="2182" customFormat="1" ht="13.5" customHeight="1">
      <c r="A13" s="2475" t="s">
        <v>2409</v>
      </c>
      <c r="B13" s="755" t="s">
        <v>577</v>
      </c>
      <c r="C13" s="756">
        <f>ROUND(D13*E13/10000,0)</f>
        <v>0</v>
      </c>
      <c r="D13" s="757">
        <f>'数据-汇总表'!E6</f>
        <v>0</v>
      </c>
      <c r="E13" s="756">
        <f>'数据-取费表'!B28</f>
        <v>75</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0.77700000000000002</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M15" sqref="M15"/>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2990</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f>ROUND(B3*D3/10000,0)</f>
        <v>93574</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f>C49</f>
        <v>8020</v>
      </c>
      <c r="C3" s="851" t="s">
        <v>687</v>
      </c>
      <c r="D3" s="850">
        <f>SUMIF('数据-汇总表'!$C19:$C33,D1,'数据-汇总表'!$E19:$E33)</f>
        <v>116675.65000000001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412" t="s">
        <v>487</v>
      </c>
      <c r="D4" s="3413"/>
      <c r="E4" s="3447" t="s">
        <v>488</v>
      </c>
      <c r="F4" s="3448"/>
      <c r="G4" s="3412" t="s">
        <v>489</v>
      </c>
      <c r="H4" s="3413"/>
      <c r="I4" s="3412" t="s">
        <v>490</v>
      </c>
      <c r="J4" s="3413"/>
      <c r="K4" s="852" t="s">
        <v>491</v>
      </c>
      <c r="L4" s="2132"/>
      <c r="M4" s="2133"/>
      <c r="N4" s="2133"/>
      <c r="O4" s="2133"/>
      <c r="P4" s="3414" t="s">
        <v>492</v>
      </c>
      <c r="Q4" s="3415"/>
      <c r="R4" s="3420" t="s">
        <v>488</v>
      </c>
      <c r="S4" s="3421"/>
      <c r="T4" s="3420" t="s">
        <v>489</v>
      </c>
      <c r="U4" s="3421"/>
      <c r="V4" s="3407" t="s">
        <v>490</v>
      </c>
      <c r="W4" s="3407"/>
      <c r="X4" s="1565"/>
      <c r="Y4" s="3420" t="s">
        <v>492</v>
      </c>
      <c r="Z4" s="3421"/>
      <c r="AA4" s="3409" t="s">
        <v>488</v>
      </c>
      <c r="AB4" s="3409" t="s">
        <v>489</v>
      </c>
      <c r="AC4" s="3409" t="s">
        <v>490</v>
      </c>
    </row>
    <row r="5" spans="1:29">
      <c r="A5" s="514"/>
      <c r="B5" s="515"/>
      <c r="C5" s="3428" t="s">
        <v>2994</v>
      </c>
      <c r="D5" s="3429"/>
      <c r="E5" s="3524" t="s">
        <v>3265</v>
      </c>
      <c r="F5" s="3450"/>
      <c r="G5" s="3428" t="s">
        <v>3264</v>
      </c>
      <c r="H5" s="3429"/>
      <c r="I5" s="3428" t="s">
        <v>3323</v>
      </c>
      <c r="J5" s="3429"/>
      <c r="K5" s="853"/>
      <c r="L5" s="2132"/>
      <c r="M5" s="2133"/>
      <c r="N5" s="2133"/>
      <c r="O5" s="2133"/>
      <c r="P5" s="3416"/>
      <c r="Q5" s="3417"/>
      <c r="R5" s="3422"/>
      <c r="S5" s="3423"/>
      <c r="T5" s="3422"/>
      <c r="U5" s="3423"/>
      <c r="V5" s="3407"/>
      <c r="W5" s="3407"/>
      <c r="X5" s="1565"/>
      <c r="Y5" s="3422"/>
      <c r="Z5" s="3423"/>
      <c r="AA5" s="3410"/>
      <c r="AB5" s="3410"/>
      <c r="AC5" s="3410"/>
    </row>
    <row r="6" spans="1:29" ht="15" thickBot="1">
      <c r="A6" s="516"/>
      <c r="B6" s="517"/>
      <c r="C6" s="3522" t="s">
        <v>2992</v>
      </c>
      <c r="D6" s="3444"/>
      <c r="E6" s="3523" t="s">
        <v>3266</v>
      </c>
      <c r="F6" s="3446"/>
      <c r="G6" s="3522" t="s">
        <v>3020</v>
      </c>
      <c r="H6" s="3444"/>
      <c r="I6" s="3522" t="s">
        <v>3324</v>
      </c>
      <c r="J6" s="3444"/>
      <c r="K6" s="853" t="s">
        <v>493</v>
      </c>
      <c r="L6" s="2132"/>
      <c r="M6" s="2133"/>
      <c r="N6" s="2133"/>
      <c r="O6" s="2133"/>
      <c r="P6" s="3418"/>
      <c r="Q6" s="3419"/>
      <c r="R6" s="3422"/>
      <c r="S6" s="3423"/>
      <c r="T6" s="3424"/>
      <c r="U6" s="3425"/>
      <c r="V6" s="3407"/>
      <c r="W6" s="3407"/>
      <c r="X6" s="1565"/>
      <c r="Y6" s="3424"/>
      <c r="Z6" s="3425"/>
      <c r="AA6" s="3411"/>
      <c r="AB6" s="3411"/>
      <c r="AC6" s="3411"/>
    </row>
    <row r="7" spans="1:29" s="1218" customFormat="1" ht="15" thickBot="1">
      <c r="A7" s="2911"/>
      <c r="B7" s="2918" t="s">
        <v>494</v>
      </c>
      <c r="C7" s="518">
        <f>'数据-取费表'!B2</f>
        <v>43718</v>
      </c>
      <c r="D7" s="519">
        <v>100</v>
      </c>
      <c r="E7" s="520">
        <v>43709</v>
      </c>
      <c r="F7" s="521">
        <f>SUMIF(58:58,YEAR(E7)&amp;"-"&amp;MONTH(E7),59:59)</f>
        <v>100</v>
      </c>
      <c r="G7" s="520">
        <v>43709</v>
      </c>
      <c r="H7" s="519">
        <f>SUMIF(58:58,YEAR(G7)&amp;"-"&amp;MONTH(G7),59:59)</f>
        <v>100</v>
      </c>
      <c r="I7" s="520">
        <v>43709</v>
      </c>
      <c r="J7" s="519">
        <f>SUMIF(58:58,YEAR(I7)&amp;"-"&amp;MONTH(I7),59:59)</f>
        <v>100</v>
      </c>
      <c r="K7" s="854"/>
      <c r="L7" s="2134"/>
      <c r="M7" s="2135"/>
      <c r="N7" s="2135"/>
      <c r="O7" s="2135"/>
      <c r="P7" s="3435" t="s">
        <v>495</v>
      </c>
      <c r="Q7" s="3437"/>
      <c r="R7" s="1566" t="s">
        <v>12</v>
      </c>
      <c r="S7" s="1567">
        <f t="shared" ref="S7:S15" si="0">F7</f>
        <v>100</v>
      </c>
      <c r="T7" s="1566" t="s">
        <v>12</v>
      </c>
      <c r="U7" s="1567">
        <f t="shared" ref="U7:U15" si="1">H7</f>
        <v>100</v>
      </c>
      <c r="V7" s="1566" t="s">
        <v>12</v>
      </c>
      <c r="W7" s="1567">
        <f t="shared" ref="W7:W15" si="2">J7</f>
        <v>100</v>
      </c>
      <c r="X7" s="1568"/>
      <c r="Y7" s="3435" t="s">
        <v>495</v>
      </c>
      <c r="Z7" s="3436"/>
      <c r="AA7" s="1569">
        <f>D7/F7</f>
        <v>1</v>
      </c>
      <c r="AB7" s="1569">
        <f>D7/H7</f>
        <v>1</v>
      </c>
      <c r="AC7" s="1569">
        <f>D7/J7</f>
        <v>1</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435" t="s">
        <v>498</v>
      </c>
      <c r="Q8" s="3436"/>
      <c r="R8" s="1566" t="s">
        <v>12</v>
      </c>
      <c r="S8" s="1567">
        <f t="shared" si="0"/>
        <v>100</v>
      </c>
      <c r="T8" s="1566" t="s">
        <v>12</v>
      </c>
      <c r="U8" s="1567">
        <f t="shared" si="1"/>
        <v>100</v>
      </c>
      <c r="V8" s="1566" t="s">
        <v>12</v>
      </c>
      <c r="W8" s="1567">
        <f t="shared" si="2"/>
        <v>100</v>
      </c>
      <c r="X8" s="1568"/>
      <c r="Y8" s="3435" t="s">
        <v>498</v>
      </c>
      <c r="Z8" s="3436"/>
      <c r="AA8" s="1569">
        <f t="shared" ref="AA8:AA46" si="3">D8/F8</f>
        <v>1</v>
      </c>
      <c r="AB8" s="1569">
        <f t="shared" ref="AB8:AB46" si="4">D8/H8</f>
        <v>1</v>
      </c>
      <c r="AC8" s="1569">
        <f t="shared" ref="AC8:AC46" si="5">D8/J8</f>
        <v>1</v>
      </c>
    </row>
    <row r="9" spans="1:29" s="1218" customFormat="1" ht="14.4">
      <c r="A9" s="2913"/>
      <c r="B9" s="2920" t="s">
        <v>2718</v>
      </c>
      <c r="C9" s="3181" t="s">
        <v>2997</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406" t="s">
        <v>500</v>
      </c>
      <c r="Q9" s="1149" t="str">
        <f t="shared" ref="Q9:Q15" si="6">B9</f>
        <v>用途</v>
      </c>
      <c r="R9" s="1566" t="s">
        <v>8</v>
      </c>
      <c r="S9" s="1567">
        <f t="shared" si="0"/>
        <v>100</v>
      </c>
      <c r="T9" s="1566" t="s">
        <v>8</v>
      </c>
      <c r="U9" s="1567">
        <f t="shared" si="1"/>
        <v>100</v>
      </c>
      <c r="V9" s="1566" t="s">
        <v>8</v>
      </c>
      <c r="W9" s="1567">
        <f t="shared" si="2"/>
        <v>100</v>
      </c>
      <c r="X9" s="1568"/>
      <c r="Y9" s="3352" t="s">
        <v>501</v>
      </c>
      <c r="Z9" s="1148" t="str">
        <f t="shared" ref="Z9:Z15" si="7">Q9</f>
        <v>用途</v>
      </c>
      <c r="AA9" s="1569">
        <f t="shared" si="3"/>
        <v>1</v>
      </c>
      <c r="AB9" s="1569">
        <f t="shared" si="4"/>
        <v>1</v>
      </c>
      <c r="AC9" s="1569">
        <f t="shared" si="5"/>
        <v>1</v>
      </c>
    </row>
    <row r="10" spans="1:29" s="1336" customFormat="1" ht="28.8">
      <c r="A10" s="2914"/>
      <c r="B10" s="2919" t="s">
        <v>2719</v>
      </c>
      <c r="C10" s="860" t="s">
        <v>2998</v>
      </c>
      <c r="D10" s="254">
        <v>100</v>
      </c>
      <c r="E10" s="860" t="s">
        <v>2998</v>
      </c>
      <c r="F10" s="862">
        <f>SUMIF(65:65,E10,66:66)-SUMIF(65:65,C10,66:66)+100</f>
        <v>100</v>
      </c>
      <c r="G10" s="860" t="s">
        <v>2998</v>
      </c>
      <c r="H10" s="254">
        <f>SUMIF(65:65,G10,66:66)-SUMIF(65:65,C10,66:66)+100</f>
        <v>100</v>
      </c>
      <c r="I10" s="860" t="s">
        <v>2998</v>
      </c>
      <c r="J10" s="254">
        <f>SUMIF(65:65,I10,66:66)-SUMIF(65:65,C10,66:66)+100</f>
        <v>100</v>
      </c>
      <c r="K10" s="863">
        <v>1</v>
      </c>
      <c r="L10" s="2137"/>
      <c r="M10" s="2177"/>
      <c r="N10" s="2177"/>
      <c r="O10" s="2138"/>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5"/>
      <c r="B11" s="2919" t="s">
        <v>2720</v>
      </c>
      <c r="C11" s="532">
        <f>'数据-汇总表'!I6</f>
        <v>3.5</v>
      </c>
      <c r="D11" s="254">
        <v>100</v>
      </c>
      <c r="E11" s="533">
        <v>2.2000000000000002</v>
      </c>
      <c r="F11" s="862">
        <f>LOOKUP(E11,68:68,69:69)-LOOKUP(C11,68:68,69:69)+100</f>
        <v>102</v>
      </c>
      <c r="G11" s="532">
        <v>2.2000000000000002</v>
      </c>
      <c r="H11" s="254">
        <f>LOOKUP(G11,68:68,69:69)-LOOKUP(C11,68:68,69:69)+100</f>
        <v>102</v>
      </c>
      <c r="I11" s="532">
        <v>1.32</v>
      </c>
      <c r="J11" s="254">
        <f>LOOKUP(I11,68:68,69:69)-LOOKUP(C11,68:68,69:69)+100</f>
        <v>104</v>
      </c>
      <c r="K11" s="863">
        <v>2</v>
      </c>
      <c r="L11" s="2139"/>
      <c r="M11" s="2133"/>
      <c r="N11" s="2133"/>
      <c r="O11" s="2140"/>
      <c r="P11" s="3406"/>
      <c r="Q11" s="1149" t="str">
        <f t="shared" si="6"/>
        <v>容积率</v>
      </c>
      <c r="R11" s="1566" t="s">
        <v>11</v>
      </c>
      <c r="S11" s="1567">
        <f t="shared" si="0"/>
        <v>102</v>
      </c>
      <c r="T11" s="1566" t="s">
        <v>11</v>
      </c>
      <c r="U11" s="1567">
        <f t="shared" si="1"/>
        <v>102</v>
      </c>
      <c r="V11" s="1566" t="s">
        <v>11</v>
      </c>
      <c r="W11" s="1567">
        <f t="shared" si="2"/>
        <v>104</v>
      </c>
      <c r="X11" s="1568"/>
      <c r="Y11" s="3352"/>
      <c r="Z11" s="1148" t="str">
        <f t="shared" si="7"/>
        <v>容积率</v>
      </c>
      <c r="AA11" s="1569">
        <f t="shared" si="3"/>
        <v>0.98039215686274506</v>
      </c>
      <c r="AB11" s="1569">
        <f t="shared" si="4"/>
        <v>0.98039215686274506</v>
      </c>
      <c r="AC11" s="1569">
        <f t="shared" si="5"/>
        <v>0.96153846153846156</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06"/>
      <c r="Q12" s="1149">
        <f t="shared" si="6"/>
        <v>111</v>
      </c>
      <c r="R12" s="1566" t="s">
        <v>11</v>
      </c>
      <c r="S12" s="1567">
        <f t="shared" si="0"/>
        <v>100</v>
      </c>
      <c r="T12" s="1566" t="s">
        <v>11</v>
      </c>
      <c r="U12" s="1567">
        <f t="shared" si="1"/>
        <v>100</v>
      </c>
      <c r="V12" s="1566" t="s">
        <v>11</v>
      </c>
      <c r="W12" s="1567">
        <f t="shared" si="2"/>
        <v>100</v>
      </c>
      <c r="X12" s="1568"/>
      <c r="Y12" s="3352"/>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06"/>
      <c r="Q13" s="1149">
        <f t="shared" si="6"/>
        <v>111</v>
      </c>
      <c r="R13" s="1566" t="s">
        <v>11</v>
      </c>
      <c r="S13" s="1567">
        <f t="shared" si="0"/>
        <v>100</v>
      </c>
      <c r="T13" s="1566" t="s">
        <v>11</v>
      </c>
      <c r="U13" s="1567">
        <f t="shared" si="1"/>
        <v>100</v>
      </c>
      <c r="V13" s="1566" t="s">
        <v>11</v>
      </c>
      <c r="W13" s="1567">
        <f t="shared" si="2"/>
        <v>100</v>
      </c>
      <c r="X13" s="1568"/>
      <c r="Y13" s="3352"/>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06"/>
      <c r="Q14" s="1149">
        <f t="shared" si="6"/>
        <v>111</v>
      </c>
      <c r="R14" s="1566" t="s">
        <v>11</v>
      </c>
      <c r="S14" s="1567">
        <f t="shared" si="0"/>
        <v>100</v>
      </c>
      <c r="T14" s="1566" t="s">
        <v>11</v>
      </c>
      <c r="U14" s="1567">
        <f t="shared" si="1"/>
        <v>100</v>
      </c>
      <c r="V14" s="1566" t="s">
        <v>11</v>
      </c>
      <c r="W14" s="1567">
        <f t="shared" si="2"/>
        <v>100</v>
      </c>
      <c r="X14" s="1568"/>
      <c r="Y14" s="3352"/>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41"/>
      <c r="M15" s="2133"/>
      <c r="N15" s="2133"/>
      <c r="O15" s="2140"/>
      <c r="P15" s="3438" t="s">
        <v>505</v>
      </c>
      <c r="Q15" s="1570" t="str">
        <f t="shared" si="6"/>
        <v>居住社区成熟度</v>
      </c>
      <c r="R15" s="1571" t="s">
        <v>11</v>
      </c>
      <c r="S15" s="1572">
        <f t="shared" si="0"/>
        <v>105</v>
      </c>
      <c r="T15" s="1571" t="s">
        <v>11</v>
      </c>
      <c r="U15" s="1572">
        <f t="shared" si="1"/>
        <v>105</v>
      </c>
      <c r="V15" s="1571" t="s">
        <v>11</v>
      </c>
      <c r="W15" s="1572">
        <f t="shared" si="2"/>
        <v>105</v>
      </c>
      <c r="X15" s="1565"/>
      <c r="Y15" s="3438" t="s">
        <v>505</v>
      </c>
      <c r="Z15" s="1573" t="str">
        <f t="shared" si="7"/>
        <v>居住社区成熟度</v>
      </c>
      <c r="AA15" s="1574">
        <f t="shared" si="3"/>
        <v>0.95238095238095233</v>
      </c>
      <c r="AB15" s="1574">
        <f t="shared" si="4"/>
        <v>0.95238095238095233</v>
      </c>
      <c r="AC15" s="1574">
        <f t="shared" si="5"/>
        <v>0.95238095238095233</v>
      </c>
    </row>
    <row r="16" spans="1:29" ht="15">
      <c r="A16" s="531"/>
      <c r="B16" s="868"/>
      <c r="C16" s="575" t="s">
        <v>2999</v>
      </c>
      <c r="D16" s="554"/>
      <c r="E16" s="555" t="s">
        <v>2949</v>
      </c>
      <c r="F16" s="556"/>
      <c r="G16" s="555" t="s">
        <v>2949</v>
      </c>
      <c r="H16" s="558"/>
      <c r="I16" s="555" t="s">
        <v>2949</v>
      </c>
      <c r="J16" s="554"/>
      <c r="K16" s="869"/>
      <c r="L16" s="2141"/>
      <c r="M16" s="2133"/>
      <c r="N16" s="2133"/>
      <c r="O16" s="2140"/>
      <c r="P16" s="3439"/>
      <c r="Q16" s="1570"/>
      <c r="R16" s="1571"/>
      <c r="S16" s="1572"/>
      <c r="T16" s="1571"/>
      <c r="U16" s="1572"/>
      <c r="V16" s="1571"/>
      <c r="W16" s="1572"/>
      <c r="X16" s="1565"/>
      <c r="Y16" s="3439"/>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439"/>
      <c r="Q17" s="1570" t="str">
        <f>B17</f>
        <v>交通便捷度</v>
      </c>
      <c r="R17" s="1571" t="s">
        <v>11</v>
      </c>
      <c r="S17" s="1572">
        <f>F17</f>
        <v>102</v>
      </c>
      <c r="T17" s="1571" t="s">
        <v>11</v>
      </c>
      <c r="U17" s="1572">
        <f>H17</f>
        <v>102</v>
      </c>
      <c r="V17" s="1571" t="s">
        <v>11</v>
      </c>
      <c r="W17" s="1572">
        <f>J17</f>
        <v>102</v>
      </c>
      <c r="X17" s="1565"/>
      <c r="Y17" s="3439"/>
      <c r="Z17" s="1573" t="str">
        <f>Q17</f>
        <v>交通便捷度</v>
      </c>
      <c r="AA17" s="1574">
        <f t="shared" si="3"/>
        <v>0.98039215686274506</v>
      </c>
      <c r="AB17" s="1574">
        <f t="shared" si="4"/>
        <v>0.98039215686274506</v>
      </c>
      <c r="AC17" s="1574">
        <f t="shared" si="5"/>
        <v>0.98039215686274506</v>
      </c>
    </row>
    <row r="18" spans="1:29" ht="15">
      <c r="A18" s="531"/>
      <c r="B18" s="594"/>
      <c r="C18" s="872" t="s">
        <v>2999</v>
      </c>
      <c r="D18" s="558"/>
      <c r="E18" s="555" t="s">
        <v>2949</v>
      </c>
      <c r="F18" s="562"/>
      <c r="G18" s="555" t="s">
        <v>2949</v>
      </c>
      <c r="H18" s="554"/>
      <c r="I18" s="555" t="s">
        <v>2949</v>
      </c>
      <c r="J18" s="554"/>
      <c r="K18" s="869"/>
      <c r="L18" s="2141"/>
      <c r="M18" s="2133"/>
      <c r="N18" s="2133"/>
      <c r="O18" s="2140"/>
      <c r="P18" s="3439"/>
      <c r="Q18" s="1570"/>
      <c r="R18" s="1571"/>
      <c r="S18" s="1572"/>
      <c r="T18" s="1571"/>
      <c r="U18" s="1572"/>
      <c r="V18" s="1571"/>
      <c r="W18" s="1572"/>
      <c r="X18" s="1565"/>
      <c r="Y18" s="3439"/>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439"/>
      <c r="Q19" s="1570" t="str">
        <f>B19</f>
        <v>公共配套设施</v>
      </c>
      <c r="R19" s="1571" t="s">
        <v>11</v>
      </c>
      <c r="S19" s="1572">
        <f>F19</f>
        <v>102</v>
      </c>
      <c r="T19" s="1571" t="s">
        <v>11</v>
      </c>
      <c r="U19" s="1572">
        <f>H19</f>
        <v>100</v>
      </c>
      <c r="V19" s="1571" t="s">
        <v>11</v>
      </c>
      <c r="W19" s="1572">
        <f>J19</f>
        <v>102</v>
      </c>
      <c r="X19" s="1565"/>
      <c r="Y19" s="3439"/>
      <c r="Z19" s="1573" t="str">
        <f>Q19</f>
        <v>公共配套设施</v>
      </c>
      <c r="AA19" s="1574">
        <f t="shared" si="3"/>
        <v>0.98039215686274506</v>
      </c>
      <c r="AB19" s="1574">
        <f t="shared" si="4"/>
        <v>1</v>
      </c>
      <c r="AC19" s="1574">
        <f t="shared" si="5"/>
        <v>0.98039215686274506</v>
      </c>
    </row>
    <row r="20" spans="1:29" ht="15">
      <c r="A20" s="531"/>
      <c r="B20" s="594"/>
      <c r="C20" s="575" t="s">
        <v>2999</v>
      </c>
      <c r="D20" s="554"/>
      <c r="E20" s="555" t="s">
        <v>2949</v>
      </c>
      <c r="F20" s="556"/>
      <c r="G20" s="555" t="s">
        <v>2999</v>
      </c>
      <c r="H20" s="554"/>
      <c r="I20" s="555" t="s">
        <v>2949</v>
      </c>
      <c r="J20" s="554"/>
      <c r="K20" s="869"/>
      <c r="L20" s="2141"/>
      <c r="M20" s="2133"/>
      <c r="N20" s="2133"/>
      <c r="O20" s="2140"/>
      <c r="P20" s="3439"/>
      <c r="Q20" s="1570"/>
      <c r="R20" s="1571"/>
      <c r="S20" s="1572"/>
      <c r="T20" s="1571"/>
      <c r="U20" s="1572"/>
      <c r="V20" s="1571"/>
      <c r="W20" s="1572"/>
      <c r="X20" s="1565"/>
      <c r="Y20" s="3439"/>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439"/>
      <c r="Q21" s="2578" t="str">
        <f>B21</f>
        <v>基础设施水平</v>
      </c>
      <c r="R21" s="1571" t="s">
        <v>11</v>
      </c>
      <c r="S21" s="1572">
        <f>F21</f>
        <v>100</v>
      </c>
      <c r="T21" s="1571" t="s">
        <v>11</v>
      </c>
      <c r="U21" s="1572">
        <f>H21</f>
        <v>100</v>
      </c>
      <c r="V21" s="1571" t="s">
        <v>11</v>
      </c>
      <c r="W21" s="1572">
        <f>J21</f>
        <v>100</v>
      </c>
      <c r="X21" s="2580"/>
      <c r="Y21" s="3439"/>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439"/>
      <c r="Q22" s="2578"/>
      <c r="R22" s="1571"/>
      <c r="S22" s="1572"/>
      <c r="T22" s="1571"/>
      <c r="U22" s="1572"/>
      <c r="V22" s="1571"/>
      <c r="W22" s="1572"/>
      <c r="X22" s="2580"/>
      <c r="Y22" s="3439"/>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439"/>
      <c r="Q23" s="1570" t="str">
        <f>B23</f>
        <v>自然及人文环境</v>
      </c>
      <c r="R23" s="1571" t="s">
        <v>11</v>
      </c>
      <c r="S23" s="1572">
        <f>F23</f>
        <v>102</v>
      </c>
      <c r="T23" s="1571" t="s">
        <v>11</v>
      </c>
      <c r="U23" s="1572">
        <f>H23</f>
        <v>102</v>
      </c>
      <c r="V23" s="1571" t="s">
        <v>11</v>
      </c>
      <c r="W23" s="1572">
        <f>J23</f>
        <v>102</v>
      </c>
      <c r="X23" s="1565"/>
      <c r="Y23" s="3439"/>
      <c r="Z23" s="1573" t="str">
        <f>Q23</f>
        <v>自然及人文环境</v>
      </c>
      <c r="AA23" s="1574">
        <f t="shared" si="3"/>
        <v>0.98039215686274506</v>
      </c>
      <c r="AB23" s="1574">
        <f t="shared" si="4"/>
        <v>0.98039215686274506</v>
      </c>
      <c r="AC23" s="1574">
        <f t="shared" si="5"/>
        <v>0.98039215686274506</v>
      </c>
    </row>
    <row r="24" spans="1:29" ht="15">
      <c r="A24" s="531"/>
      <c r="B24" s="594"/>
      <c r="C24" s="575" t="s">
        <v>2999</v>
      </c>
      <c r="D24" s="554"/>
      <c r="E24" s="555" t="s">
        <v>2949</v>
      </c>
      <c r="F24" s="556"/>
      <c r="G24" s="555" t="s">
        <v>2949</v>
      </c>
      <c r="H24" s="554"/>
      <c r="I24" s="555" t="s">
        <v>2949</v>
      </c>
      <c r="J24" s="554"/>
      <c r="K24" s="869"/>
      <c r="L24" s="2141"/>
      <c r="M24" s="2133"/>
      <c r="N24" s="2133"/>
      <c r="O24" s="2140"/>
      <c r="P24" s="3439"/>
      <c r="Q24" s="1570"/>
      <c r="R24" s="1571"/>
      <c r="S24" s="1572"/>
      <c r="T24" s="1571"/>
      <c r="U24" s="1572"/>
      <c r="V24" s="1571"/>
      <c r="W24" s="1572"/>
      <c r="X24" s="1565"/>
      <c r="Y24" s="3439"/>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9"/>
      <c r="Q25" s="1570" t="str">
        <f t="shared" ref="Q25:Q46" si="11">B25</f>
        <v>楼层-1</v>
      </c>
      <c r="R25" s="1571" t="s">
        <v>11</v>
      </c>
      <c r="S25" s="1572">
        <f>F25</f>
        <v>100</v>
      </c>
      <c r="T25" s="1571" t="s">
        <v>11</v>
      </c>
      <c r="U25" s="1572">
        <f>H25</f>
        <v>100</v>
      </c>
      <c r="V25" s="1571" t="s">
        <v>11</v>
      </c>
      <c r="W25" s="1572">
        <f>J25</f>
        <v>100</v>
      </c>
      <c r="X25" s="1565"/>
      <c r="Y25" s="3439"/>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9"/>
      <c r="Q26" s="1570" t="str">
        <f t="shared" si="11"/>
        <v>朝向</v>
      </c>
      <c r="R26" s="1571" t="s">
        <v>11</v>
      </c>
      <c r="S26" s="1572">
        <f>F26</f>
        <v>100</v>
      </c>
      <c r="T26" s="1571" t="s">
        <v>11</v>
      </c>
      <c r="U26" s="1572">
        <f>H26</f>
        <v>100</v>
      </c>
      <c r="V26" s="1571" t="s">
        <v>11</v>
      </c>
      <c r="W26" s="1572">
        <f>J26</f>
        <v>100</v>
      </c>
      <c r="X26" s="1565"/>
      <c r="Y26" s="3439"/>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39"/>
      <c r="Q27" s="1149" t="str">
        <f t="shared" si="11"/>
        <v>道路级别</v>
      </c>
      <c r="R27" s="1566" t="s">
        <v>11</v>
      </c>
      <c r="S27" s="1567">
        <f>F27</f>
        <v>100</v>
      </c>
      <c r="T27" s="1566" t="s">
        <v>11</v>
      </c>
      <c r="U27" s="1567">
        <f>H27</f>
        <v>100</v>
      </c>
      <c r="V27" s="1566" t="s">
        <v>11</v>
      </c>
      <c r="W27" s="1567">
        <f>J27</f>
        <v>100</v>
      </c>
      <c r="X27" s="1568"/>
      <c r="Y27" s="3439"/>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9"/>
      <c r="Q29" s="1570">
        <f t="shared" si="11"/>
        <v>111</v>
      </c>
      <c r="R29" s="1571" t="s">
        <v>11</v>
      </c>
      <c r="S29" s="1572">
        <f t="shared" si="12"/>
        <v>100</v>
      </c>
      <c r="T29" s="1571" t="s">
        <v>11</v>
      </c>
      <c r="U29" s="1572">
        <f t="shared" si="13"/>
        <v>100</v>
      </c>
      <c r="V29" s="1571" t="s">
        <v>11</v>
      </c>
      <c r="W29" s="1572">
        <f t="shared" si="14"/>
        <v>100</v>
      </c>
      <c r="X29" s="1565"/>
      <c r="Y29" s="343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9"/>
      <c r="Q30" s="1570">
        <f t="shared" si="11"/>
        <v>111</v>
      </c>
      <c r="R30" s="1571" t="s">
        <v>11</v>
      </c>
      <c r="S30" s="1572">
        <f t="shared" si="12"/>
        <v>100</v>
      </c>
      <c r="T30" s="1571" t="s">
        <v>11</v>
      </c>
      <c r="U30" s="1572">
        <f t="shared" si="13"/>
        <v>100</v>
      </c>
      <c r="V30" s="1571" t="s">
        <v>11</v>
      </c>
      <c r="W30" s="1572">
        <f t="shared" si="14"/>
        <v>100</v>
      </c>
      <c r="X30" s="1565"/>
      <c r="Y30" s="343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9"/>
      <c r="Q31" s="1570">
        <f t="shared" si="11"/>
        <v>111</v>
      </c>
      <c r="R31" s="1571" t="s">
        <v>11</v>
      </c>
      <c r="S31" s="1572">
        <f t="shared" si="12"/>
        <v>100</v>
      </c>
      <c r="T31" s="1571" t="s">
        <v>11</v>
      </c>
      <c r="U31" s="1572">
        <f t="shared" si="13"/>
        <v>100</v>
      </c>
      <c r="V31" s="1571" t="s">
        <v>11</v>
      </c>
      <c r="W31" s="1572">
        <f t="shared" si="14"/>
        <v>100</v>
      </c>
      <c r="X31" s="1565"/>
      <c r="Y31" s="3439"/>
      <c r="Z31" s="1573">
        <f t="shared" si="15"/>
        <v>111</v>
      </c>
      <c r="AA31" s="1574">
        <f t="shared" si="3"/>
        <v>1</v>
      </c>
      <c r="AB31" s="1574">
        <f t="shared" si="4"/>
        <v>1</v>
      </c>
      <c r="AC31" s="1574">
        <f t="shared" si="5"/>
        <v>1</v>
      </c>
    </row>
    <row r="32" spans="1:29" ht="15">
      <c r="A32" s="2906" t="s">
        <v>2717</v>
      </c>
      <c r="B32" s="171" t="s">
        <v>690</v>
      </c>
      <c r="C32" s="877" t="s">
        <v>3014</v>
      </c>
      <c r="D32" s="596">
        <v>100</v>
      </c>
      <c r="E32" s="877" t="s">
        <v>3014</v>
      </c>
      <c r="F32" s="574">
        <f>SUMIF(100:100,E32,101:101)-SUMIF(100:100,C32,101:101)+100</f>
        <v>100</v>
      </c>
      <c r="G32" s="877" t="s">
        <v>3014</v>
      </c>
      <c r="H32" s="596">
        <f>SUMIF(100:100,G32,101:101)-SUMIF(100:100,C32,101:101)+100</f>
        <v>100</v>
      </c>
      <c r="I32" s="877" t="s">
        <v>3014</v>
      </c>
      <c r="J32" s="539">
        <f>SUMIF(100:100,I32,101:101)-SUMIF(100:100,C32,101:101)+100</f>
        <v>100</v>
      </c>
      <c r="K32" s="863">
        <v>2</v>
      </c>
      <c r="L32" s="2141"/>
      <c r="M32" s="2133"/>
      <c r="N32" s="2133"/>
      <c r="O32" s="2140"/>
      <c r="P32" s="3440" t="s">
        <v>515</v>
      </c>
      <c r="Q32" s="1570" t="str">
        <f t="shared" si="11"/>
        <v>建筑类型</v>
      </c>
      <c r="R32" s="1571" t="s">
        <v>11</v>
      </c>
      <c r="S32" s="1572">
        <f t="shared" si="12"/>
        <v>100</v>
      </c>
      <c r="T32" s="1571" t="s">
        <v>11</v>
      </c>
      <c r="U32" s="1572">
        <f t="shared" si="13"/>
        <v>100</v>
      </c>
      <c r="V32" s="1571" t="s">
        <v>11</v>
      </c>
      <c r="W32" s="1572">
        <f t="shared" si="14"/>
        <v>100</v>
      </c>
      <c r="X32" s="1565"/>
      <c r="Y32" s="3441" t="s">
        <v>515</v>
      </c>
      <c r="Z32" s="1573" t="str">
        <f t="shared" si="15"/>
        <v>建筑类型</v>
      </c>
      <c r="AA32" s="1574">
        <f t="shared" si="3"/>
        <v>1</v>
      </c>
      <c r="AB32" s="1574">
        <f t="shared" si="4"/>
        <v>1</v>
      </c>
      <c r="AC32" s="1574">
        <f t="shared" si="5"/>
        <v>1</v>
      </c>
    </row>
    <row r="33" spans="1:29" s="1337" customFormat="1" ht="15">
      <c r="A33" s="602"/>
      <c r="B33" s="526" t="s">
        <v>691</v>
      </c>
      <c r="C33" s="878">
        <f>'数据-汇总表'!E3</f>
        <v>116675.65000000001</v>
      </c>
      <c r="D33" s="254">
        <v>100</v>
      </c>
      <c r="E33" s="533">
        <v>117996</v>
      </c>
      <c r="F33" s="862">
        <f>LOOKUP(E33,103:103,104:104)-LOOKUP(C33,103:103,104:104)+100</f>
        <v>100</v>
      </c>
      <c r="G33" s="532">
        <v>500000</v>
      </c>
      <c r="H33" s="254">
        <f>LOOKUP(G33,103:103,104:104)-LOOKUP(C33,103:103,104:104)+100</f>
        <v>104</v>
      </c>
      <c r="I33" s="533">
        <v>63258</v>
      </c>
      <c r="J33" s="254">
        <f>LOOKUP(I33,103:103,104:104)-LOOKUP(C33,103:103,104:104)+100</f>
        <v>100</v>
      </c>
      <c r="K33" s="864"/>
      <c r="L33" s="2139"/>
      <c r="M33" s="2170"/>
      <c r="N33" s="2170"/>
      <c r="O33" s="2142"/>
      <c r="P33" s="3441"/>
      <c r="Q33" s="1603" t="str">
        <f t="shared" si="11"/>
        <v>项目建筑规模</v>
      </c>
      <c r="R33" s="1575" t="s">
        <v>11</v>
      </c>
      <c r="S33" s="1576">
        <f t="shared" si="12"/>
        <v>100</v>
      </c>
      <c r="T33" s="1575" t="s">
        <v>11</v>
      </c>
      <c r="U33" s="1576">
        <f t="shared" si="13"/>
        <v>104</v>
      </c>
      <c r="V33" s="1575" t="s">
        <v>11</v>
      </c>
      <c r="W33" s="1576">
        <f t="shared" si="14"/>
        <v>100</v>
      </c>
      <c r="X33" s="1577"/>
      <c r="Y33" s="3441"/>
      <c r="Z33" s="1578" t="str">
        <f t="shared" si="15"/>
        <v>项目建筑规模</v>
      </c>
      <c r="AA33" s="1574">
        <f t="shared" si="3"/>
        <v>1</v>
      </c>
      <c r="AB33" s="1574">
        <f t="shared" si="4"/>
        <v>0.96153846153846156</v>
      </c>
      <c r="AC33" s="1574">
        <f t="shared" si="5"/>
        <v>1</v>
      </c>
    </row>
    <row r="34" spans="1:29" ht="15">
      <c r="A34" s="593"/>
      <c r="B34" s="526" t="s">
        <v>692</v>
      </c>
      <c r="C34" s="879" t="s">
        <v>2984</v>
      </c>
      <c r="D34" s="539">
        <v>100</v>
      </c>
      <c r="E34" s="879" t="s">
        <v>2984</v>
      </c>
      <c r="F34" s="574">
        <f>SUMIF(105:105,E34,106:106)-SUMIF(105:105,C34,106:106)+100</f>
        <v>100</v>
      </c>
      <c r="G34" s="879" t="s">
        <v>2984</v>
      </c>
      <c r="H34" s="539">
        <f>SUMIF(105:105,G34,106:106)-SUMIF(105:105,C34,106:106)+100</f>
        <v>100</v>
      </c>
      <c r="I34" s="879" t="s">
        <v>2984</v>
      </c>
      <c r="J34" s="539">
        <f>SUMIF(105:105,I34,106:106)-SUMIF(105:105,C34,106:106)+100</f>
        <v>100</v>
      </c>
      <c r="K34" s="863">
        <v>1</v>
      </c>
      <c r="L34" s="2141"/>
      <c r="M34" s="2133"/>
      <c r="N34" s="2133"/>
      <c r="O34" s="2140"/>
      <c r="P34" s="3441"/>
      <c r="Q34" s="1570" t="str">
        <f t="shared" si="11"/>
        <v>建筑结构</v>
      </c>
      <c r="R34" s="1571" t="s">
        <v>11</v>
      </c>
      <c r="S34" s="1572">
        <f t="shared" si="12"/>
        <v>100</v>
      </c>
      <c r="T34" s="1571" t="s">
        <v>11</v>
      </c>
      <c r="U34" s="1572">
        <f t="shared" si="13"/>
        <v>100</v>
      </c>
      <c r="V34" s="1571" t="s">
        <v>11</v>
      </c>
      <c r="W34" s="1572">
        <f t="shared" si="14"/>
        <v>100</v>
      </c>
      <c r="X34" s="1565"/>
      <c r="Y34" s="3441"/>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441"/>
      <c r="Q35" s="1570" t="str">
        <f t="shared" si="11"/>
        <v>建筑品质</v>
      </c>
      <c r="R35" s="1571" t="s">
        <v>11</v>
      </c>
      <c r="S35" s="1572">
        <f t="shared" si="12"/>
        <v>100</v>
      </c>
      <c r="T35" s="1571" t="s">
        <v>11</v>
      </c>
      <c r="U35" s="1572">
        <f t="shared" si="13"/>
        <v>100</v>
      </c>
      <c r="V35" s="1571" t="s">
        <v>11</v>
      </c>
      <c r="W35" s="1572">
        <f t="shared" si="14"/>
        <v>100</v>
      </c>
      <c r="X35" s="1565"/>
      <c r="Y35" s="3441"/>
      <c r="Z35" s="1573" t="str">
        <f t="shared" si="15"/>
        <v>建筑品质</v>
      </c>
      <c r="AA35" s="1574">
        <f t="shared" si="3"/>
        <v>1</v>
      </c>
      <c r="AB35" s="1574">
        <f t="shared" si="4"/>
        <v>1</v>
      </c>
      <c r="AC35" s="1574">
        <f t="shared" si="5"/>
        <v>1</v>
      </c>
    </row>
    <row r="36" spans="1:29" ht="15">
      <c r="A36" s="593"/>
      <c r="B36" s="526" t="s">
        <v>694</v>
      </c>
      <c r="C36" s="598" t="s">
        <v>3000</v>
      </c>
      <c r="D36" s="539">
        <v>100</v>
      </c>
      <c r="E36" s="598" t="s">
        <v>3000</v>
      </c>
      <c r="F36" s="574">
        <f>SUMIF(109:109,E36,110:110)-SUMIF(109:109,C36,110:110)+100</f>
        <v>100</v>
      </c>
      <c r="G36" s="598" t="s">
        <v>3000</v>
      </c>
      <c r="H36" s="539">
        <f>SUMIF(109:109,G36,110:110)-SUMIF(109:109,C36,110:110)+100</f>
        <v>100</v>
      </c>
      <c r="I36" s="598" t="s">
        <v>3000</v>
      </c>
      <c r="J36" s="539">
        <f>SUMIF(109:109,I36,110:110)-SUMIF(109:109,C36,110:110)+100</f>
        <v>100</v>
      </c>
      <c r="K36" s="863">
        <v>2</v>
      </c>
      <c r="L36" s="2141"/>
      <c r="M36" s="2133"/>
      <c r="N36" s="2133"/>
      <c r="O36" s="2140"/>
      <c r="P36" s="3441"/>
      <c r="Q36" s="1570" t="str">
        <f t="shared" si="11"/>
        <v>公共部分装修</v>
      </c>
      <c r="R36" s="1571" t="s">
        <v>11</v>
      </c>
      <c r="S36" s="1572">
        <f t="shared" si="12"/>
        <v>100</v>
      </c>
      <c r="T36" s="1571" t="s">
        <v>11</v>
      </c>
      <c r="U36" s="1572">
        <f t="shared" si="13"/>
        <v>100</v>
      </c>
      <c r="V36" s="1571" t="s">
        <v>11</v>
      </c>
      <c r="W36" s="1572">
        <f t="shared" si="14"/>
        <v>100</v>
      </c>
      <c r="X36" s="1565"/>
      <c r="Y36" s="3441"/>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41"/>
      <c r="Q37" s="1149" t="str">
        <f t="shared" si="11"/>
        <v>成新度</v>
      </c>
      <c r="R37" s="1566" t="s">
        <v>11</v>
      </c>
      <c r="S37" s="1567">
        <f t="shared" si="12"/>
        <v>100</v>
      </c>
      <c r="T37" s="1566" t="s">
        <v>11</v>
      </c>
      <c r="U37" s="1567">
        <f t="shared" si="13"/>
        <v>100</v>
      </c>
      <c r="V37" s="1566" t="s">
        <v>11</v>
      </c>
      <c r="W37" s="1567">
        <f t="shared" si="14"/>
        <v>100</v>
      </c>
      <c r="X37" s="1568"/>
      <c r="Y37" s="3441"/>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441" t="s">
        <v>515</v>
      </c>
      <c r="Q38" s="1570" t="str">
        <f t="shared" si="11"/>
        <v>物业管理</v>
      </c>
      <c r="R38" s="1571" t="s">
        <v>11</v>
      </c>
      <c r="S38" s="1572">
        <f t="shared" si="12"/>
        <v>100</v>
      </c>
      <c r="T38" s="1571" t="s">
        <v>11</v>
      </c>
      <c r="U38" s="1572">
        <f t="shared" si="13"/>
        <v>100</v>
      </c>
      <c r="V38" s="1571" t="s">
        <v>11</v>
      </c>
      <c r="W38" s="1572">
        <f t="shared" si="14"/>
        <v>100</v>
      </c>
      <c r="X38" s="1565"/>
      <c r="Y38" s="3441"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441"/>
      <c r="Q39" s="1570" t="str">
        <f t="shared" si="11"/>
        <v>市政基础设施</v>
      </c>
      <c r="R39" s="1571" t="s">
        <v>11</v>
      </c>
      <c r="S39" s="1572">
        <f t="shared" si="12"/>
        <v>100</v>
      </c>
      <c r="T39" s="1571" t="s">
        <v>11</v>
      </c>
      <c r="U39" s="1572">
        <f t="shared" si="13"/>
        <v>100</v>
      </c>
      <c r="V39" s="1571" t="s">
        <v>11</v>
      </c>
      <c r="W39" s="1572">
        <f t="shared" si="14"/>
        <v>100</v>
      </c>
      <c r="X39" s="1565"/>
      <c r="Y39" s="3441"/>
      <c r="Z39" s="1573" t="str">
        <f t="shared" si="15"/>
        <v>市政基础设施</v>
      </c>
      <c r="AA39" s="1574">
        <f t="shared" si="3"/>
        <v>1</v>
      </c>
      <c r="AB39" s="1574">
        <f t="shared" si="4"/>
        <v>1</v>
      </c>
      <c r="AC39" s="1574">
        <f t="shared" si="5"/>
        <v>1</v>
      </c>
    </row>
    <row r="40" spans="1:29" ht="15">
      <c r="A40" s="593"/>
      <c r="B40" s="526" t="s">
        <v>697</v>
      </c>
      <c r="C40" s="598" t="s">
        <v>3012</v>
      </c>
      <c r="D40" s="539">
        <v>100</v>
      </c>
      <c r="E40" s="598" t="s">
        <v>3012</v>
      </c>
      <c r="F40" s="574">
        <f>SUMIF(118:118,E40,119:119)-SUMIF(118:118,C40,119:119)+100</f>
        <v>100</v>
      </c>
      <c r="G40" s="598" t="s">
        <v>3012</v>
      </c>
      <c r="H40" s="539">
        <f>SUMIF(118:118,G40,119:119)-SUMIF(118:118,C40,119:119)+100</f>
        <v>100</v>
      </c>
      <c r="I40" s="598" t="s">
        <v>3012</v>
      </c>
      <c r="J40" s="539">
        <f>SUMIF(118:118,I40,119:119)-SUMIF(118:118,C40,119:119)+100</f>
        <v>100</v>
      </c>
      <c r="K40" s="863">
        <v>2</v>
      </c>
      <c r="L40" s="2141"/>
      <c r="M40" s="2133"/>
      <c r="N40" s="2133"/>
      <c r="O40" s="2140"/>
      <c r="P40" s="3441"/>
      <c r="Q40" s="1570" t="str">
        <f t="shared" si="11"/>
        <v>房型</v>
      </c>
      <c r="R40" s="1571" t="s">
        <v>11</v>
      </c>
      <c r="S40" s="1572">
        <f t="shared" si="12"/>
        <v>100</v>
      </c>
      <c r="T40" s="1571" t="s">
        <v>11</v>
      </c>
      <c r="U40" s="1572">
        <f t="shared" si="13"/>
        <v>100</v>
      </c>
      <c r="V40" s="1571" t="s">
        <v>11</v>
      </c>
      <c r="W40" s="1572">
        <f t="shared" si="14"/>
        <v>100</v>
      </c>
      <c r="X40" s="1565"/>
      <c r="Y40" s="3441"/>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41"/>
      <c r="Q41" s="1603" t="str">
        <f t="shared" si="11"/>
        <v>单套/主力户型建筑面积</v>
      </c>
      <c r="R41" s="1575" t="s">
        <v>11</v>
      </c>
      <c r="S41" s="1576">
        <f t="shared" si="12"/>
        <v>100</v>
      </c>
      <c r="T41" s="1575" t="s">
        <v>11</v>
      </c>
      <c r="U41" s="1576">
        <f t="shared" si="13"/>
        <v>100</v>
      </c>
      <c r="V41" s="1575" t="s">
        <v>11</v>
      </c>
      <c r="W41" s="1576">
        <f t="shared" si="14"/>
        <v>100</v>
      </c>
      <c r="X41" s="1577"/>
      <c r="Y41" s="3441"/>
      <c r="Z41" s="1578" t="str">
        <f t="shared" si="15"/>
        <v>单套/主力户型建筑面积</v>
      </c>
      <c r="AA41" s="1574">
        <f t="shared" si="3"/>
        <v>1</v>
      </c>
      <c r="AB41" s="1574">
        <f t="shared" si="4"/>
        <v>1</v>
      </c>
      <c r="AC41" s="1574">
        <f t="shared" si="5"/>
        <v>1</v>
      </c>
    </row>
    <row r="42" spans="1:29" ht="15">
      <c r="A42" s="593"/>
      <c r="B42" s="526" t="s">
        <v>699</v>
      </c>
      <c r="C42" s="598" t="s">
        <v>3004</v>
      </c>
      <c r="D42" s="539">
        <v>100</v>
      </c>
      <c r="E42" s="598" t="s">
        <v>3004</v>
      </c>
      <c r="F42" s="574">
        <f>SUMIF(122:122,E42,123:123)-SUMIF(122:122,C42,123:123)+100</f>
        <v>100</v>
      </c>
      <c r="G42" s="598" t="s">
        <v>3004</v>
      </c>
      <c r="H42" s="539">
        <f>SUMIF(122:122,G42,123:123)-SUMIF(122:122,C42,123:123)+100</f>
        <v>100</v>
      </c>
      <c r="I42" s="598" t="s">
        <v>3004</v>
      </c>
      <c r="J42" s="539">
        <f>SUMIF(122:122,I42,123:123)-SUMIF(122:122,C42,123:123)+100</f>
        <v>100</v>
      </c>
      <c r="K42" s="863">
        <v>2</v>
      </c>
      <c r="L42" s="2141"/>
      <c r="M42" s="2133"/>
      <c r="N42" s="2133"/>
      <c r="O42" s="2140"/>
      <c r="P42" s="3441"/>
      <c r="Q42" s="1570" t="str">
        <f t="shared" si="11"/>
        <v>内部装修</v>
      </c>
      <c r="R42" s="1571" t="s">
        <v>11</v>
      </c>
      <c r="S42" s="1572">
        <f t="shared" si="12"/>
        <v>100</v>
      </c>
      <c r="T42" s="1571" t="s">
        <v>11</v>
      </c>
      <c r="U42" s="1572">
        <f t="shared" si="13"/>
        <v>100</v>
      </c>
      <c r="V42" s="1571" t="s">
        <v>11</v>
      </c>
      <c r="W42" s="1572">
        <f t="shared" si="14"/>
        <v>100</v>
      </c>
      <c r="X42" s="1565"/>
      <c r="Y42" s="3441"/>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41"/>
      <c r="Q43" s="1570" t="str">
        <f t="shared" si="11"/>
        <v>内部装修维护情况</v>
      </c>
      <c r="R43" s="1571" t="s">
        <v>11</v>
      </c>
      <c r="S43" s="1572">
        <f t="shared" si="12"/>
        <v>100</v>
      </c>
      <c r="T43" s="1571" t="s">
        <v>11</v>
      </c>
      <c r="U43" s="1572">
        <f t="shared" si="13"/>
        <v>100</v>
      </c>
      <c r="V43" s="1571" t="s">
        <v>11</v>
      </c>
      <c r="W43" s="1572">
        <f t="shared" si="14"/>
        <v>100</v>
      </c>
      <c r="X43" s="1565"/>
      <c r="Y43" s="344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41"/>
      <c r="Q44" s="1149">
        <f t="shared" si="11"/>
        <v>111</v>
      </c>
      <c r="R44" s="1566" t="s">
        <v>11</v>
      </c>
      <c r="S44" s="1567">
        <f t="shared" si="12"/>
        <v>100</v>
      </c>
      <c r="T44" s="1566" t="s">
        <v>11</v>
      </c>
      <c r="U44" s="1567">
        <f t="shared" si="13"/>
        <v>100</v>
      </c>
      <c r="V44" s="1566" t="s">
        <v>11</v>
      </c>
      <c r="W44" s="1567">
        <f t="shared" si="14"/>
        <v>100</v>
      </c>
      <c r="X44" s="1568"/>
      <c r="Y44" s="344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41"/>
      <c r="Q45" s="1570">
        <f t="shared" si="11"/>
        <v>111</v>
      </c>
      <c r="R45" s="1571" t="s">
        <v>11</v>
      </c>
      <c r="S45" s="1572">
        <f t="shared" si="12"/>
        <v>100</v>
      </c>
      <c r="T45" s="1571" t="s">
        <v>11</v>
      </c>
      <c r="U45" s="1572">
        <f t="shared" si="13"/>
        <v>100</v>
      </c>
      <c r="V45" s="1571" t="s">
        <v>11</v>
      </c>
      <c r="W45" s="1572">
        <f t="shared" si="14"/>
        <v>100</v>
      </c>
      <c r="X45" s="1565"/>
      <c r="Y45" s="3441"/>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21"/>
      <c r="Q46" s="1570">
        <f t="shared" si="11"/>
        <v>111</v>
      </c>
      <c r="R46" s="1571" t="s">
        <v>10</v>
      </c>
      <c r="S46" s="1572">
        <f t="shared" si="12"/>
        <v>100</v>
      </c>
      <c r="T46" s="1571" t="s">
        <v>10</v>
      </c>
      <c r="U46" s="1572">
        <f t="shared" si="13"/>
        <v>100</v>
      </c>
      <c r="V46" s="1571" t="s">
        <v>10</v>
      </c>
      <c r="W46" s="1572">
        <f t="shared" si="14"/>
        <v>100</v>
      </c>
      <c r="X46" s="1565"/>
      <c r="Y46" s="3521"/>
      <c r="Z46" s="1573">
        <f t="shared" si="15"/>
        <v>111</v>
      </c>
      <c r="AA46" s="1574">
        <f t="shared" si="3"/>
        <v>1</v>
      </c>
      <c r="AB46" s="1574">
        <f t="shared" si="4"/>
        <v>1</v>
      </c>
      <c r="AC46" s="1574">
        <f t="shared" si="5"/>
        <v>1</v>
      </c>
    </row>
    <row r="47" spans="1:29" ht="14.4">
      <c r="A47" s="606" t="s">
        <v>701</v>
      </c>
      <c r="B47" s="885"/>
      <c r="C47" s="2626" t="s">
        <v>9</v>
      </c>
      <c r="D47" s="2627"/>
      <c r="E47" s="2628">
        <v>9200</v>
      </c>
      <c r="F47" s="2629"/>
      <c r="G47" s="2630">
        <v>9000</v>
      </c>
      <c r="H47" s="2631"/>
      <c r="I47" s="2628">
        <v>9500</v>
      </c>
      <c r="J47" s="2631"/>
      <c r="K47" s="1604"/>
      <c r="L47" s="2143"/>
      <c r="M47" s="2144"/>
      <c r="N47" s="2133"/>
      <c r="O47" s="2144"/>
      <c r="P47" s="3406" t="str">
        <f>A47</f>
        <v>成交单价（元/平方米）</v>
      </c>
      <c r="Q47" s="3406"/>
      <c r="R47" s="3520">
        <f>E47</f>
        <v>9200</v>
      </c>
      <c r="S47" s="3520"/>
      <c r="T47" s="3520">
        <f>G47</f>
        <v>9000</v>
      </c>
      <c r="U47" s="3520"/>
      <c r="V47" s="3520">
        <f>I47</f>
        <v>9500</v>
      </c>
      <c r="W47" s="3520"/>
      <c r="X47" s="1557"/>
      <c r="Y47" s="1579"/>
      <c r="Z47" s="1557"/>
      <c r="AA47" s="1557"/>
      <c r="AB47" s="1557"/>
      <c r="AC47" s="1557"/>
    </row>
    <row r="48" spans="1:29" ht="15" thickBot="1">
      <c r="A48" s="614" t="s">
        <v>2722</v>
      </c>
      <c r="B48" s="886"/>
      <c r="C48" s="2632">
        <f>R49</f>
        <v>8020</v>
      </c>
      <c r="D48" s="2633"/>
      <c r="E48" s="2634">
        <f>R48</f>
        <v>8095</v>
      </c>
      <c r="F48" s="2634"/>
      <c r="G48" s="2632">
        <f>T48</f>
        <v>7766</v>
      </c>
      <c r="H48" s="2633"/>
      <c r="I48" s="2634">
        <f>V48</f>
        <v>8198</v>
      </c>
      <c r="J48" s="2633"/>
      <c r="K48" s="1605"/>
      <c r="L48" s="2143"/>
      <c r="M48" s="2144"/>
      <c r="N48" s="2144"/>
      <c r="O48" s="2144"/>
      <c r="P48" s="3406" t="str">
        <f>A48</f>
        <v>比较价格（元/平方米）</v>
      </c>
      <c r="Q48" s="3406"/>
      <c r="R48" s="3520">
        <f>IF(F1="售价",ROUND(PRODUCT(R47,AA7:AA46),0),ROUND(PRODUCT(R47,AA7:AA46),1))</f>
        <v>8095</v>
      </c>
      <c r="S48" s="3520"/>
      <c r="T48" s="3520">
        <f>IF(F1="售价",ROUND(PRODUCT(T47,AB7:AB46),0),ROUND(PRODUCT(T47,AB7:AB46),1))</f>
        <v>7766</v>
      </c>
      <c r="U48" s="3520"/>
      <c r="V48" s="3520">
        <f>IF(F1="售价",ROUND(PRODUCT(V47,AC7:AC46),0),ROUND(PRODUCT(V47,AC7:AC46),1))</f>
        <v>8198</v>
      </c>
      <c r="W48" s="3520"/>
      <c r="X48" s="1557"/>
      <c r="Y48" s="1557"/>
      <c r="Z48" s="1557"/>
      <c r="AA48" s="1557"/>
      <c r="AB48" s="1557"/>
      <c r="AC48" s="1557"/>
    </row>
    <row r="49" spans="1:29" ht="15" thickBot="1">
      <c r="A49" s="620" t="s">
        <v>2895</v>
      </c>
      <c r="B49" s="621"/>
      <c r="C49" s="2635">
        <f>R49</f>
        <v>8020</v>
      </c>
      <c r="D49" s="2635"/>
      <c r="E49" s="2635"/>
      <c r="F49" s="2635"/>
      <c r="G49" s="2635"/>
      <c r="H49" s="2635"/>
      <c r="I49" s="2635"/>
      <c r="J49" s="2635"/>
      <c r="K49" s="1606"/>
      <c r="L49" s="2143"/>
      <c r="M49" s="2144"/>
      <c r="N49" s="2144"/>
      <c r="O49" s="2144"/>
      <c r="P49" s="3403" t="str">
        <f>A49</f>
        <v>估价对象XX用房的比较价格（楼面单价，元/平方米）</v>
      </c>
      <c r="Q49" s="3404"/>
      <c r="R49" s="3519">
        <f>IF(F1="售价",ROUND(AVERAGE(R48:V48),0),ROUND(AVERAGE(R48:V48),1))</f>
        <v>8020</v>
      </c>
      <c r="S49" s="3519"/>
      <c r="T49" s="3519"/>
      <c r="U49" s="3519"/>
      <c r="V49" s="3519"/>
      <c r="W49" s="351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f>IF(E47&lt;E48,E48/E47-1,E47/E48-1)</f>
        <v>0.13650401482396535</v>
      </c>
      <c r="F52" s="626" t="str">
        <f>IF(OR(E52&gt;=0.3,E52&lt;=-0.3),"超过30%","")</f>
        <v/>
      </c>
      <c r="G52" s="625">
        <f>IF(G47&lt;G48,G48/G47-1,G47/G48-1)</f>
        <v>0.15889775946433171</v>
      </c>
      <c r="H52" s="626" t="str">
        <f>IF(OR(G52&gt;=0.3,G52&lt;=-0.3),"超过30%","")</f>
        <v/>
      </c>
      <c r="I52" s="625">
        <f>IF(I47&lt;I48,I48/I47-1,I47/I48-1)</f>
        <v>0.15881922420102468</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f>IF(E48&lt;G48,G48/E48-1,E48/G48-1)</f>
        <v>4.2364151429307162E-2</v>
      </c>
      <c r="F53" s="626" t="str">
        <f>IF(OR(E53&gt;=0.2,E53&lt;=-0.2),"超过20%","")</f>
        <v/>
      </c>
      <c r="G53" s="625">
        <f>IF(G48&lt;I48,I48/G48-1,G48/I48-1)</f>
        <v>5.5627092454287874E-2</v>
      </c>
      <c r="H53" s="626" t="str">
        <f>IF(OR(G53&gt;=0.2,G53&lt;=-0.2),"超过20%","")</f>
        <v/>
      </c>
      <c r="I53" s="625">
        <f>IF(I48&lt;E48,E48/I48-1,I48/E48-1)</f>
        <v>1.2723903644224821E-2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2.2222222222222143E-2</v>
      </c>
      <c r="F54" s="626" t="str">
        <f>IF(OR(E54&gt;=0.3,E54&lt;=-0.3),"超过30%","")</f>
        <v/>
      </c>
      <c r="G54" s="625">
        <f>IF(G47&lt;I47,I47/G47-1,G47/I47-1)</f>
        <v>5.555555555555558E-2</v>
      </c>
      <c r="H54" s="626" t="str">
        <f>IF(OR(G54&gt;=0.3,G54&lt;=-0.3),"超过30%","")</f>
        <v/>
      </c>
      <c r="I54" s="625">
        <f>IF(I47&lt;E47,E47/I47-1,I47/E47-1)</f>
        <v>3.2608695652173836E-2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2019-9</v>
      </c>
      <c r="D58" s="2803">
        <f>EDATE(C58,-1)</f>
        <v>43678</v>
      </c>
      <c r="E58" s="2803">
        <f t="shared" ref="E58:O58" si="16">EDATE(D58,-1)</f>
        <v>43647</v>
      </c>
      <c r="F58" s="2803">
        <f t="shared" si="16"/>
        <v>43617</v>
      </c>
      <c r="G58" s="2803">
        <f t="shared" si="16"/>
        <v>43586</v>
      </c>
      <c r="H58" s="2803">
        <f t="shared" si="16"/>
        <v>43556</v>
      </c>
      <c r="I58" s="2803">
        <f t="shared" si="16"/>
        <v>43525</v>
      </c>
      <c r="J58" s="2803">
        <f t="shared" si="16"/>
        <v>43497</v>
      </c>
      <c r="K58" s="2803">
        <f t="shared" si="16"/>
        <v>43466</v>
      </c>
      <c r="L58" s="2803">
        <f t="shared" si="16"/>
        <v>43435</v>
      </c>
      <c r="M58" s="2803">
        <f t="shared" si="16"/>
        <v>43405</v>
      </c>
      <c r="N58" s="2803">
        <f t="shared" si="16"/>
        <v>43374</v>
      </c>
      <c r="O58" s="2803">
        <f t="shared" si="16"/>
        <v>43344</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v>100</v>
      </c>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3015</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3006</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3007</v>
      </c>
      <c r="D107" s="3183" t="s">
        <v>3008</v>
      </c>
      <c r="E107" s="3183" t="s">
        <v>3009</v>
      </c>
      <c r="F107" s="3183" t="s">
        <v>3010</v>
      </c>
      <c r="G107" s="3183" t="s">
        <v>3011</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3001</v>
      </c>
      <c r="D109" s="3182" t="s">
        <v>3002</v>
      </c>
      <c r="E109" s="3182" t="s">
        <v>3003</v>
      </c>
      <c r="F109" s="3183" t="s">
        <v>3005</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3007</v>
      </c>
      <c r="D114" s="3183" t="s">
        <v>3008</v>
      </c>
      <c r="E114" s="3183" t="s">
        <v>3009</v>
      </c>
      <c r="F114" s="3183" t="s">
        <v>3010</v>
      </c>
      <c r="G114" s="3183" t="s">
        <v>3011</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3016</v>
      </c>
      <c r="D116" s="3182" t="s">
        <v>3017</v>
      </c>
      <c r="E116" s="3182" t="s">
        <v>3018</v>
      </c>
      <c r="F116" s="3182" t="s">
        <v>3019</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3013</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3001</v>
      </c>
      <c r="D122" s="3182" t="s">
        <v>3002</v>
      </c>
      <c r="E122" s="3182" t="s">
        <v>3003</v>
      </c>
      <c r="F122" s="3183" t="s">
        <v>3005</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412" t="s">
        <v>487</v>
      </c>
      <c r="D4" s="3413"/>
      <c r="E4" s="3447" t="s">
        <v>488</v>
      </c>
      <c r="F4" s="3448"/>
      <c r="G4" s="3412" t="s">
        <v>489</v>
      </c>
      <c r="H4" s="3413"/>
      <c r="I4" s="3412" t="s">
        <v>490</v>
      </c>
      <c r="J4" s="3413"/>
      <c r="K4" s="513" t="s">
        <v>491</v>
      </c>
      <c r="L4" s="2132"/>
      <c r="M4" s="2133"/>
      <c r="N4" s="2133"/>
      <c r="O4" s="2133"/>
      <c r="P4" s="3414" t="s">
        <v>492</v>
      </c>
      <c r="Q4" s="3415"/>
      <c r="R4" s="3420" t="s">
        <v>488</v>
      </c>
      <c r="S4" s="3421"/>
      <c r="T4" s="3420" t="s">
        <v>489</v>
      </c>
      <c r="U4" s="3421"/>
      <c r="V4" s="3407" t="s">
        <v>490</v>
      </c>
      <c r="W4" s="3407"/>
      <c r="X4" s="1565"/>
      <c r="Y4" s="3420" t="s">
        <v>492</v>
      </c>
      <c r="Z4" s="3421"/>
      <c r="AA4" s="3409" t="s">
        <v>488</v>
      </c>
      <c r="AB4" s="3407" t="s">
        <v>489</v>
      </c>
      <c r="AC4" s="3409" t="s">
        <v>490</v>
      </c>
    </row>
    <row r="5" spans="1:29">
      <c r="A5" s="514"/>
      <c r="B5" s="515"/>
      <c r="C5" s="3442" t="s">
        <v>2889</v>
      </c>
      <c r="D5" s="3429"/>
      <c r="E5" s="3449" t="s">
        <v>2890</v>
      </c>
      <c r="F5" s="3450"/>
      <c r="G5" s="3442" t="s">
        <v>2891</v>
      </c>
      <c r="H5" s="3429"/>
      <c r="I5" s="3442" t="s">
        <v>2892</v>
      </c>
      <c r="J5" s="3429"/>
      <c r="K5" s="513"/>
      <c r="L5" s="2132"/>
      <c r="M5" s="2133"/>
      <c r="N5" s="2133"/>
      <c r="O5" s="2133"/>
      <c r="P5" s="3416"/>
      <c r="Q5" s="3417"/>
      <c r="R5" s="3422"/>
      <c r="S5" s="3423"/>
      <c r="T5" s="3422"/>
      <c r="U5" s="3423"/>
      <c r="V5" s="3407"/>
      <c r="W5" s="3407"/>
      <c r="X5" s="1565"/>
      <c r="Y5" s="3422"/>
      <c r="Z5" s="3423"/>
      <c r="AA5" s="3410"/>
      <c r="AB5" s="3407"/>
      <c r="AC5" s="3410"/>
    </row>
    <row r="6" spans="1:29" ht="15" thickBot="1">
      <c r="A6" s="516"/>
      <c r="B6" s="517"/>
      <c r="C6" s="3443" t="s">
        <v>2893</v>
      </c>
      <c r="D6" s="3444"/>
      <c r="E6" s="3445" t="s">
        <v>2893</v>
      </c>
      <c r="F6" s="3446"/>
      <c r="G6" s="3443" t="s">
        <v>2893</v>
      </c>
      <c r="H6" s="3444"/>
      <c r="I6" s="3443" t="s">
        <v>2893</v>
      </c>
      <c r="J6" s="3444"/>
      <c r="K6" s="513" t="s">
        <v>493</v>
      </c>
      <c r="L6" s="2132"/>
      <c r="M6" s="2133"/>
      <c r="N6" s="2133"/>
      <c r="O6" s="2133"/>
      <c r="P6" s="3418"/>
      <c r="Q6" s="3419"/>
      <c r="R6" s="3422"/>
      <c r="S6" s="3423"/>
      <c r="T6" s="3424"/>
      <c r="U6" s="3425"/>
      <c r="V6" s="3407"/>
      <c r="W6" s="3407"/>
      <c r="X6" s="1565"/>
      <c r="Y6" s="3424"/>
      <c r="Z6" s="3425"/>
      <c r="AA6" s="3411"/>
      <c r="AB6" s="3407"/>
      <c r="AC6" s="3411"/>
    </row>
    <row r="7" spans="1:29" s="1218" customFormat="1" ht="15" thickBot="1">
      <c r="A7" s="2911"/>
      <c r="B7" s="2918" t="s">
        <v>494</v>
      </c>
      <c r="C7" s="518">
        <f>'数据-取费表'!B2</f>
        <v>43718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35" t="s">
        <v>495</v>
      </c>
      <c r="Q7" s="3437"/>
      <c r="R7" s="1566" t="s">
        <v>8</v>
      </c>
      <c r="S7" s="1567">
        <f t="shared" ref="S7:S15" si="0">F7</f>
        <v>0</v>
      </c>
      <c r="T7" s="1566" t="s">
        <v>8</v>
      </c>
      <c r="U7" s="1567">
        <f t="shared" ref="U7:U15" si="1">H7</f>
        <v>0</v>
      </c>
      <c r="V7" s="1566" t="s">
        <v>8</v>
      </c>
      <c r="W7" s="1567">
        <f t="shared" ref="W7:W15" si="2">J7</f>
        <v>0</v>
      </c>
      <c r="X7" s="1568"/>
      <c r="Y7" s="3435" t="s">
        <v>495</v>
      </c>
      <c r="Z7" s="3436"/>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35" t="s">
        <v>498</v>
      </c>
      <c r="Q8" s="3436"/>
      <c r="R8" s="1566" t="s">
        <v>8</v>
      </c>
      <c r="S8" s="1567">
        <f t="shared" si="0"/>
        <v>0</v>
      </c>
      <c r="T8" s="1566" t="s">
        <v>8</v>
      </c>
      <c r="U8" s="1567">
        <f t="shared" si="1"/>
        <v>0</v>
      </c>
      <c r="V8" s="1566" t="s">
        <v>8</v>
      </c>
      <c r="W8" s="1567">
        <f t="shared" si="2"/>
        <v>0</v>
      </c>
      <c r="X8" s="1568"/>
      <c r="Y8" s="3435" t="s">
        <v>498</v>
      </c>
      <c r="Z8" s="3436"/>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06" t="s">
        <v>500</v>
      </c>
      <c r="Q9" s="1149" t="str">
        <f t="shared" ref="Q9:Q15" si="6">B9</f>
        <v>用途</v>
      </c>
      <c r="R9" s="1566" t="s">
        <v>8</v>
      </c>
      <c r="S9" s="1567">
        <f t="shared" si="0"/>
        <v>100</v>
      </c>
      <c r="T9" s="1566" t="s">
        <v>8</v>
      </c>
      <c r="U9" s="1567">
        <f t="shared" si="1"/>
        <v>100</v>
      </c>
      <c r="V9" s="1566" t="s">
        <v>8</v>
      </c>
      <c r="W9" s="1567">
        <f t="shared" si="2"/>
        <v>100</v>
      </c>
      <c r="X9" s="1568"/>
      <c r="Y9" s="3352"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06"/>
      <c r="Q11" s="1149" t="str">
        <f t="shared" si="6"/>
        <v>容积率</v>
      </c>
      <c r="R11" s="1566" t="s">
        <v>8</v>
      </c>
      <c r="S11" s="1567" t="e">
        <f t="shared" si="0"/>
        <v>#N/A</v>
      </c>
      <c r="T11" s="1566" t="s">
        <v>8</v>
      </c>
      <c r="U11" s="1567" t="e">
        <f t="shared" si="1"/>
        <v>#N/A</v>
      </c>
      <c r="V11" s="1566" t="s">
        <v>8</v>
      </c>
      <c r="W11" s="1567" t="e">
        <f t="shared" si="2"/>
        <v>#N/A</v>
      </c>
      <c r="X11" s="1568"/>
      <c r="Y11" s="3352"/>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406"/>
      <c r="Q12" s="1149">
        <f t="shared" si="6"/>
        <v>111</v>
      </c>
      <c r="R12" s="1566" t="s">
        <v>8</v>
      </c>
      <c r="S12" s="1567">
        <f t="shared" si="0"/>
        <v>100</v>
      </c>
      <c r="T12" s="1566" t="s">
        <v>8</v>
      </c>
      <c r="U12" s="1567">
        <f t="shared" si="1"/>
        <v>100</v>
      </c>
      <c r="V12" s="1566" t="s">
        <v>8</v>
      </c>
      <c r="W12" s="1567">
        <f t="shared" si="2"/>
        <v>100</v>
      </c>
      <c r="X12" s="1568"/>
      <c r="Y12" s="3352"/>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406"/>
      <c r="Q13" s="1149">
        <f t="shared" si="6"/>
        <v>111</v>
      </c>
      <c r="R13" s="1566" t="s">
        <v>8</v>
      </c>
      <c r="S13" s="1567">
        <f t="shared" si="0"/>
        <v>100</v>
      </c>
      <c r="T13" s="1566" t="s">
        <v>8</v>
      </c>
      <c r="U13" s="1567">
        <f t="shared" si="1"/>
        <v>100</v>
      </c>
      <c r="V13" s="1566" t="s">
        <v>8</v>
      </c>
      <c r="W13" s="1567">
        <f t="shared" si="2"/>
        <v>100</v>
      </c>
      <c r="X13" s="1568"/>
      <c r="Y13" s="3352"/>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406"/>
      <c r="Q14" s="1149">
        <f t="shared" si="6"/>
        <v>111</v>
      </c>
      <c r="R14" s="1566" t="s">
        <v>8</v>
      </c>
      <c r="S14" s="1567">
        <f t="shared" si="0"/>
        <v>100</v>
      </c>
      <c r="T14" s="1566" t="s">
        <v>8</v>
      </c>
      <c r="U14" s="1567">
        <f t="shared" si="1"/>
        <v>100</v>
      </c>
      <c r="V14" s="1566" t="s">
        <v>8</v>
      </c>
      <c r="W14" s="1567">
        <f t="shared" si="2"/>
        <v>100</v>
      </c>
      <c r="X14" s="1568"/>
      <c r="Y14" s="3352"/>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38" t="s">
        <v>505</v>
      </c>
      <c r="Q15" s="1570" t="str">
        <f t="shared" si="6"/>
        <v>商业繁华度</v>
      </c>
      <c r="R15" s="1571" t="s">
        <v>8</v>
      </c>
      <c r="S15" s="1572">
        <f t="shared" si="0"/>
        <v>100</v>
      </c>
      <c r="T15" s="1571" t="s">
        <v>8</v>
      </c>
      <c r="U15" s="1572">
        <f t="shared" si="1"/>
        <v>100</v>
      </c>
      <c r="V15" s="1571" t="s">
        <v>8</v>
      </c>
      <c r="W15" s="1572">
        <f t="shared" si="2"/>
        <v>100</v>
      </c>
      <c r="X15" s="1565"/>
      <c r="Y15" s="3438"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39"/>
      <c r="Q16" s="1570"/>
      <c r="R16" s="1571"/>
      <c r="S16" s="1572"/>
      <c r="T16" s="1571"/>
      <c r="U16" s="1572"/>
      <c r="V16" s="1571"/>
      <c r="W16" s="1572"/>
      <c r="X16" s="1565"/>
      <c r="Y16" s="3439"/>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39"/>
      <c r="Q18" s="1570"/>
      <c r="R18" s="1571"/>
      <c r="S18" s="1572"/>
      <c r="T18" s="1571"/>
      <c r="U18" s="1572"/>
      <c r="V18" s="1571"/>
      <c r="W18" s="1572"/>
      <c r="X18" s="1565"/>
      <c r="Y18" s="3439"/>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439"/>
      <c r="Q20" s="1570"/>
      <c r="R20" s="1571"/>
      <c r="S20" s="1572"/>
      <c r="T20" s="1571"/>
      <c r="U20" s="1572"/>
      <c r="V20" s="1571"/>
      <c r="W20" s="1572"/>
      <c r="X20" s="1565"/>
      <c r="Y20" s="3439"/>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39"/>
      <c r="Q21" s="2578" t="str">
        <f>B21</f>
        <v>基础设施水平</v>
      </c>
      <c r="R21" s="1571" t="s">
        <v>8</v>
      </c>
      <c r="S21" s="1572">
        <f>F21</f>
        <v>100</v>
      </c>
      <c r="T21" s="1571" t="s">
        <v>8</v>
      </c>
      <c r="U21" s="1572">
        <f>H21</f>
        <v>100</v>
      </c>
      <c r="V21" s="1571" t="s">
        <v>8</v>
      </c>
      <c r="W21" s="1572">
        <f>J21</f>
        <v>100</v>
      </c>
      <c r="X21" s="2580"/>
      <c r="Y21" s="3439"/>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439"/>
      <c r="Q22" s="2578"/>
      <c r="R22" s="1571"/>
      <c r="S22" s="1572"/>
      <c r="T22" s="1571"/>
      <c r="U22" s="1572"/>
      <c r="V22" s="1571"/>
      <c r="W22" s="1572"/>
      <c r="X22" s="2580"/>
      <c r="Y22" s="3439"/>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39"/>
      <c r="Q23" s="1570" t="str">
        <f>B23</f>
        <v>自然及人文环境</v>
      </c>
      <c r="R23" s="1571" t="s">
        <v>8</v>
      </c>
      <c r="S23" s="1572">
        <f>F23</f>
        <v>100</v>
      </c>
      <c r="T23" s="1571" t="s">
        <v>8</v>
      </c>
      <c r="U23" s="1572">
        <f>H23</f>
        <v>100</v>
      </c>
      <c r="V23" s="1571" t="s">
        <v>8</v>
      </c>
      <c r="W23" s="1572">
        <f>J23</f>
        <v>100</v>
      </c>
      <c r="X23" s="1565"/>
      <c r="Y23" s="343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439"/>
      <c r="Q24" s="1570"/>
      <c r="R24" s="1571"/>
      <c r="S24" s="1572"/>
      <c r="T24" s="1571"/>
      <c r="U24" s="1572"/>
      <c r="V24" s="1571"/>
      <c r="W24" s="1572"/>
      <c r="X24" s="1565"/>
      <c r="Y24" s="3439"/>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39"/>
      <c r="Q25" s="1570" t="str">
        <f t="shared" ref="Q25:Q46" si="11">B25</f>
        <v>临街状况</v>
      </c>
      <c r="R25" s="1571" t="s">
        <v>8</v>
      </c>
      <c r="S25" s="1572">
        <f>F25</f>
        <v>100</v>
      </c>
      <c r="T25" s="1571" t="s">
        <v>8</v>
      </c>
      <c r="U25" s="1572">
        <f>H25</f>
        <v>100</v>
      </c>
      <c r="V25" s="1571" t="s">
        <v>8</v>
      </c>
      <c r="W25" s="1572">
        <f>J25</f>
        <v>100</v>
      </c>
      <c r="X25" s="1565"/>
      <c r="Y25" s="3439"/>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39"/>
      <c r="Q26" s="1570" t="str">
        <f t="shared" si="11"/>
        <v>平面位置/可视性</v>
      </c>
      <c r="R26" s="1571" t="s">
        <v>8</v>
      </c>
      <c r="S26" s="1572">
        <f>F26</f>
        <v>100</v>
      </c>
      <c r="T26" s="1571" t="s">
        <v>8</v>
      </c>
      <c r="U26" s="1572">
        <f>H26</f>
        <v>100</v>
      </c>
      <c r="V26" s="1571" t="s">
        <v>8</v>
      </c>
      <c r="W26" s="1572">
        <f>J26</f>
        <v>100</v>
      </c>
      <c r="X26" s="1565"/>
      <c r="Y26" s="3439"/>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39"/>
      <c r="Q27" s="1149" t="str">
        <f t="shared" si="11"/>
        <v>人流量</v>
      </c>
      <c r="R27" s="1566" t="s">
        <v>8</v>
      </c>
      <c r="S27" s="1567">
        <f>F27</f>
        <v>100</v>
      </c>
      <c r="T27" s="1566" t="s">
        <v>8</v>
      </c>
      <c r="U27" s="1567">
        <f>H27</f>
        <v>100</v>
      </c>
      <c r="V27" s="1566" t="s">
        <v>8</v>
      </c>
      <c r="W27" s="1567">
        <f>J27</f>
        <v>100</v>
      </c>
      <c r="X27" s="1568"/>
      <c r="Y27" s="3439"/>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3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39"/>
      <c r="Q29" s="1570">
        <f t="shared" si="11"/>
        <v>111</v>
      </c>
      <c r="R29" s="1571" t="s">
        <v>8</v>
      </c>
      <c r="S29" s="1572">
        <f t="shared" si="12"/>
        <v>100</v>
      </c>
      <c r="T29" s="1571" t="s">
        <v>8</v>
      </c>
      <c r="U29" s="1572">
        <f t="shared" si="13"/>
        <v>100</v>
      </c>
      <c r="V29" s="1571" t="s">
        <v>8</v>
      </c>
      <c r="W29" s="1572">
        <f t="shared" si="14"/>
        <v>100</v>
      </c>
      <c r="X29" s="1565"/>
      <c r="Y29" s="343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40" t="s">
        <v>515</v>
      </c>
      <c r="Q32" s="1570" t="str">
        <f t="shared" si="11"/>
        <v>商业类型</v>
      </c>
      <c r="R32" s="1571" t="s">
        <v>8</v>
      </c>
      <c r="S32" s="1572">
        <f t="shared" si="12"/>
        <v>100</v>
      </c>
      <c r="T32" s="1571" t="s">
        <v>8</v>
      </c>
      <c r="U32" s="1572">
        <f t="shared" si="13"/>
        <v>100</v>
      </c>
      <c r="V32" s="1571" t="s">
        <v>8</v>
      </c>
      <c r="W32" s="1572">
        <f t="shared" si="14"/>
        <v>100</v>
      </c>
      <c r="X32" s="1565"/>
      <c r="Y32" s="3441"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41"/>
      <c r="Q33" s="1603" t="str">
        <f t="shared" si="11"/>
        <v>项目建筑规模</v>
      </c>
      <c r="R33" s="1575" t="s">
        <v>8</v>
      </c>
      <c r="S33" s="1576" t="e">
        <f t="shared" si="12"/>
        <v>#N/A</v>
      </c>
      <c r="T33" s="1575" t="s">
        <v>8</v>
      </c>
      <c r="U33" s="1576" t="e">
        <f t="shared" si="13"/>
        <v>#N/A</v>
      </c>
      <c r="V33" s="1575" t="s">
        <v>8</v>
      </c>
      <c r="W33" s="1576" t="e">
        <f t="shared" si="14"/>
        <v>#N/A</v>
      </c>
      <c r="X33" s="1577"/>
      <c r="Y33" s="3441"/>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41"/>
      <c r="Q34" s="1570" t="str">
        <f t="shared" si="11"/>
        <v>建筑结构</v>
      </c>
      <c r="R34" s="1571" t="s">
        <v>8</v>
      </c>
      <c r="S34" s="1572">
        <f t="shared" si="12"/>
        <v>100</v>
      </c>
      <c r="T34" s="1571" t="s">
        <v>8</v>
      </c>
      <c r="U34" s="1572">
        <f t="shared" si="13"/>
        <v>100</v>
      </c>
      <c r="V34" s="1571" t="s">
        <v>8</v>
      </c>
      <c r="W34" s="1572">
        <f t="shared" si="14"/>
        <v>100</v>
      </c>
      <c r="X34" s="1565"/>
      <c r="Y34" s="3441"/>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41"/>
      <c r="Q35" s="1570" t="str">
        <f t="shared" si="11"/>
        <v>公共部分装修</v>
      </c>
      <c r="R35" s="1571" t="s">
        <v>8</v>
      </c>
      <c r="S35" s="1572">
        <f t="shared" si="12"/>
        <v>100</v>
      </c>
      <c r="T35" s="1571" t="s">
        <v>8</v>
      </c>
      <c r="U35" s="1572">
        <f t="shared" si="13"/>
        <v>100</v>
      </c>
      <c r="V35" s="1571" t="s">
        <v>8</v>
      </c>
      <c r="W35" s="1572">
        <f t="shared" si="14"/>
        <v>100</v>
      </c>
      <c r="X35" s="1565"/>
      <c r="Y35" s="3441"/>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41"/>
      <c r="Q36" s="1570" t="str">
        <f t="shared" si="11"/>
        <v>成新度</v>
      </c>
      <c r="R36" s="1571" t="s">
        <v>8</v>
      </c>
      <c r="S36" s="1572" t="e">
        <f t="shared" si="12"/>
        <v>#N/A</v>
      </c>
      <c r="T36" s="1571" t="s">
        <v>8</v>
      </c>
      <c r="U36" s="1572" t="e">
        <f t="shared" si="13"/>
        <v>#N/A</v>
      </c>
      <c r="V36" s="1571" t="s">
        <v>8</v>
      </c>
      <c r="W36" s="1572" t="e">
        <f t="shared" si="14"/>
        <v>#N/A</v>
      </c>
      <c r="X36" s="1565"/>
      <c r="Y36" s="3441"/>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41"/>
      <c r="Q37" s="1149" t="str">
        <f t="shared" si="11"/>
        <v>市政基础设施</v>
      </c>
      <c r="R37" s="1566" t="s">
        <v>8</v>
      </c>
      <c r="S37" s="1567">
        <f t="shared" si="12"/>
        <v>100</v>
      </c>
      <c r="T37" s="1566" t="s">
        <v>8</v>
      </c>
      <c r="U37" s="1567">
        <f t="shared" si="13"/>
        <v>100</v>
      </c>
      <c r="V37" s="1566" t="s">
        <v>8</v>
      </c>
      <c r="W37" s="1567">
        <f t="shared" si="14"/>
        <v>100</v>
      </c>
      <c r="X37" s="1568"/>
      <c r="Y37" s="3441"/>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41" t="s">
        <v>731</v>
      </c>
      <c r="Q38" s="1570" t="str">
        <f t="shared" si="11"/>
        <v>业态</v>
      </c>
      <c r="R38" s="1571" t="s">
        <v>8</v>
      </c>
      <c r="S38" s="1572">
        <f t="shared" si="12"/>
        <v>100</v>
      </c>
      <c r="T38" s="1571" t="s">
        <v>8</v>
      </c>
      <c r="U38" s="1572">
        <f t="shared" si="13"/>
        <v>100</v>
      </c>
      <c r="V38" s="1571" t="s">
        <v>8</v>
      </c>
      <c r="W38" s="1572">
        <f t="shared" si="14"/>
        <v>100</v>
      </c>
      <c r="X38" s="1565"/>
      <c r="Y38" s="3441"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41"/>
      <c r="Q39" s="1570" t="str">
        <f t="shared" si="11"/>
        <v>层高</v>
      </c>
      <c r="R39" s="1571" t="s">
        <v>8</v>
      </c>
      <c r="S39" s="1572">
        <f t="shared" si="12"/>
        <v>100</v>
      </c>
      <c r="T39" s="1571" t="s">
        <v>8</v>
      </c>
      <c r="U39" s="1572">
        <f t="shared" si="13"/>
        <v>100</v>
      </c>
      <c r="V39" s="1571" t="s">
        <v>8</v>
      </c>
      <c r="W39" s="1572">
        <f t="shared" si="14"/>
        <v>100</v>
      </c>
      <c r="X39" s="1565"/>
      <c r="Y39" s="3441"/>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41"/>
      <c r="Q40" s="1570" t="str">
        <f t="shared" si="11"/>
        <v>单套建筑面积</v>
      </c>
      <c r="R40" s="1571" t="s">
        <v>8</v>
      </c>
      <c r="S40" s="1572">
        <f t="shared" si="12"/>
        <v>100</v>
      </c>
      <c r="T40" s="1571" t="s">
        <v>8</v>
      </c>
      <c r="U40" s="1572">
        <f t="shared" si="13"/>
        <v>100</v>
      </c>
      <c r="V40" s="1571" t="s">
        <v>8</v>
      </c>
      <c r="W40" s="1572">
        <f t="shared" si="14"/>
        <v>100</v>
      </c>
      <c r="X40" s="1565"/>
      <c r="Y40" s="3441"/>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41"/>
      <c r="Q41" s="1603" t="str">
        <f t="shared" si="11"/>
        <v>进深比</v>
      </c>
      <c r="R41" s="1575" t="s">
        <v>8</v>
      </c>
      <c r="S41" s="1576">
        <f t="shared" si="12"/>
        <v>100</v>
      </c>
      <c r="T41" s="1575" t="s">
        <v>8</v>
      </c>
      <c r="U41" s="1576">
        <f t="shared" si="13"/>
        <v>100</v>
      </c>
      <c r="V41" s="1575" t="s">
        <v>8</v>
      </c>
      <c r="W41" s="1576">
        <f t="shared" si="14"/>
        <v>100</v>
      </c>
      <c r="X41" s="1577"/>
      <c r="Y41" s="3441"/>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41"/>
      <c r="Q42" s="1570" t="str">
        <f t="shared" si="11"/>
        <v>内部装修</v>
      </c>
      <c r="R42" s="1571" t="s">
        <v>8</v>
      </c>
      <c r="S42" s="1572">
        <f t="shared" si="12"/>
        <v>100</v>
      </c>
      <c r="T42" s="1571" t="s">
        <v>8</v>
      </c>
      <c r="U42" s="1572">
        <f t="shared" si="13"/>
        <v>100</v>
      </c>
      <c r="V42" s="1571" t="s">
        <v>8</v>
      </c>
      <c r="W42" s="1572">
        <f t="shared" si="14"/>
        <v>100</v>
      </c>
      <c r="X42" s="1565"/>
      <c r="Y42" s="3441"/>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41"/>
      <c r="Q43" s="1570" t="str">
        <f t="shared" si="11"/>
        <v>内部装修维护情况</v>
      </c>
      <c r="R43" s="1571" t="s">
        <v>8</v>
      </c>
      <c r="S43" s="1572">
        <f t="shared" si="12"/>
        <v>100</v>
      </c>
      <c r="T43" s="1571" t="s">
        <v>8</v>
      </c>
      <c r="U43" s="1572">
        <f t="shared" si="13"/>
        <v>100</v>
      </c>
      <c r="V43" s="1571" t="s">
        <v>8</v>
      </c>
      <c r="W43" s="1572">
        <f t="shared" si="14"/>
        <v>100</v>
      </c>
      <c r="X43" s="1565"/>
      <c r="Y43" s="344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41"/>
      <c r="Q44" s="1149">
        <f t="shared" si="11"/>
        <v>111</v>
      </c>
      <c r="R44" s="1566" t="s">
        <v>8</v>
      </c>
      <c r="S44" s="1567">
        <f t="shared" si="12"/>
        <v>100</v>
      </c>
      <c r="T44" s="1566" t="s">
        <v>8</v>
      </c>
      <c r="U44" s="1567">
        <f t="shared" si="13"/>
        <v>100</v>
      </c>
      <c r="V44" s="1566" t="s">
        <v>8</v>
      </c>
      <c r="W44" s="1567">
        <f t="shared" si="14"/>
        <v>100</v>
      </c>
      <c r="X44" s="1568"/>
      <c r="Y44" s="344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41"/>
      <c r="Q45" s="1570">
        <f t="shared" si="11"/>
        <v>111</v>
      </c>
      <c r="R45" s="1571" t="s">
        <v>8</v>
      </c>
      <c r="S45" s="1572">
        <f t="shared" si="12"/>
        <v>100</v>
      </c>
      <c r="T45" s="1571" t="s">
        <v>8</v>
      </c>
      <c r="U45" s="1572">
        <f t="shared" si="13"/>
        <v>100</v>
      </c>
      <c r="V45" s="1571" t="s">
        <v>8</v>
      </c>
      <c r="W45" s="1572">
        <f t="shared" si="14"/>
        <v>100</v>
      </c>
      <c r="X45" s="1565"/>
      <c r="Y45" s="3441"/>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21"/>
      <c r="Q46" s="1570">
        <f t="shared" si="11"/>
        <v>111</v>
      </c>
      <c r="R46" s="1571" t="s">
        <v>8</v>
      </c>
      <c r="S46" s="1572">
        <f t="shared" si="12"/>
        <v>100</v>
      </c>
      <c r="T46" s="1571" t="s">
        <v>8</v>
      </c>
      <c r="U46" s="1572">
        <f t="shared" si="13"/>
        <v>100</v>
      </c>
      <c r="V46" s="1571" t="s">
        <v>8</v>
      </c>
      <c r="W46" s="1572">
        <f t="shared" si="14"/>
        <v>100</v>
      </c>
      <c r="X46" s="1565"/>
      <c r="Y46" s="3521"/>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406" t="str">
        <f>A47</f>
        <v>成交单价（元/平方米）</v>
      </c>
      <c r="Q47" s="3406"/>
      <c r="R47" s="3520">
        <f>E47</f>
        <v>0</v>
      </c>
      <c r="S47" s="3520"/>
      <c r="T47" s="3520">
        <f>G47</f>
        <v>0</v>
      </c>
      <c r="U47" s="3520"/>
      <c r="V47" s="3520">
        <f>I47</f>
        <v>0</v>
      </c>
      <c r="W47" s="3520"/>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406" t="str">
        <f>A48</f>
        <v>比较价格（元/平方米）</v>
      </c>
      <c r="Q48" s="3406"/>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403" t="str">
        <f>A49</f>
        <v>估价对象XX用房的比较价格（楼面单价，元/平方米）</v>
      </c>
      <c r="Q49" s="3404"/>
      <c r="R49" s="3519" t="e">
        <f>IF(F1="售价",ROUND(AVERAGE(R48:V48),0),ROUND(AVERAGE(R48:V48),1))</f>
        <v>#DIV/0!</v>
      </c>
      <c r="S49" s="3519"/>
      <c r="T49" s="3519"/>
      <c r="U49" s="3519"/>
      <c r="V49" s="3519"/>
      <c r="W49" s="351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2019-9</v>
      </c>
      <c r="D58" s="2803">
        <f>EDATE(C58,-1)</f>
        <v>43678</v>
      </c>
      <c r="E58" s="2803">
        <f t="shared" ref="E58:O58" si="16">EDATE(D58,-1)</f>
        <v>43647</v>
      </c>
      <c r="F58" s="2803">
        <f t="shared" si="16"/>
        <v>43617</v>
      </c>
      <c r="G58" s="2803">
        <f t="shared" si="16"/>
        <v>43586</v>
      </c>
      <c r="H58" s="2803">
        <f t="shared" si="16"/>
        <v>43556</v>
      </c>
      <c r="I58" s="2803">
        <f t="shared" si="16"/>
        <v>43525</v>
      </c>
      <c r="J58" s="2803">
        <f t="shared" si="16"/>
        <v>43497</v>
      </c>
      <c r="K58" s="2803">
        <f t="shared" si="16"/>
        <v>43466</v>
      </c>
      <c r="L58" s="2803">
        <f t="shared" si="16"/>
        <v>43435</v>
      </c>
      <c r="M58" s="2803">
        <f t="shared" si="16"/>
        <v>43405</v>
      </c>
      <c r="N58" s="2803">
        <f t="shared" si="16"/>
        <v>43374</v>
      </c>
      <c r="O58" s="2803">
        <f t="shared" si="16"/>
        <v>43344</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412" t="s">
        <v>487</v>
      </c>
      <c r="D4" s="3413"/>
      <c r="E4" s="3447" t="s">
        <v>488</v>
      </c>
      <c r="F4" s="3448"/>
      <c r="G4" s="3412" t="s">
        <v>489</v>
      </c>
      <c r="H4" s="3413"/>
      <c r="I4" s="3412" t="s">
        <v>490</v>
      </c>
      <c r="J4" s="3413"/>
      <c r="K4" s="513" t="s">
        <v>491</v>
      </c>
      <c r="L4" s="2132"/>
      <c r="M4" s="2133"/>
      <c r="N4" s="2133"/>
      <c r="O4" s="2133"/>
      <c r="P4" s="3526" t="s">
        <v>492</v>
      </c>
      <c r="Q4" s="3415"/>
      <c r="R4" s="3420" t="s">
        <v>488</v>
      </c>
      <c r="S4" s="3421"/>
      <c r="T4" s="3420" t="s">
        <v>489</v>
      </c>
      <c r="U4" s="3421"/>
      <c r="V4" s="3407" t="s">
        <v>490</v>
      </c>
      <c r="W4" s="3407"/>
      <c r="X4" s="1565"/>
      <c r="Y4" s="3420" t="s">
        <v>492</v>
      </c>
      <c r="Z4" s="3421"/>
      <c r="AA4" s="3409" t="s">
        <v>488</v>
      </c>
      <c r="AB4" s="3409" t="s">
        <v>489</v>
      </c>
      <c r="AC4" s="3409" t="s">
        <v>490</v>
      </c>
    </row>
    <row r="5" spans="1:29">
      <c r="A5" s="514"/>
      <c r="B5" s="515"/>
      <c r="C5" s="3442" t="s">
        <v>2889</v>
      </c>
      <c r="D5" s="3429"/>
      <c r="E5" s="3449" t="s">
        <v>2890</v>
      </c>
      <c r="F5" s="3450"/>
      <c r="G5" s="3442" t="s">
        <v>2891</v>
      </c>
      <c r="H5" s="3429"/>
      <c r="I5" s="3442" t="s">
        <v>2892</v>
      </c>
      <c r="J5" s="3429"/>
      <c r="K5" s="513"/>
      <c r="L5" s="2132"/>
      <c r="M5" s="2133"/>
      <c r="N5" s="2133"/>
      <c r="O5" s="2133"/>
      <c r="P5" s="3527"/>
      <c r="Q5" s="3417"/>
      <c r="R5" s="3422"/>
      <c r="S5" s="3423"/>
      <c r="T5" s="3422"/>
      <c r="U5" s="3423"/>
      <c r="V5" s="3407"/>
      <c r="W5" s="3407"/>
      <c r="X5" s="1565"/>
      <c r="Y5" s="3422"/>
      <c r="Z5" s="3423"/>
      <c r="AA5" s="3410"/>
      <c r="AB5" s="3410"/>
      <c r="AC5" s="3410"/>
    </row>
    <row r="6" spans="1:29" ht="15" thickBot="1">
      <c r="A6" s="516"/>
      <c r="B6" s="517"/>
      <c r="C6" s="3443" t="s">
        <v>2893</v>
      </c>
      <c r="D6" s="3444"/>
      <c r="E6" s="3445" t="s">
        <v>2893</v>
      </c>
      <c r="F6" s="3446"/>
      <c r="G6" s="3443" t="s">
        <v>2893</v>
      </c>
      <c r="H6" s="3444"/>
      <c r="I6" s="3443" t="s">
        <v>2893</v>
      </c>
      <c r="J6" s="3444"/>
      <c r="K6" s="513" t="s">
        <v>493</v>
      </c>
      <c r="L6" s="2132"/>
      <c r="M6" s="2133"/>
      <c r="N6" s="2133"/>
      <c r="O6" s="2133"/>
      <c r="P6" s="3528"/>
      <c r="Q6" s="3419"/>
      <c r="R6" s="3422"/>
      <c r="S6" s="3423"/>
      <c r="T6" s="3424"/>
      <c r="U6" s="3425"/>
      <c r="V6" s="3407"/>
      <c r="W6" s="3407"/>
      <c r="X6" s="1565"/>
      <c r="Y6" s="3424"/>
      <c r="Z6" s="3425"/>
      <c r="AA6" s="3411"/>
      <c r="AB6" s="3411"/>
      <c r="AC6" s="3411"/>
    </row>
    <row r="7" spans="1:29" s="1218" customFormat="1" ht="15" thickBot="1">
      <c r="A7" s="2911"/>
      <c r="B7" s="2918" t="s">
        <v>494</v>
      </c>
      <c r="C7" s="518">
        <f>'数据-取费表'!B2</f>
        <v>43718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37" t="s">
        <v>495</v>
      </c>
      <c r="Q7" s="3437"/>
      <c r="R7" s="1566" t="s">
        <v>8</v>
      </c>
      <c r="S7" s="1567">
        <f t="shared" ref="S7:S15" si="0">F7</f>
        <v>0</v>
      </c>
      <c r="T7" s="1566" t="s">
        <v>8</v>
      </c>
      <c r="U7" s="1567">
        <f t="shared" ref="U7:U15" si="1">H7</f>
        <v>0</v>
      </c>
      <c r="V7" s="1566" t="s">
        <v>8</v>
      </c>
      <c r="W7" s="1567">
        <f t="shared" ref="W7:W15" si="2">J7</f>
        <v>0</v>
      </c>
      <c r="X7" s="1568"/>
      <c r="Y7" s="3435" t="s">
        <v>495</v>
      </c>
      <c r="Z7" s="3436"/>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37" t="s">
        <v>498</v>
      </c>
      <c r="Q8" s="3436"/>
      <c r="R8" s="1566" t="s">
        <v>8</v>
      </c>
      <c r="S8" s="1567">
        <f t="shared" si="0"/>
        <v>0</v>
      </c>
      <c r="T8" s="1566" t="s">
        <v>8</v>
      </c>
      <c r="U8" s="1567">
        <f t="shared" si="1"/>
        <v>0</v>
      </c>
      <c r="V8" s="1566" t="s">
        <v>8</v>
      </c>
      <c r="W8" s="1567">
        <f t="shared" si="2"/>
        <v>0</v>
      </c>
      <c r="X8" s="1568"/>
      <c r="Y8" s="3435" t="s">
        <v>498</v>
      </c>
      <c r="Z8" s="3436"/>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06" t="s">
        <v>500</v>
      </c>
      <c r="Q9" s="1149" t="str">
        <f t="shared" ref="Q9:Q15" si="6">B9</f>
        <v>用途</v>
      </c>
      <c r="R9" s="1566" t="s">
        <v>8</v>
      </c>
      <c r="S9" s="1567">
        <f t="shared" si="0"/>
        <v>100</v>
      </c>
      <c r="T9" s="1566" t="s">
        <v>8</v>
      </c>
      <c r="U9" s="1567">
        <f t="shared" si="1"/>
        <v>100</v>
      </c>
      <c r="V9" s="1566" t="s">
        <v>8</v>
      </c>
      <c r="W9" s="1567">
        <f t="shared" si="2"/>
        <v>100</v>
      </c>
      <c r="X9" s="1568"/>
      <c r="Y9" s="3352"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06"/>
      <c r="Q11" s="1149" t="str">
        <f t="shared" si="6"/>
        <v>容积率</v>
      </c>
      <c r="R11" s="1566" t="s">
        <v>8</v>
      </c>
      <c r="S11" s="1567" t="e">
        <f t="shared" si="0"/>
        <v>#N/A</v>
      </c>
      <c r="T11" s="1566" t="s">
        <v>8</v>
      </c>
      <c r="U11" s="1567" t="e">
        <f t="shared" si="1"/>
        <v>#N/A</v>
      </c>
      <c r="V11" s="1566" t="s">
        <v>8</v>
      </c>
      <c r="W11" s="1567" t="e">
        <f t="shared" si="2"/>
        <v>#N/A</v>
      </c>
      <c r="X11" s="1568"/>
      <c r="Y11" s="3352"/>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406"/>
      <c r="Q12" s="1149">
        <f t="shared" si="6"/>
        <v>111</v>
      </c>
      <c r="R12" s="1566" t="s">
        <v>8</v>
      </c>
      <c r="S12" s="1567">
        <f t="shared" si="0"/>
        <v>100</v>
      </c>
      <c r="T12" s="1566" t="s">
        <v>8</v>
      </c>
      <c r="U12" s="1567">
        <f t="shared" si="1"/>
        <v>100</v>
      </c>
      <c r="V12" s="1566" t="s">
        <v>8</v>
      </c>
      <c r="W12" s="1567">
        <f t="shared" si="2"/>
        <v>100</v>
      </c>
      <c r="X12" s="1568"/>
      <c r="Y12" s="3352"/>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406"/>
      <c r="Q13" s="1149">
        <f t="shared" si="6"/>
        <v>111</v>
      </c>
      <c r="R13" s="1566" t="s">
        <v>8</v>
      </c>
      <c r="S13" s="1567">
        <f t="shared" si="0"/>
        <v>100</v>
      </c>
      <c r="T13" s="1566" t="s">
        <v>8</v>
      </c>
      <c r="U13" s="1567">
        <f t="shared" si="1"/>
        <v>100</v>
      </c>
      <c r="V13" s="1566" t="s">
        <v>8</v>
      </c>
      <c r="W13" s="1567">
        <f t="shared" si="2"/>
        <v>100</v>
      </c>
      <c r="X13" s="1568"/>
      <c r="Y13" s="3352"/>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406"/>
      <c r="Q14" s="1149">
        <f t="shared" si="6"/>
        <v>111</v>
      </c>
      <c r="R14" s="1566" t="s">
        <v>8</v>
      </c>
      <c r="S14" s="1567">
        <f t="shared" si="0"/>
        <v>100</v>
      </c>
      <c r="T14" s="1566" t="s">
        <v>8</v>
      </c>
      <c r="U14" s="1567">
        <f t="shared" si="1"/>
        <v>100</v>
      </c>
      <c r="V14" s="1566" t="s">
        <v>8</v>
      </c>
      <c r="W14" s="1567">
        <f t="shared" si="2"/>
        <v>100</v>
      </c>
      <c r="X14" s="1568"/>
      <c r="Y14" s="3352"/>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38" t="s">
        <v>505</v>
      </c>
      <c r="Q15" s="1570" t="str">
        <f t="shared" si="6"/>
        <v>办公集聚程度</v>
      </c>
      <c r="R15" s="1571" t="s">
        <v>8</v>
      </c>
      <c r="S15" s="1572">
        <f t="shared" si="0"/>
        <v>100</v>
      </c>
      <c r="T15" s="1571" t="s">
        <v>8</v>
      </c>
      <c r="U15" s="1572">
        <f t="shared" si="1"/>
        <v>100</v>
      </c>
      <c r="V15" s="1571" t="s">
        <v>8</v>
      </c>
      <c r="W15" s="1572">
        <f t="shared" si="2"/>
        <v>100</v>
      </c>
      <c r="X15" s="1565"/>
      <c r="Y15" s="3438"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439"/>
      <c r="Q16" s="1570"/>
      <c r="R16" s="1571"/>
      <c r="S16" s="1572"/>
      <c r="T16" s="1571"/>
      <c r="U16" s="1572"/>
      <c r="V16" s="1571"/>
      <c r="W16" s="1572"/>
      <c r="X16" s="1565"/>
      <c r="Y16" s="3439"/>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439"/>
      <c r="Q18" s="1570"/>
      <c r="R18" s="1571"/>
      <c r="S18" s="1572"/>
      <c r="T18" s="1571"/>
      <c r="U18" s="1572"/>
      <c r="V18" s="1571"/>
      <c r="W18" s="1572"/>
      <c r="X18" s="1565"/>
      <c r="Y18" s="3439"/>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439"/>
      <c r="Q20" s="1570"/>
      <c r="R20" s="1571"/>
      <c r="S20" s="1572"/>
      <c r="T20" s="1571"/>
      <c r="U20" s="1572"/>
      <c r="V20" s="1571"/>
      <c r="W20" s="1572"/>
      <c r="X20" s="1565"/>
      <c r="Y20" s="3439"/>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39"/>
      <c r="Q21" s="2578" t="str">
        <f>B21</f>
        <v>基础设施水平</v>
      </c>
      <c r="R21" s="1571" t="s">
        <v>8</v>
      </c>
      <c r="S21" s="1572">
        <f>F21</f>
        <v>100</v>
      </c>
      <c r="T21" s="1571" t="s">
        <v>8</v>
      </c>
      <c r="U21" s="1572">
        <f>H21</f>
        <v>100</v>
      </c>
      <c r="V21" s="1571" t="s">
        <v>8</v>
      </c>
      <c r="W21" s="1572">
        <f>J21</f>
        <v>100</v>
      </c>
      <c r="X21" s="2580"/>
      <c r="Y21" s="3439"/>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439"/>
      <c r="Q22" s="2578"/>
      <c r="R22" s="1571"/>
      <c r="S22" s="1572"/>
      <c r="T22" s="1571"/>
      <c r="U22" s="1572"/>
      <c r="V22" s="1571"/>
      <c r="W22" s="1572"/>
      <c r="X22" s="2580"/>
      <c r="Y22" s="3439"/>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439"/>
      <c r="Q24" s="1570"/>
      <c r="R24" s="1571"/>
      <c r="S24" s="1572"/>
      <c r="T24" s="1571"/>
      <c r="U24" s="1572"/>
      <c r="V24" s="1571"/>
      <c r="W24" s="1572"/>
      <c r="X24" s="1565"/>
      <c r="Y24" s="3439"/>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39"/>
      <c r="Q25" s="1570" t="str">
        <f>B25</f>
        <v>毗邻道路的类型与等级</v>
      </c>
      <c r="R25" s="1571" t="s">
        <v>8</v>
      </c>
      <c r="S25" s="1572">
        <f>F25</f>
        <v>100</v>
      </c>
      <c r="T25" s="1571" t="s">
        <v>8</v>
      </c>
      <c r="U25" s="1572">
        <f>H25</f>
        <v>100</v>
      </c>
      <c r="V25" s="1571" t="s">
        <v>8</v>
      </c>
      <c r="W25" s="1572">
        <f>J25</f>
        <v>100</v>
      </c>
      <c r="X25" s="1565"/>
      <c r="Y25" s="343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439"/>
      <c r="Q26" s="1570"/>
      <c r="R26" s="1571"/>
      <c r="S26" s="1572"/>
      <c r="T26" s="1571"/>
      <c r="U26" s="1572"/>
      <c r="V26" s="1571"/>
      <c r="W26" s="1572"/>
      <c r="X26" s="1565"/>
      <c r="Y26" s="3439"/>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39"/>
      <c r="Q27" s="1570" t="str">
        <f t="shared" ref="Q27:Q47" si="11">B27</f>
        <v>楼层</v>
      </c>
      <c r="R27" s="1571" t="s">
        <v>8</v>
      </c>
      <c r="S27" s="1572">
        <f>F27</f>
        <v>100</v>
      </c>
      <c r="T27" s="1571" t="s">
        <v>8</v>
      </c>
      <c r="U27" s="1572">
        <f>H27</f>
        <v>100</v>
      </c>
      <c r="V27" s="1571" t="s">
        <v>8</v>
      </c>
      <c r="W27" s="1572">
        <f>J27</f>
        <v>100</v>
      </c>
      <c r="X27" s="1565"/>
      <c r="Y27" s="3439"/>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39"/>
      <c r="Q28" s="1149" t="str">
        <f t="shared" si="11"/>
        <v>朝向</v>
      </c>
      <c r="R28" s="1566" t="s">
        <v>8</v>
      </c>
      <c r="S28" s="1567">
        <f>F28</f>
        <v>100</v>
      </c>
      <c r="T28" s="1566" t="s">
        <v>8</v>
      </c>
      <c r="U28" s="1567">
        <f>H28</f>
        <v>100</v>
      </c>
      <c r="V28" s="1566" t="s">
        <v>8</v>
      </c>
      <c r="W28" s="1567">
        <f>J28</f>
        <v>100</v>
      </c>
      <c r="X28" s="1568"/>
      <c r="Y28" s="343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39"/>
      <c r="Q29" s="1570">
        <f t="shared" si="11"/>
        <v>111</v>
      </c>
      <c r="R29" s="1571" t="s">
        <v>8</v>
      </c>
      <c r="S29" s="1572">
        <f t="shared" ref="S29:S47" si="12">F29</f>
        <v>100</v>
      </c>
      <c r="T29" s="1571" t="s">
        <v>8</v>
      </c>
      <c r="U29" s="1572">
        <f t="shared" ref="U29:U47" si="13">H29</f>
        <v>100</v>
      </c>
      <c r="V29" s="1571" t="s">
        <v>8</v>
      </c>
      <c r="W29" s="1572">
        <f t="shared" ref="W29:W47" si="14">J29</f>
        <v>100</v>
      </c>
      <c r="X29" s="1565"/>
      <c r="Y29" s="343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39"/>
      <c r="Q32" s="1570">
        <f t="shared" si="11"/>
        <v>111</v>
      </c>
      <c r="R32" s="1571" t="s">
        <v>8</v>
      </c>
      <c r="S32" s="1572">
        <f t="shared" si="12"/>
        <v>100</v>
      </c>
      <c r="T32" s="1571" t="s">
        <v>8</v>
      </c>
      <c r="U32" s="1572">
        <f t="shared" si="13"/>
        <v>100</v>
      </c>
      <c r="V32" s="1571" t="s">
        <v>8</v>
      </c>
      <c r="W32" s="1572">
        <f t="shared" si="14"/>
        <v>100</v>
      </c>
      <c r="X32" s="1565"/>
      <c r="Y32" s="3439"/>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40" t="s">
        <v>515</v>
      </c>
      <c r="Q33" s="1570" t="str">
        <f t="shared" si="11"/>
        <v>建筑类型</v>
      </c>
      <c r="R33" s="1571" t="s">
        <v>8</v>
      </c>
      <c r="S33" s="1572">
        <f t="shared" si="12"/>
        <v>100</v>
      </c>
      <c r="T33" s="1571" t="s">
        <v>8</v>
      </c>
      <c r="U33" s="1572">
        <f t="shared" si="13"/>
        <v>100</v>
      </c>
      <c r="V33" s="1571" t="s">
        <v>8</v>
      </c>
      <c r="W33" s="1572">
        <f t="shared" si="14"/>
        <v>100</v>
      </c>
      <c r="X33" s="1565"/>
      <c r="Y33" s="3441"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41"/>
      <c r="Q34" s="1603" t="str">
        <f t="shared" si="11"/>
        <v>项目建筑规模</v>
      </c>
      <c r="R34" s="1575" t="s">
        <v>8</v>
      </c>
      <c r="S34" s="1576" t="e">
        <f t="shared" si="12"/>
        <v>#N/A</v>
      </c>
      <c r="T34" s="1575" t="s">
        <v>8</v>
      </c>
      <c r="U34" s="1576" t="e">
        <f t="shared" si="13"/>
        <v>#N/A</v>
      </c>
      <c r="V34" s="1575" t="s">
        <v>8</v>
      </c>
      <c r="W34" s="1576" t="e">
        <f t="shared" si="14"/>
        <v>#N/A</v>
      </c>
      <c r="X34" s="1577"/>
      <c r="Y34" s="3441"/>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41"/>
      <c r="Q35" s="1570" t="str">
        <f t="shared" si="11"/>
        <v>建筑结构</v>
      </c>
      <c r="R35" s="1571" t="s">
        <v>8</v>
      </c>
      <c r="S35" s="1572">
        <f t="shared" si="12"/>
        <v>100</v>
      </c>
      <c r="T35" s="1571" t="s">
        <v>8</v>
      </c>
      <c r="U35" s="1572">
        <f t="shared" si="13"/>
        <v>100</v>
      </c>
      <c r="V35" s="1571" t="s">
        <v>8</v>
      </c>
      <c r="W35" s="1572">
        <f t="shared" si="14"/>
        <v>100</v>
      </c>
      <c r="X35" s="1565"/>
      <c r="Y35" s="3441"/>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41"/>
      <c r="Q36" s="1570" t="str">
        <f t="shared" si="11"/>
        <v>公共部分装修</v>
      </c>
      <c r="R36" s="1571" t="s">
        <v>8</v>
      </c>
      <c r="S36" s="1572">
        <f t="shared" si="12"/>
        <v>100</v>
      </c>
      <c r="T36" s="1571" t="s">
        <v>8</v>
      </c>
      <c r="U36" s="1572">
        <f t="shared" si="13"/>
        <v>100</v>
      </c>
      <c r="V36" s="1571" t="s">
        <v>8</v>
      </c>
      <c r="W36" s="1572">
        <f t="shared" si="14"/>
        <v>100</v>
      </c>
      <c r="X36" s="1565"/>
      <c r="Y36" s="3441"/>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41"/>
      <c r="Q37" s="1570" t="str">
        <f t="shared" si="11"/>
        <v>成新度</v>
      </c>
      <c r="R37" s="1571" t="s">
        <v>8</v>
      </c>
      <c r="S37" s="1572" t="e">
        <f t="shared" si="12"/>
        <v>#N/A</v>
      </c>
      <c r="T37" s="1571" t="s">
        <v>8</v>
      </c>
      <c r="U37" s="1572" t="e">
        <f t="shared" si="13"/>
        <v>#N/A</v>
      </c>
      <c r="V37" s="1571" t="s">
        <v>8</v>
      </c>
      <c r="W37" s="1572" t="e">
        <f t="shared" si="14"/>
        <v>#N/A</v>
      </c>
      <c r="X37" s="1565"/>
      <c r="Y37" s="3441"/>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41"/>
      <c r="Q38" s="1149" t="str">
        <f t="shared" si="11"/>
        <v>写字楼等级</v>
      </c>
      <c r="R38" s="1566" t="s">
        <v>8</v>
      </c>
      <c r="S38" s="1567">
        <f t="shared" si="12"/>
        <v>100</v>
      </c>
      <c r="T38" s="1566" t="s">
        <v>8</v>
      </c>
      <c r="U38" s="1567">
        <f t="shared" si="13"/>
        <v>100</v>
      </c>
      <c r="V38" s="1566" t="s">
        <v>8</v>
      </c>
      <c r="W38" s="1567">
        <f t="shared" si="14"/>
        <v>100</v>
      </c>
      <c r="X38" s="1568"/>
      <c r="Y38" s="3441"/>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41" t="s">
        <v>515</v>
      </c>
      <c r="Q39" s="1570" t="str">
        <f t="shared" si="11"/>
        <v>物业管理</v>
      </c>
      <c r="R39" s="1571" t="s">
        <v>8</v>
      </c>
      <c r="S39" s="1572">
        <f t="shared" si="12"/>
        <v>100</v>
      </c>
      <c r="T39" s="1571" t="s">
        <v>8</v>
      </c>
      <c r="U39" s="1572">
        <f t="shared" si="13"/>
        <v>100</v>
      </c>
      <c r="V39" s="1571" t="s">
        <v>8</v>
      </c>
      <c r="W39" s="1572">
        <f t="shared" si="14"/>
        <v>100</v>
      </c>
      <c r="X39" s="1565"/>
      <c r="Y39" s="3441"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41"/>
      <c r="Q40" s="1570" t="str">
        <f t="shared" si="11"/>
        <v>市政基础设施</v>
      </c>
      <c r="R40" s="1571" t="s">
        <v>8</v>
      </c>
      <c r="S40" s="1572">
        <f t="shared" si="12"/>
        <v>100</v>
      </c>
      <c r="T40" s="1571" t="s">
        <v>8</v>
      </c>
      <c r="U40" s="1572">
        <f t="shared" si="13"/>
        <v>100</v>
      </c>
      <c r="V40" s="1571" t="s">
        <v>8</v>
      </c>
      <c r="W40" s="1572">
        <f t="shared" si="14"/>
        <v>100</v>
      </c>
      <c r="X40" s="1565"/>
      <c r="Y40" s="3441"/>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41"/>
      <c r="Q41" s="1570" t="str">
        <f t="shared" si="11"/>
        <v>层高</v>
      </c>
      <c r="R41" s="1571" t="s">
        <v>8</v>
      </c>
      <c r="S41" s="1572">
        <f t="shared" si="12"/>
        <v>100</v>
      </c>
      <c r="T41" s="1571" t="s">
        <v>8</v>
      </c>
      <c r="U41" s="1572">
        <f t="shared" si="13"/>
        <v>100</v>
      </c>
      <c r="V41" s="1571" t="s">
        <v>8</v>
      </c>
      <c r="W41" s="1572">
        <f t="shared" si="14"/>
        <v>100</v>
      </c>
      <c r="X41" s="1565"/>
      <c r="Y41" s="3441"/>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41"/>
      <c r="Q42" s="1603" t="str">
        <f t="shared" si="11"/>
        <v>单套建筑面积</v>
      </c>
      <c r="R42" s="1575" t="s">
        <v>8</v>
      </c>
      <c r="S42" s="1576">
        <f t="shared" si="12"/>
        <v>100</v>
      </c>
      <c r="T42" s="1575" t="s">
        <v>8</v>
      </c>
      <c r="U42" s="1576">
        <f t="shared" si="13"/>
        <v>100</v>
      </c>
      <c r="V42" s="1575" t="s">
        <v>8</v>
      </c>
      <c r="W42" s="1576">
        <f t="shared" si="14"/>
        <v>100</v>
      </c>
      <c r="X42" s="1577"/>
      <c r="Y42" s="3441"/>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41"/>
      <c r="Q43" s="1570" t="str">
        <f t="shared" si="11"/>
        <v>内部装修</v>
      </c>
      <c r="R43" s="1571" t="s">
        <v>8</v>
      </c>
      <c r="S43" s="1572">
        <f t="shared" si="12"/>
        <v>100</v>
      </c>
      <c r="T43" s="1571" t="s">
        <v>8</v>
      </c>
      <c r="U43" s="1572">
        <f t="shared" si="13"/>
        <v>100</v>
      </c>
      <c r="V43" s="1571" t="s">
        <v>8</v>
      </c>
      <c r="W43" s="1572">
        <f t="shared" si="14"/>
        <v>100</v>
      </c>
      <c r="X43" s="1565"/>
      <c r="Y43" s="3441"/>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41"/>
      <c r="Q44" s="1570" t="str">
        <f t="shared" si="11"/>
        <v>内部装修维护情况</v>
      </c>
      <c r="R44" s="1571" t="s">
        <v>8</v>
      </c>
      <c r="S44" s="1572">
        <f t="shared" si="12"/>
        <v>100</v>
      </c>
      <c r="T44" s="1571" t="s">
        <v>8</v>
      </c>
      <c r="U44" s="1572">
        <f t="shared" si="13"/>
        <v>100</v>
      </c>
      <c r="V44" s="1571" t="s">
        <v>8</v>
      </c>
      <c r="W44" s="1572">
        <f t="shared" si="14"/>
        <v>100</v>
      </c>
      <c r="X44" s="1565"/>
      <c r="Y44" s="344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41"/>
      <c r="Q45" s="1149">
        <f t="shared" si="11"/>
        <v>111</v>
      </c>
      <c r="R45" s="1566" t="s">
        <v>8</v>
      </c>
      <c r="S45" s="1567">
        <f t="shared" si="12"/>
        <v>100</v>
      </c>
      <c r="T45" s="1566" t="s">
        <v>8</v>
      </c>
      <c r="U45" s="1567">
        <f t="shared" si="13"/>
        <v>100</v>
      </c>
      <c r="V45" s="1566" t="s">
        <v>8</v>
      </c>
      <c r="W45" s="1567">
        <f t="shared" si="14"/>
        <v>100</v>
      </c>
      <c r="X45" s="1568"/>
      <c r="Y45" s="344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41"/>
      <c r="Q46" s="1570">
        <f t="shared" si="11"/>
        <v>111</v>
      </c>
      <c r="R46" s="1571" t="s">
        <v>8</v>
      </c>
      <c r="S46" s="1572">
        <f t="shared" si="12"/>
        <v>100</v>
      </c>
      <c r="T46" s="1571" t="s">
        <v>8</v>
      </c>
      <c r="U46" s="1572">
        <f t="shared" si="13"/>
        <v>100</v>
      </c>
      <c r="V46" s="1571" t="s">
        <v>8</v>
      </c>
      <c r="W46" s="1572">
        <f t="shared" si="14"/>
        <v>100</v>
      </c>
      <c r="X46" s="1565"/>
      <c r="Y46" s="3441"/>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21"/>
      <c r="Q47" s="1570">
        <f t="shared" si="11"/>
        <v>111</v>
      </c>
      <c r="R47" s="1571" t="s">
        <v>8</v>
      </c>
      <c r="S47" s="1572">
        <f t="shared" si="12"/>
        <v>100</v>
      </c>
      <c r="T47" s="1571" t="s">
        <v>8</v>
      </c>
      <c r="U47" s="1572">
        <f t="shared" si="13"/>
        <v>100</v>
      </c>
      <c r="V47" s="1571" t="s">
        <v>8</v>
      </c>
      <c r="W47" s="1572">
        <f t="shared" si="14"/>
        <v>100</v>
      </c>
      <c r="X47" s="1565"/>
      <c r="Y47" s="3521"/>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404" t="str">
        <f>A48</f>
        <v>成交单价（元/平方米）</v>
      </c>
      <c r="Q48" s="3406"/>
      <c r="R48" s="3520">
        <f>E48</f>
        <v>0</v>
      </c>
      <c r="S48" s="3520"/>
      <c r="T48" s="3520">
        <f>G48</f>
        <v>0</v>
      </c>
      <c r="U48" s="3520"/>
      <c r="V48" s="3520">
        <f>I48</f>
        <v>0</v>
      </c>
      <c r="W48" s="3520"/>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404" t="str">
        <f>A49</f>
        <v>比较价格（元/平方米）</v>
      </c>
      <c r="Q49" s="3406"/>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525" t="str">
        <f>A50</f>
        <v>估价对象XX用房的比较价格（楼面单价，元/平方米）</v>
      </c>
      <c r="Q50" s="3404"/>
      <c r="R50" s="3519" t="e">
        <f>IF(F1="售价",ROUND(AVERAGE(R49:V49),0),ROUND(AVERAGE(R49:V49),1))</f>
        <v>#DIV/0!</v>
      </c>
      <c r="S50" s="3519"/>
      <c r="T50" s="3519"/>
      <c r="U50" s="3519"/>
      <c r="V50" s="3519"/>
      <c r="W50" s="351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2019-9</v>
      </c>
      <c r="D59" s="2803">
        <f>EDATE(C59,-1)</f>
        <v>43678</v>
      </c>
      <c r="E59" s="2803">
        <f t="shared" ref="E59:O59" si="16">EDATE(D59,-1)</f>
        <v>43647</v>
      </c>
      <c r="F59" s="2803">
        <f t="shared" si="16"/>
        <v>43617</v>
      </c>
      <c r="G59" s="2803">
        <f t="shared" si="16"/>
        <v>43586</v>
      </c>
      <c r="H59" s="2803">
        <f t="shared" si="16"/>
        <v>43556</v>
      </c>
      <c r="I59" s="2803">
        <f t="shared" si="16"/>
        <v>43525</v>
      </c>
      <c r="J59" s="2803">
        <f t="shared" si="16"/>
        <v>43497</v>
      </c>
      <c r="K59" s="2803">
        <f t="shared" si="16"/>
        <v>43466</v>
      </c>
      <c r="L59" s="2803">
        <f t="shared" si="16"/>
        <v>43435</v>
      </c>
      <c r="M59" s="2803">
        <f t="shared" si="16"/>
        <v>43405</v>
      </c>
      <c r="N59" s="2803">
        <f t="shared" si="16"/>
        <v>43374</v>
      </c>
      <c r="O59" s="2803">
        <f t="shared" si="16"/>
        <v>43344</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412" t="s">
        <v>487</v>
      </c>
      <c r="D4" s="3413"/>
      <c r="E4" s="3447" t="s">
        <v>488</v>
      </c>
      <c r="F4" s="3448"/>
      <c r="G4" s="3412" t="s">
        <v>489</v>
      </c>
      <c r="H4" s="3413"/>
      <c r="I4" s="3412" t="s">
        <v>490</v>
      </c>
      <c r="J4" s="3413"/>
      <c r="K4" s="513" t="s">
        <v>491</v>
      </c>
      <c r="L4" s="2132"/>
      <c r="M4" s="2133"/>
      <c r="N4" s="2133"/>
      <c r="O4" s="2133"/>
      <c r="P4" s="3414" t="s">
        <v>492</v>
      </c>
      <c r="Q4" s="3415"/>
      <c r="R4" s="3420" t="s">
        <v>488</v>
      </c>
      <c r="S4" s="3421"/>
      <c r="T4" s="3420" t="s">
        <v>489</v>
      </c>
      <c r="U4" s="3421"/>
      <c r="V4" s="3407" t="s">
        <v>490</v>
      </c>
      <c r="W4" s="3407"/>
      <c r="X4" s="1565"/>
      <c r="Y4" s="3420" t="s">
        <v>492</v>
      </c>
      <c r="Z4" s="3421"/>
      <c r="AA4" s="3409" t="s">
        <v>488</v>
      </c>
      <c r="AB4" s="3410" t="s">
        <v>489</v>
      </c>
      <c r="AC4" s="3409" t="s">
        <v>490</v>
      </c>
    </row>
    <row r="5" spans="1:29">
      <c r="A5" s="514"/>
      <c r="B5" s="515"/>
      <c r="C5" s="3442" t="s">
        <v>2889</v>
      </c>
      <c r="D5" s="3429"/>
      <c r="E5" s="3449" t="s">
        <v>2890</v>
      </c>
      <c r="F5" s="3450"/>
      <c r="G5" s="3442" t="s">
        <v>2891</v>
      </c>
      <c r="H5" s="3429"/>
      <c r="I5" s="3442" t="s">
        <v>2892</v>
      </c>
      <c r="J5" s="3429"/>
      <c r="K5" s="513"/>
      <c r="L5" s="2132"/>
      <c r="M5" s="2133"/>
      <c r="N5" s="2133"/>
      <c r="O5" s="2133"/>
      <c r="P5" s="3416"/>
      <c r="Q5" s="3417"/>
      <c r="R5" s="3422"/>
      <c r="S5" s="3423"/>
      <c r="T5" s="3422"/>
      <c r="U5" s="3423"/>
      <c r="V5" s="3407"/>
      <c r="W5" s="3407"/>
      <c r="X5" s="1565"/>
      <c r="Y5" s="3422"/>
      <c r="Z5" s="3423"/>
      <c r="AA5" s="3410"/>
      <c r="AB5" s="3410"/>
      <c r="AC5" s="3410"/>
    </row>
    <row r="6" spans="1:29" ht="15" thickBot="1">
      <c r="A6" s="516"/>
      <c r="B6" s="517"/>
      <c r="C6" s="3443" t="s">
        <v>2893</v>
      </c>
      <c r="D6" s="3444"/>
      <c r="E6" s="3445" t="s">
        <v>2893</v>
      </c>
      <c r="F6" s="3446"/>
      <c r="G6" s="3443" t="s">
        <v>2893</v>
      </c>
      <c r="H6" s="3444"/>
      <c r="I6" s="3443" t="s">
        <v>2893</v>
      </c>
      <c r="J6" s="3444"/>
      <c r="K6" s="513" t="s">
        <v>493</v>
      </c>
      <c r="L6" s="2132"/>
      <c r="M6" s="2133"/>
      <c r="N6" s="2133"/>
      <c r="O6" s="2133"/>
      <c r="P6" s="3418"/>
      <c r="Q6" s="3419"/>
      <c r="R6" s="3422"/>
      <c r="S6" s="3423"/>
      <c r="T6" s="3424"/>
      <c r="U6" s="3425"/>
      <c r="V6" s="3407"/>
      <c r="W6" s="3407"/>
      <c r="X6" s="1565"/>
      <c r="Y6" s="3424"/>
      <c r="Z6" s="3425"/>
      <c r="AA6" s="3411"/>
      <c r="AB6" s="3411"/>
      <c r="AC6" s="3411"/>
    </row>
    <row r="7" spans="1:29" s="1218" customFormat="1" ht="15" thickBot="1">
      <c r="A7" s="2911"/>
      <c r="B7" s="2918" t="s">
        <v>494</v>
      </c>
      <c r="C7" s="518">
        <f>'数据-取费表'!B2</f>
        <v>43718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35" t="s">
        <v>495</v>
      </c>
      <c r="Q7" s="3437"/>
      <c r="R7" s="1566" t="s">
        <v>8</v>
      </c>
      <c r="S7" s="1567">
        <f t="shared" ref="S7:S15" si="0">F7</f>
        <v>0</v>
      </c>
      <c r="T7" s="1566" t="s">
        <v>8</v>
      </c>
      <c r="U7" s="1567">
        <f t="shared" ref="U7:U15" si="1">H7</f>
        <v>0</v>
      </c>
      <c r="V7" s="1566" t="s">
        <v>8</v>
      </c>
      <c r="W7" s="1567">
        <f t="shared" ref="W7:W15" si="2">J7</f>
        <v>0</v>
      </c>
      <c r="X7" s="1568"/>
      <c r="Y7" s="3435" t="s">
        <v>495</v>
      </c>
      <c r="Z7" s="3436"/>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35" t="s">
        <v>498</v>
      </c>
      <c r="Q8" s="3436"/>
      <c r="R8" s="1566" t="s">
        <v>8</v>
      </c>
      <c r="S8" s="1567">
        <f t="shared" si="0"/>
        <v>0</v>
      </c>
      <c r="T8" s="1566" t="s">
        <v>8</v>
      </c>
      <c r="U8" s="1567">
        <f t="shared" si="1"/>
        <v>0</v>
      </c>
      <c r="V8" s="1566" t="s">
        <v>8</v>
      </c>
      <c r="W8" s="1567">
        <f t="shared" si="2"/>
        <v>0</v>
      </c>
      <c r="X8" s="1568"/>
      <c r="Y8" s="3435" t="s">
        <v>498</v>
      </c>
      <c r="Z8" s="3436"/>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06" t="s">
        <v>500</v>
      </c>
      <c r="Q9" s="1149" t="str">
        <f t="shared" ref="Q9:Q15" si="6">B9</f>
        <v>用途</v>
      </c>
      <c r="R9" s="1566" t="s">
        <v>8</v>
      </c>
      <c r="S9" s="1567">
        <f t="shared" si="0"/>
        <v>100</v>
      </c>
      <c r="T9" s="1566" t="s">
        <v>8</v>
      </c>
      <c r="U9" s="1567">
        <f t="shared" si="1"/>
        <v>100</v>
      </c>
      <c r="V9" s="1566" t="s">
        <v>8</v>
      </c>
      <c r="W9" s="1567">
        <f t="shared" si="2"/>
        <v>100</v>
      </c>
      <c r="X9" s="1568"/>
      <c r="Y9" s="3352"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06"/>
      <c r="Q11" s="1149" t="str">
        <f t="shared" si="6"/>
        <v>容积率</v>
      </c>
      <c r="R11" s="1566" t="s">
        <v>8</v>
      </c>
      <c r="S11" s="1567" t="e">
        <f t="shared" si="0"/>
        <v>#N/A</v>
      </c>
      <c r="T11" s="1566" t="s">
        <v>8</v>
      </c>
      <c r="U11" s="1567" t="e">
        <f t="shared" si="1"/>
        <v>#N/A</v>
      </c>
      <c r="V11" s="1566" t="s">
        <v>8</v>
      </c>
      <c r="W11" s="1567" t="e">
        <f t="shared" si="2"/>
        <v>#N/A</v>
      </c>
      <c r="X11" s="1568"/>
      <c r="Y11" s="3352"/>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406"/>
      <c r="Q12" s="1149">
        <f t="shared" si="6"/>
        <v>111</v>
      </c>
      <c r="R12" s="1566" t="s">
        <v>8</v>
      </c>
      <c r="S12" s="1567">
        <f t="shared" si="0"/>
        <v>100</v>
      </c>
      <c r="T12" s="1566" t="s">
        <v>8</v>
      </c>
      <c r="U12" s="1567">
        <f t="shared" si="1"/>
        <v>100</v>
      </c>
      <c r="V12" s="1566" t="s">
        <v>8</v>
      </c>
      <c r="W12" s="1567">
        <f t="shared" si="2"/>
        <v>100</v>
      </c>
      <c r="X12" s="1568"/>
      <c r="Y12" s="3352"/>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406"/>
      <c r="Q13" s="1149">
        <f t="shared" si="6"/>
        <v>111</v>
      </c>
      <c r="R13" s="1566" t="s">
        <v>8</v>
      </c>
      <c r="S13" s="1567">
        <f t="shared" si="0"/>
        <v>100</v>
      </c>
      <c r="T13" s="1566" t="s">
        <v>8</v>
      </c>
      <c r="U13" s="1567">
        <f t="shared" si="1"/>
        <v>100</v>
      </c>
      <c r="V13" s="1566" t="s">
        <v>8</v>
      </c>
      <c r="W13" s="1567">
        <f t="shared" si="2"/>
        <v>100</v>
      </c>
      <c r="X13" s="1568"/>
      <c r="Y13" s="3352"/>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406"/>
      <c r="Q14" s="1149">
        <f t="shared" si="6"/>
        <v>111</v>
      </c>
      <c r="R14" s="1566" t="s">
        <v>8</v>
      </c>
      <c r="S14" s="1567">
        <f t="shared" si="0"/>
        <v>100</v>
      </c>
      <c r="T14" s="1566" t="s">
        <v>8</v>
      </c>
      <c r="U14" s="1567">
        <f t="shared" si="1"/>
        <v>100</v>
      </c>
      <c r="V14" s="1566" t="s">
        <v>8</v>
      </c>
      <c r="W14" s="1567">
        <f t="shared" si="2"/>
        <v>100</v>
      </c>
      <c r="X14" s="1568"/>
      <c r="Y14" s="3352"/>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38" t="s">
        <v>505</v>
      </c>
      <c r="Q15" s="1570" t="str">
        <f t="shared" si="6"/>
        <v>产业集聚程度</v>
      </c>
      <c r="R15" s="1571" t="s">
        <v>8</v>
      </c>
      <c r="S15" s="1572">
        <f t="shared" si="0"/>
        <v>100</v>
      </c>
      <c r="T15" s="1571" t="s">
        <v>8</v>
      </c>
      <c r="U15" s="1572">
        <f t="shared" si="1"/>
        <v>100</v>
      </c>
      <c r="V15" s="1571" t="s">
        <v>8</v>
      </c>
      <c r="W15" s="1572">
        <f t="shared" si="2"/>
        <v>100</v>
      </c>
      <c r="X15" s="1565"/>
      <c r="Y15" s="3438"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39"/>
      <c r="Q16" s="1570"/>
      <c r="R16" s="1571"/>
      <c r="S16" s="1572"/>
      <c r="T16" s="1571"/>
      <c r="U16" s="1572"/>
      <c r="V16" s="1571"/>
      <c r="W16" s="1572"/>
      <c r="X16" s="1565"/>
      <c r="Y16" s="3439"/>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39"/>
      <c r="Q18" s="1570"/>
      <c r="R18" s="1571"/>
      <c r="S18" s="1572"/>
      <c r="T18" s="1571"/>
      <c r="U18" s="1572"/>
      <c r="V18" s="1571"/>
      <c r="W18" s="1572"/>
      <c r="X18" s="1565"/>
      <c r="Y18" s="3439"/>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439"/>
      <c r="Q20" s="1570"/>
      <c r="R20" s="1571"/>
      <c r="S20" s="1572"/>
      <c r="T20" s="1571"/>
      <c r="U20" s="1572"/>
      <c r="V20" s="1571"/>
      <c r="W20" s="1572"/>
      <c r="X20" s="1565"/>
      <c r="Y20" s="3439"/>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39"/>
      <c r="Q21" s="2578" t="str">
        <f>B21</f>
        <v>基础设施水平</v>
      </c>
      <c r="R21" s="1571" t="s">
        <v>8</v>
      </c>
      <c r="S21" s="1572">
        <f>F21</f>
        <v>100</v>
      </c>
      <c r="T21" s="1571" t="s">
        <v>8</v>
      </c>
      <c r="U21" s="1572">
        <f>H21</f>
        <v>100</v>
      </c>
      <c r="V21" s="1571" t="s">
        <v>8</v>
      </c>
      <c r="W21" s="1572">
        <f>J21</f>
        <v>100</v>
      </c>
      <c r="X21" s="2580"/>
      <c r="Y21" s="3439"/>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439"/>
      <c r="Q22" s="2578"/>
      <c r="R22" s="1571"/>
      <c r="S22" s="1572"/>
      <c r="T22" s="1571"/>
      <c r="U22" s="1572"/>
      <c r="V22" s="1571"/>
      <c r="W22" s="1572"/>
      <c r="X22" s="2580"/>
      <c r="Y22" s="3439"/>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439"/>
      <c r="Q24" s="1570"/>
      <c r="R24" s="1571"/>
      <c r="S24" s="1572"/>
      <c r="T24" s="1571"/>
      <c r="U24" s="1572"/>
      <c r="V24" s="1571"/>
      <c r="W24" s="1572"/>
      <c r="X24" s="1565"/>
      <c r="Y24" s="343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39"/>
      <c r="Q25" s="1570">
        <f>B25</f>
        <v>111</v>
      </c>
      <c r="R25" s="1571" t="s">
        <v>8</v>
      </c>
      <c r="S25" s="1572">
        <f>F25</f>
        <v>100</v>
      </c>
      <c r="T25" s="1571" t="s">
        <v>8</v>
      </c>
      <c r="U25" s="1572">
        <f>H25</f>
        <v>100</v>
      </c>
      <c r="V25" s="1571" t="s">
        <v>8</v>
      </c>
      <c r="W25" s="1572">
        <f>J25</f>
        <v>100</v>
      </c>
      <c r="X25" s="1565"/>
      <c r="Y25" s="343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39"/>
      <c r="Q26" s="1570">
        <f t="shared" ref="Q26:Q40" si="11">B26</f>
        <v>111</v>
      </c>
      <c r="R26" s="1571" t="s">
        <v>8</v>
      </c>
      <c r="S26" s="1572">
        <f>F26</f>
        <v>100</v>
      </c>
      <c r="T26" s="1571" t="s">
        <v>8</v>
      </c>
      <c r="U26" s="1572">
        <f>H26</f>
        <v>100</v>
      </c>
      <c r="V26" s="1571" t="s">
        <v>8</v>
      </c>
      <c r="W26" s="1572">
        <f>J26</f>
        <v>100</v>
      </c>
      <c r="X26" s="1565"/>
      <c r="Y26" s="343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39"/>
      <c r="Q27" s="1149">
        <f t="shared" si="11"/>
        <v>111</v>
      </c>
      <c r="R27" s="1566" t="s">
        <v>8</v>
      </c>
      <c r="S27" s="1567">
        <f>F27</f>
        <v>100</v>
      </c>
      <c r="T27" s="1566" t="s">
        <v>8</v>
      </c>
      <c r="U27" s="1567">
        <f>H27</f>
        <v>100</v>
      </c>
      <c r="V27" s="1566" t="s">
        <v>8</v>
      </c>
      <c r="W27" s="1567">
        <f>J27</f>
        <v>100</v>
      </c>
      <c r="X27" s="1568"/>
      <c r="Y27" s="3439"/>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39"/>
      <c r="Q28" s="1570">
        <f t="shared" si="11"/>
        <v>111</v>
      </c>
      <c r="R28" s="1571" t="s">
        <v>8</v>
      </c>
      <c r="S28" s="1572">
        <f t="shared" ref="S28:S40" si="12">F28</f>
        <v>100</v>
      </c>
      <c r="T28" s="1571" t="s">
        <v>8</v>
      </c>
      <c r="U28" s="1572">
        <f t="shared" ref="U28:U40" si="13">H28</f>
        <v>100</v>
      </c>
      <c r="V28" s="1571" t="s">
        <v>8</v>
      </c>
      <c r="W28" s="1572">
        <f t="shared" ref="W28:W40" si="14">J28</f>
        <v>100</v>
      </c>
      <c r="X28" s="1565"/>
      <c r="Y28" s="3439"/>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40" t="s">
        <v>515</v>
      </c>
      <c r="Q29" s="1570" t="str">
        <f t="shared" si="11"/>
        <v>建筑类型</v>
      </c>
      <c r="R29" s="1571" t="s">
        <v>8</v>
      </c>
      <c r="S29" s="1572">
        <f t="shared" si="12"/>
        <v>100</v>
      </c>
      <c r="T29" s="1571" t="s">
        <v>8</v>
      </c>
      <c r="U29" s="1572">
        <f t="shared" si="13"/>
        <v>100</v>
      </c>
      <c r="V29" s="1571" t="s">
        <v>8</v>
      </c>
      <c r="W29" s="1572">
        <f t="shared" si="14"/>
        <v>100</v>
      </c>
      <c r="X29" s="1565"/>
      <c r="Y29" s="3441"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41"/>
      <c r="Q30" s="1603" t="str">
        <f t="shared" si="11"/>
        <v>项目建筑规模</v>
      </c>
      <c r="R30" s="1575" t="s">
        <v>8</v>
      </c>
      <c r="S30" s="1576" t="e">
        <f t="shared" si="12"/>
        <v>#N/A</v>
      </c>
      <c r="T30" s="1575" t="s">
        <v>8</v>
      </c>
      <c r="U30" s="1576" t="e">
        <f t="shared" si="13"/>
        <v>#N/A</v>
      </c>
      <c r="V30" s="1575" t="s">
        <v>8</v>
      </c>
      <c r="W30" s="1576" t="e">
        <f t="shared" si="14"/>
        <v>#N/A</v>
      </c>
      <c r="X30" s="1577"/>
      <c r="Y30" s="3441"/>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41"/>
      <c r="Q31" s="1570" t="str">
        <f t="shared" si="11"/>
        <v>建筑结构</v>
      </c>
      <c r="R31" s="1571" t="s">
        <v>8</v>
      </c>
      <c r="S31" s="1572">
        <f t="shared" si="12"/>
        <v>100</v>
      </c>
      <c r="T31" s="1571" t="s">
        <v>8</v>
      </c>
      <c r="U31" s="1572">
        <f t="shared" si="13"/>
        <v>100</v>
      </c>
      <c r="V31" s="1571" t="s">
        <v>8</v>
      </c>
      <c r="W31" s="1572">
        <f t="shared" si="14"/>
        <v>100</v>
      </c>
      <c r="X31" s="1565"/>
      <c r="Y31" s="3441"/>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41"/>
      <c r="Q32" s="1570" t="str">
        <f t="shared" si="11"/>
        <v>公共部分装修</v>
      </c>
      <c r="R32" s="1571" t="s">
        <v>8</v>
      </c>
      <c r="S32" s="1572">
        <f t="shared" si="12"/>
        <v>100</v>
      </c>
      <c r="T32" s="1571" t="s">
        <v>8</v>
      </c>
      <c r="U32" s="1572">
        <f t="shared" si="13"/>
        <v>100</v>
      </c>
      <c r="V32" s="1571" t="s">
        <v>8</v>
      </c>
      <c r="W32" s="1572">
        <f t="shared" si="14"/>
        <v>100</v>
      </c>
      <c r="X32" s="1565"/>
      <c r="Y32" s="3441"/>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41"/>
      <c r="Q33" s="1570" t="str">
        <f t="shared" si="11"/>
        <v>成新度</v>
      </c>
      <c r="R33" s="1571" t="s">
        <v>8</v>
      </c>
      <c r="S33" s="1572" t="e">
        <f t="shared" si="12"/>
        <v>#N/A</v>
      </c>
      <c r="T33" s="1571" t="s">
        <v>8</v>
      </c>
      <c r="U33" s="1572" t="e">
        <f t="shared" si="13"/>
        <v>#N/A</v>
      </c>
      <c r="V33" s="1571" t="s">
        <v>8</v>
      </c>
      <c r="W33" s="1572" t="e">
        <f t="shared" si="14"/>
        <v>#N/A</v>
      </c>
      <c r="X33" s="1565"/>
      <c r="Y33" s="3441"/>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41"/>
      <c r="Q34" s="1149" t="str">
        <f t="shared" si="11"/>
        <v>物业管理</v>
      </c>
      <c r="R34" s="1566" t="s">
        <v>8</v>
      </c>
      <c r="S34" s="1567">
        <f t="shared" si="12"/>
        <v>100</v>
      </c>
      <c r="T34" s="1566" t="s">
        <v>8</v>
      </c>
      <c r="U34" s="1567">
        <f t="shared" si="13"/>
        <v>100</v>
      </c>
      <c r="V34" s="1566" t="s">
        <v>8</v>
      </c>
      <c r="W34" s="1567">
        <f t="shared" si="14"/>
        <v>100</v>
      </c>
      <c r="X34" s="1568"/>
      <c r="Y34" s="3441"/>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41" t="s">
        <v>515</v>
      </c>
      <c r="Q35" s="1570" t="str">
        <f t="shared" si="11"/>
        <v>市政基础设施</v>
      </c>
      <c r="R35" s="1571" t="s">
        <v>8</v>
      </c>
      <c r="S35" s="1572">
        <f t="shared" si="12"/>
        <v>100</v>
      </c>
      <c r="T35" s="1571" t="s">
        <v>8</v>
      </c>
      <c r="U35" s="1572">
        <f t="shared" si="13"/>
        <v>100</v>
      </c>
      <c r="V35" s="1571" t="s">
        <v>8</v>
      </c>
      <c r="W35" s="1572">
        <f t="shared" si="14"/>
        <v>100</v>
      </c>
      <c r="X35" s="1565"/>
      <c r="Y35" s="3441"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41"/>
      <c r="Q36" s="1570" t="str">
        <f t="shared" si="11"/>
        <v>内部装修</v>
      </c>
      <c r="R36" s="1571" t="s">
        <v>8</v>
      </c>
      <c r="S36" s="1572">
        <f t="shared" si="12"/>
        <v>100</v>
      </c>
      <c r="T36" s="1571" t="s">
        <v>8</v>
      </c>
      <c r="U36" s="1572">
        <f t="shared" si="13"/>
        <v>100</v>
      </c>
      <c r="V36" s="1571" t="s">
        <v>8</v>
      </c>
      <c r="W36" s="1572">
        <f t="shared" si="14"/>
        <v>100</v>
      </c>
      <c r="X36" s="1565"/>
      <c r="Y36" s="3441"/>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41"/>
      <c r="Q37" s="1570" t="str">
        <f t="shared" si="11"/>
        <v>内部装修状况</v>
      </c>
      <c r="R37" s="1571" t="s">
        <v>8</v>
      </c>
      <c r="S37" s="1572">
        <f t="shared" si="12"/>
        <v>100</v>
      </c>
      <c r="T37" s="1571" t="s">
        <v>8</v>
      </c>
      <c r="U37" s="1572">
        <f t="shared" si="13"/>
        <v>100</v>
      </c>
      <c r="V37" s="1571" t="s">
        <v>8</v>
      </c>
      <c r="W37" s="1572">
        <f t="shared" si="14"/>
        <v>100</v>
      </c>
      <c r="X37" s="1565"/>
      <c r="Y37" s="344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41"/>
      <c r="Q38" s="1603">
        <f t="shared" si="11"/>
        <v>111</v>
      </c>
      <c r="R38" s="1575" t="s">
        <v>8</v>
      </c>
      <c r="S38" s="1576">
        <f t="shared" si="12"/>
        <v>100</v>
      </c>
      <c r="T38" s="1575" t="s">
        <v>8</v>
      </c>
      <c r="U38" s="1576">
        <f t="shared" si="13"/>
        <v>100</v>
      </c>
      <c r="V38" s="1575" t="s">
        <v>8</v>
      </c>
      <c r="W38" s="1576">
        <f t="shared" si="14"/>
        <v>100</v>
      </c>
      <c r="X38" s="1577"/>
      <c r="Y38" s="344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41"/>
      <c r="Q39" s="1570">
        <f t="shared" si="11"/>
        <v>111</v>
      </c>
      <c r="R39" s="1571" t="s">
        <v>8</v>
      </c>
      <c r="S39" s="1572">
        <f t="shared" si="12"/>
        <v>100</v>
      </c>
      <c r="T39" s="1571" t="s">
        <v>8</v>
      </c>
      <c r="U39" s="1572">
        <f t="shared" si="13"/>
        <v>100</v>
      </c>
      <c r="V39" s="1571" t="s">
        <v>8</v>
      </c>
      <c r="W39" s="1572">
        <f t="shared" si="14"/>
        <v>100</v>
      </c>
      <c r="X39" s="1565"/>
      <c r="Y39" s="3441"/>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521"/>
      <c r="Q40" s="1570">
        <f t="shared" si="11"/>
        <v>111</v>
      </c>
      <c r="R40" s="1571" t="s">
        <v>8</v>
      </c>
      <c r="S40" s="1572">
        <f t="shared" si="12"/>
        <v>100</v>
      </c>
      <c r="T40" s="1571" t="s">
        <v>8</v>
      </c>
      <c r="U40" s="1572">
        <f t="shared" si="13"/>
        <v>100</v>
      </c>
      <c r="V40" s="1571" t="s">
        <v>8</v>
      </c>
      <c r="W40" s="1572">
        <f t="shared" si="14"/>
        <v>100</v>
      </c>
      <c r="X40" s="1565"/>
      <c r="Y40" s="3521"/>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406" t="str">
        <f>A41</f>
        <v>成交单价（元/平方米）</v>
      </c>
      <c r="Q41" s="3406"/>
      <c r="R41" s="3520">
        <f>E41</f>
        <v>0</v>
      </c>
      <c r="S41" s="3520"/>
      <c r="T41" s="3520">
        <f>G41</f>
        <v>0</v>
      </c>
      <c r="U41" s="3520"/>
      <c r="V41" s="3520">
        <f>I41</f>
        <v>0</v>
      </c>
      <c r="W41" s="3520"/>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406" t="str">
        <f>A42</f>
        <v>比较价格（元/平方米）</v>
      </c>
      <c r="Q42" s="3406"/>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403" t="str">
        <f>A43</f>
        <v>估价对象XX用房的比较价格（楼面单价，元/平方米）</v>
      </c>
      <c r="Q43" s="3404"/>
      <c r="R43" s="3519" t="e">
        <f>IF(F1="售价",ROUND(AVERAGE(R42:V42),0),ROUND(AVERAGE(R42:V42),1))</f>
        <v>#DIV/0!</v>
      </c>
      <c r="S43" s="3519"/>
      <c r="T43" s="3519"/>
      <c r="U43" s="3519"/>
      <c r="V43" s="3519"/>
      <c r="W43" s="351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2019-9</v>
      </c>
      <c r="D52" s="2803">
        <f>EDATE(C52,-1)</f>
        <v>43678</v>
      </c>
      <c r="E52" s="2803">
        <f t="shared" ref="E52:O52" si="16">EDATE(D52,-1)</f>
        <v>43647</v>
      </c>
      <c r="F52" s="2803">
        <f t="shared" si="16"/>
        <v>43617</v>
      </c>
      <c r="G52" s="2803">
        <f t="shared" si="16"/>
        <v>43586</v>
      </c>
      <c r="H52" s="2803">
        <f t="shared" si="16"/>
        <v>43556</v>
      </c>
      <c r="I52" s="2803">
        <f t="shared" si="16"/>
        <v>43525</v>
      </c>
      <c r="J52" s="2803">
        <f t="shared" si="16"/>
        <v>43497</v>
      </c>
      <c r="K52" s="2803">
        <f t="shared" si="16"/>
        <v>43466</v>
      </c>
      <c r="L52" s="2803">
        <f t="shared" si="16"/>
        <v>43435</v>
      </c>
      <c r="M52" s="2803">
        <f t="shared" si="16"/>
        <v>43405</v>
      </c>
      <c r="N52" s="2803">
        <f t="shared" si="16"/>
        <v>43374</v>
      </c>
      <c r="O52" s="2803">
        <f t="shared" si="16"/>
        <v>43344</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412" t="s">
        <v>763</v>
      </c>
      <c r="D4" s="3413"/>
      <c r="E4" s="3412" t="s">
        <v>764</v>
      </c>
      <c r="F4" s="3413"/>
      <c r="G4" s="3412" t="s">
        <v>765</v>
      </c>
      <c r="H4" s="3413"/>
      <c r="I4" s="3412" t="s">
        <v>766</v>
      </c>
      <c r="J4" s="3413"/>
      <c r="K4" s="513" t="s">
        <v>767</v>
      </c>
      <c r="L4" s="2132"/>
      <c r="M4" s="2133"/>
      <c r="N4" s="2133"/>
      <c r="O4" s="2133"/>
      <c r="P4" s="3414" t="s">
        <v>768</v>
      </c>
      <c r="Q4" s="3415"/>
      <c r="R4" s="3420" t="s">
        <v>764</v>
      </c>
      <c r="S4" s="3421"/>
      <c r="T4" s="3420" t="s">
        <v>765</v>
      </c>
      <c r="U4" s="3421"/>
      <c r="V4" s="3407" t="s">
        <v>766</v>
      </c>
      <c r="W4" s="3407"/>
      <c r="X4" s="1565"/>
      <c r="Y4" s="3420" t="s">
        <v>768</v>
      </c>
      <c r="Z4" s="3421"/>
      <c r="AA4" s="3409" t="s">
        <v>764</v>
      </c>
      <c r="AB4" s="3410" t="s">
        <v>765</v>
      </c>
      <c r="AC4" s="3409" t="s">
        <v>766</v>
      </c>
    </row>
    <row r="5" spans="1:29">
      <c r="A5" s="514"/>
      <c r="B5" s="515"/>
      <c r="C5" s="3442" t="s">
        <v>2889</v>
      </c>
      <c r="D5" s="3429"/>
      <c r="E5" s="3442" t="s">
        <v>2890</v>
      </c>
      <c r="F5" s="3429"/>
      <c r="G5" s="3442" t="s">
        <v>2891</v>
      </c>
      <c r="H5" s="3429"/>
      <c r="I5" s="3442" t="s">
        <v>2892</v>
      </c>
      <c r="J5" s="3429"/>
      <c r="K5" s="513"/>
      <c r="L5" s="2132"/>
      <c r="M5" s="2133"/>
      <c r="N5" s="2133"/>
      <c r="O5" s="2133"/>
      <c r="P5" s="3416"/>
      <c r="Q5" s="3417"/>
      <c r="R5" s="3422"/>
      <c r="S5" s="3423"/>
      <c r="T5" s="3422"/>
      <c r="U5" s="3423"/>
      <c r="V5" s="3407"/>
      <c r="W5" s="3407"/>
      <c r="X5" s="1565"/>
      <c r="Y5" s="3422"/>
      <c r="Z5" s="3423"/>
      <c r="AA5" s="3410"/>
      <c r="AB5" s="3410"/>
      <c r="AC5" s="3410"/>
    </row>
    <row r="6" spans="1:29" ht="15" thickBot="1">
      <c r="A6" s="516"/>
      <c r="B6" s="517"/>
      <c r="C6" s="3443" t="s">
        <v>2893</v>
      </c>
      <c r="D6" s="3444"/>
      <c r="E6" s="3529" t="s">
        <v>2893</v>
      </c>
      <c r="F6" s="3427"/>
      <c r="G6" s="3443" t="s">
        <v>2893</v>
      </c>
      <c r="H6" s="3444"/>
      <c r="I6" s="3443" t="s">
        <v>2893</v>
      </c>
      <c r="J6" s="3444"/>
      <c r="K6" s="513" t="s">
        <v>493</v>
      </c>
      <c r="L6" s="2132"/>
      <c r="M6" s="2133"/>
      <c r="N6" s="2133"/>
      <c r="O6" s="2133"/>
      <c r="P6" s="3418"/>
      <c r="Q6" s="3419"/>
      <c r="R6" s="3422"/>
      <c r="S6" s="3423"/>
      <c r="T6" s="3424"/>
      <c r="U6" s="3425"/>
      <c r="V6" s="3407"/>
      <c r="W6" s="3407"/>
      <c r="X6" s="1565"/>
      <c r="Y6" s="3424"/>
      <c r="Z6" s="3425"/>
      <c r="AA6" s="3411"/>
      <c r="AB6" s="3411"/>
      <c r="AC6" s="3411"/>
    </row>
    <row r="7" spans="1:29" s="1218" customFormat="1" ht="15" thickBot="1">
      <c r="A7" s="2911"/>
      <c r="B7" s="2918" t="s">
        <v>494</v>
      </c>
      <c r="C7" s="518">
        <f>'数据-取费表'!B2</f>
        <v>43718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35" t="s">
        <v>495</v>
      </c>
      <c r="Q7" s="3437"/>
      <c r="R7" s="1566" t="s">
        <v>8</v>
      </c>
      <c r="S7" s="1567">
        <f t="shared" ref="S7:S14" si="0">F7</f>
        <v>0</v>
      </c>
      <c r="T7" s="1566" t="s">
        <v>8</v>
      </c>
      <c r="U7" s="1567">
        <f t="shared" ref="U7:U14" si="1">H7</f>
        <v>0</v>
      </c>
      <c r="V7" s="1566" t="s">
        <v>8</v>
      </c>
      <c r="W7" s="1567">
        <f t="shared" ref="W7:W14" si="2">J7</f>
        <v>0</v>
      </c>
      <c r="X7" s="1568"/>
      <c r="Y7" s="3435" t="s">
        <v>495</v>
      </c>
      <c r="Z7" s="3436"/>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35" t="s">
        <v>498</v>
      </c>
      <c r="Q8" s="3436"/>
      <c r="R8" s="1566" t="s">
        <v>8</v>
      </c>
      <c r="S8" s="1567">
        <f t="shared" si="0"/>
        <v>0</v>
      </c>
      <c r="T8" s="1566" t="s">
        <v>8</v>
      </c>
      <c r="U8" s="1567">
        <f t="shared" si="1"/>
        <v>0</v>
      </c>
      <c r="V8" s="1566" t="s">
        <v>8</v>
      </c>
      <c r="W8" s="1567">
        <f t="shared" si="2"/>
        <v>0</v>
      </c>
      <c r="X8" s="1568"/>
      <c r="Y8" s="3435" t="s">
        <v>498</v>
      </c>
      <c r="Z8" s="3436"/>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06" t="s">
        <v>500</v>
      </c>
      <c r="Q9" s="1149" t="str">
        <f t="shared" ref="Q9:Q14" si="6">B9</f>
        <v>用途</v>
      </c>
      <c r="R9" s="1566" t="s">
        <v>8</v>
      </c>
      <c r="S9" s="1567">
        <f t="shared" si="0"/>
        <v>100</v>
      </c>
      <c r="T9" s="1566" t="s">
        <v>8</v>
      </c>
      <c r="U9" s="1567">
        <f t="shared" si="1"/>
        <v>100</v>
      </c>
      <c r="V9" s="1566" t="s">
        <v>8</v>
      </c>
      <c r="W9" s="1567">
        <f t="shared" si="2"/>
        <v>100</v>
      </c>
      <c r="X9" s="1568"/>
      <c r="Y9" s="3352"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06"/>
      <c r="Q11" s="1149">
        <f t="shared" si="6"/>
        <v>111</v>
      </c>
      <c r="R11" s="1566" t="s">
        <v>8</v>
      </c>
      <c r="S11" s="1567">
        <f t="shared" si="0"/>
        <v>100</v>
      </c>
      <c r="T11" s="1566" t="s">
        <v>8</v>
      </c>
      <c r="U11" s="1567">
        <f t="shared" si="1"/>
        <v>100</v>
      </c>
      <c r="V11" s="1566" t="s">
        <v>8</v>
      </c>
      <c r="W11" s="1567">
        <f t="shared" si="2"/>
        <v>100</v>
      </c>
      <c r="X11" s="1568"/>
      <c r="Y11" s="3352"/>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06"/>
      <c r="Q12" s="1149">
        <f t="shared" si="6"/>
        <v>111</v>
      </c>
      <c r="R12" s="1566" t="s">
        <v>8</v>
      </c>
      <c r="S12" s="1567">
        <f t="shared" si="0"/>
        <v>100</v>
      </c>
      <c r="T12" s="1566" t="s">
        <v>8</v>
      </c>
      <c r="U12" s="1567">
        <f t="shared" si="1"/>
        <v>100</v>
      </c>
      <c r="V12" s="1566" t="s">
        <v>8</v>
      </c>
      <c r="W12" s="1567">
        <f t="shared" si="2"/>
        <v>100</v>
      </c>
      <c r="X12" s="1568"/>
      <c r="Y12" s="3352"/>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06"/>
      <c r="Q13" s="1149">
        <f t="shared" si="6"/>
        <v>111</v>
      </c>
      <c r="R13" s="1566" t="s">
        <v>8</v>
      </c>
      <c r="S13" s="1567">
        <f t="shared" si="0"/>
        <v>100</v>
      </c>
      <c r="T13" s="1566" t="s">
        <v>8</v>
      </c>
      <c r="U13" s="1567">
        <f t="shared" si="1"/>
        <v>100</v>
      </c>
      <c r="V13" s="1566" t="s">
        <v>8</v>
      </c>
      <c r="W13" s="1567">
        <f t="shared" si="2"/>
        <v>100</v>
      </c>
      <c r="X13" s="1568"/>
      <c r="Y13" s="3352"/>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438" t="s">
        <v>505</v>
      </c>
      <c r="Q14" s="1570" t="str">
        <f t="shared" si="6"/>
        <v>交通便捷度</v>
      </c>
      <c r="R14" s="1571" t="s">
        <v>8</v>
      </c>
      <c r="S14" s="1572">
        <f t="shared" si="0"/>
        <v>100</v>
      </c>
      <c r="T14" s="1571" t="s">
        <v>8</v>
      </c>
      <c r="U14" s="1572">
        <f t="shared" si="1"/>
        <v>100</v>
      </c>
      <c r="V14" s="1571" t="s">
        <v>8</v>
      </c>
      <c r="W14" s="1572">
        <f t="shared" si="2"/>
        <v>100</v>
      </c>
      <c r="X14" s="1565"/>
      <c r="Y14" s="3438"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439"/>
      <c r="Q15" s="1570"/>
      <c r="R15" s="1571"/>
      <c r="S15" s="1572"/>
      <c r="T15" s="1571"/>
      <c r="U15" s="1572"/>
      <c r="V15" s="1571"/>
      <c r="W15" s="1572"/>
      <c r="X15" s="1565"/>
      <c r="Y15" s="3439"/>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439"/>
      <c r="Q16" s="1570" t="str">
        <f>B16</f>
        <v>公共配套设施</v>
      </c>
      <c r="R16" s="1571" t="s">
        <v>8</v>
      </c>
      <c r="S16" s="1572">
        <f>F16</f>
        <v>100</v>
      </c>
      <c r="T16" s="1571" t="s">
        <v>8</v>
      </c>
      <c r="U16" s="1572">
        <f>H16</f>
        <v>100</v>
      </c>
      <c r="V16" s="1571" t="s">
        <v>8</v>
      </c>
      <c r="W16" s="1572">
        <f>J16</f>
        <v>100</v>
      </c>
      <c r="X16" s="1565"/>
      <c r="Y16" s="343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439"/>
      <c r="Q17" s="1570"/>
      <c r="R17" s="1571"/>
      <c r="S17" s="1572"/>
      <c r="T17" s="1571"/>
      <c r="U17" s="1572"/>
      <c r="V17" s="1571"/>
      <c r="W17" s="1572"/>
      <c r="X17" s="1565"/>
      <c r="Y17" s="3439"/>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439"/>
      <c r="Q18" s="2578" t="str">
        <f>B18</f>
        <v>基础设施水平</v>
      </c>
      <c r="R18" s="1571" t="s">
        <v>8</v>
      </c>
      <c r="S18" s="1572">
        <f>F18</f>
        <v>100</v>
      </c>
      <c r="T18" s="1571" t="s">
        <v>8</v>
      </c>
      <c r="U18" s="1572">
        <f>H18</f>
        <v>100</v>
      </c>
      <c r="V18" s="1571" t="s">
        <v>8</v>
      </c>
      <c r="W18" s="1572">
        <f>J18</f>
        <v>100</v>
      </c>
      <c r="X18" s="2580"/>
      <c r="Y18" s="3439"/>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439"/>
      <c r="Q19" s="2578"/>
      <c r="R19" s="1571"/>
      <c r="S19" s="1572"/>
      <c r="T19" s="1571"/>
      <c r="U19" s="1572"/>
      <c r="V19" s="1571"/>
      <c r="W19" s="1572"/>
      <c r="X19" s="2580"/>
      <c r="Y19" s="3439"/>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439"/>
      <c r="Q20" s="1570" t="str">
        <f>B20</f>
        <v>自然及人文环境</v>
      </c>
      <c r="R20" s="1571" t="s">
        <v>8</v>
      </c>
      <c r="S20" s="1572">
        <f>F20</f>
        <v>100</v>
      </c>
      <c r="T20" s="1571" t="s">
        <v>8</v>
      </c>
      <c r="U20" s="1572">
        <f>H20</f>
        <v>100</v>
      </c>
      <c r="V20" s="1571" t="s">
        <v>8</v>
      </c>
      <c r="W20" s="1572">
        <f>J20</f>
        <v>100</v>
      </c>
      <c r="X20" s="1565"/>
      <c r="Y20" s="343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439"/>
      <c r="Q21" s="1570"/>
      <c r="R21" s="1571"/>
      <c r="S21" s="1572"/>
      <c r="T21" s="1571"/>
      <c r="U21" s="1572"/>
      <c r="V21" s="1571"/>
      <c r="W21" s="1572"/>
      <c r="X21" s="1565"/>
      <c r="Y21" s="3439"/>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39"/>
      <c r="Q24" s="1570">
        <f t="shared" ref="Q24:Q36"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40"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41"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41"/>
      <c r="Q27" s="1603" t="str">
        <f t="shared" si="11"/>
        <v>项目停车位配比</v>
      </c>
      <c r="R27" s="1575" t="s">
        <v>8</v>
      </c>
      <c r="S27" s="1576">
        <f t="shared" si="12"/>
        <v>100</v>
      </c>
      <c r="T27" s="1575" t="s">
        <v>8</v>
      </c>
      <c r="U27" s="1576">
        <f t="shared" si="13"/>
        <v>100</v>
      </c>
      <c r="V27" s="1575" t="s">
        <v>8</v>
      </c>
      <c r="W27" s="1576">
        <f t="shared" si="14"/>
        <v>100</v>
      </c>
      <c r="X27" s="1577"/>
      <c r="Y27" s="3441"/>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41"/>
      <c r="Q28" s="1570" t="str">
        <f t="shared" si="11"/>
        <v>公共部分装修</v>
      </c>
      <c r="R28" s="1571" t="s">
        <v>8</v>
      </c>
      <c r="S28" s="1572">
        <f t="shared" si="12"/>
        <v>100</v>
      </c>
      <c r="T28" s="1571" t="s">
        <v>8</v>
      </c>
      <c r="U28" s="1572">
        <f t="shared" si="13"/>
        <v>100</v>
      </c>
      <c r="V28" s="1571" t="s">
        <v>8</v>
      </c>
      <c r="W28" s="1572">
        <f t="shared" si="14"/>
        <v>100</v>
      </c>
      <c r="X28" s="1565"/>
      <c r="Y28" s="3441"/>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41"/>
      <c r="Q29" s="1570" t="str">
        <f t="shared" si="11"/>
        <v>成新率</v>
      </c>
      <c r="R29" s="1571" t="s">
        <v>8</v>
      </c>
      <c r="S29" s="1572" t="e">
        <f t="shared" si="12"/>
        <v>#N/A</v>
      </c>
      <c r="T29" s="1571" t="s">
        <v>8</v>
      </c>
      <c r="U29" s="1572" t="e">
        <f t="shared" si="13"/>
        <v>#N/A</v>
      </c>
      <c r="V29" s="1571" t="s">
        <v>8</v>
      </c>
      <c r="W29" s="1572" t="e">
        <f t="shared" si="14"/>
        <v>#N/A</v>
      </c>
      <c r="X29" s="1565"/>
      <c r="Y29" s="3441"/>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41"/>
      <c r="Q30" s="1570" t="str">
        <f t="shared" si="11"/>
        <v>物业等级</v>
      </c>
      <c r="R30" s="1571" t="s">
        <v>8</v>
      </c>
      <c r="S30" s="1572">
        <f t="shared" si="12"/>
        <v>100</v>
      </c>
      <c r="T30" s="1571" t="s">
        <v>8</v>
      </c>
      <c r="U30" s="1572">
        <f t="shared" si="13"/>
        <v>100</v>
      </c>
      <c r="V30" s="1571" t="s">
        <v>8</v>
      </c>
      <c r="W30" s="1572">
        <f t="shared" si="14"/>
        <v>100</v>
      </c>
      <c r="X30" s="1565"/>
      <c r="Y30" s="3441"/>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41"/>
      <c r="Q31" s="1149" t="str">
        <f t="shared" si="11"/>
        <v>停车位面积</v>
      </c>
      <c r="R31" s="1566" t="s">
        <v>8</v>
      </c>
      <c r="S31" s="1567" t="e">
        <f t="shared" si="12"/>
        <v>#N/A</v>
      </c>
      <c r="T31" s="1566" t="s">
        <v>8</v>
      </c>
      <c r="U31" s="1567" t="e">
        <f t="shared" si="13"/>
        <v>#N/A</v>
      </c>
      <c r="V31" s="1566" t="s">
        <v>8</v>
      </c>
      <c r="W31" s="1567" t="e">
        <f t="shared" si="14"/>
        <v>#N/A</v>
      </c>
      <c r="X31" s="1568"/>
      <c r="Y31" s="3441"/>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41" t="s">
        <v>515</v>
      </c>
      <c r="Q32" s="1570" t="str">
        <f t="shared" si="11"/>
        <v>车位类型</v>
      </c>
      <c r="R32" s="1571" t="s">
        <v>8</v>
      </c>
      <c r="S32" s="1572">
        <f t="shared" si="12"/>
        <v>100</v>
      </c>
      <c r="T32" s="1571" t="s">
        <v>8</v>
      </c>
      <c r="U32" s="1572">
        <f t="shared" si="13"/>
        <v>100</v>
      </c>
      <c r="V32" s="1571" t="s">
        <v>8</v>
      </c>
      <c r="W32" s="1572">
        <f t="shared" si="14"/>
        <v>100</v>
      </c>
      <c r="X32" s="1565"/>
      <c r="Y32" s="3441"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41"/>
      <c r="Q33" s="1570" t="str">
        <f t="shared" si="11"/>
        <v>是否直接入户</v>
      </c>
      <c r="R33" s="1571" t="s">
        <v>8</v>
      </c>
      <c r="S33" s="1572">
        <f t="shared" si="12"/>
        <v>100</v>
      </c>
      <c r="T33" s="1571" t="s">
        <v>8</v>
      </c>
      <c r="U33" s="1572">
        <f t="shared" si="13"/>
        <v>100</v>
      </c>
      <c r="V33" s="1571" t="s">
        <v>8</v>
      </c>
      <c r="W33" s="1572">
        <f t="shared" si="14"/>
        <v>100</v>
      </c>
      <c r="X33" s="1565"/>
      <c r="Y33" s="344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41"/>
      <c r="Q35" s="1603">
        <f t="shared" si="11"/>
        <v>111</v>
      </c>
      <c r="R35" s="1575" t="s">
        <v>8</v>
      </c>
      <c r="S35" s="1576">
        <f t="shared" si="12"/>
        <v>100</v>
      </c>
      <c r="T35" s="1575" t="s">
        <v>8</v>
      </c>
      <c r="U35" s="1576">
        <f t="shared" si="13"/>
        <v>100</v>
      </c>
      <c r="V35" s="1575" t="s">
        <v>8</v>
      </c>
      <c r="W35" s="1576">
        <f t="shared" si="14"/>
        <v>100</v>
      </c>
      <c r="X35" s="1577"/>
      <c r="Y35" s="3441"/>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41"/>
      <c r="Q36" s="1570">
        <f t="shared" si="11"/>
        <v>111</v>
      </c>
      <c r="R36" s="1571" t="s">
        <v>8</v>
      </c>
      <c r="S36" s="1572">
        <f t="shared" si="12"/>
        <v>100</v>
      </c>
      <c r="T36" s="1571" t="s">
        <v>8</v>
      </c>
      <c r="U36" s="1572">
        <f t="shared" si="13"/>
        <v>100</v>
      </c>
      <c r="V36" s="1571" t="s">
        <v>8</v>
      </c>
      <c r="W36" s="1572">
        <f t="shared" si="14"/>
        <v>100</v>
      </c>
      <c r="X36" s="1565"/>
      <c r="Y36" s="3441"/>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406" t="str">
        <f>A37</f>
        <v>成交单价</v>
      </c>
      <c r="Q37" s="3406"/>
      <c r="R37" s="3520">
        <f>E37</f>
        <v>0</v>
      </c>
      <c r="S37" s="3520"/>
      <c r="T37" s="3520">
        <f>G37</f>
        <v>0</v>
      </c>
      <c r="U37" s="3520"/>
      <c r="V37" s="3520">
        <f>I37</f>
        <v>0</v>
      </c>
      <c r="W37" s="3520"/>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406" t="str">
        <f>A38</f>
        <v>比较价格（元/平方米）</v>
      </c>
      <c r="Q38" s="3406"/>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403" t="str">
        <f>A39</f>
        <v>估价对象XX用房的比较价格（楼面单价，元/平方米）</v>
      </c>
      <c r="Q39" s="3404"/>
      <c r="R39" s="3519" t="e">
        <f>IF(F1="售价",ROUND(AVERAGE(R38:V38),0),ROUND(AVERAGE(R38:V38),1))</f>
        <v>#DIV/0!</v>
      </c>
      <c r="S39" s="3519"/>
      <c r="T39" s="3519"/>
      <c r="U39" s="3519"/>
      <c r="V39" s="3519"/>
      <c r="W39" s="351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2019-9</v>
      </c>
      <c r="D48" s="2803">
        <f>EDATE(C48,-1)</f>
        <v>43678</v>
      </c>
      <c r="E48" s="2803">
        <f t="shared" ref="E48:O48" si="16">EDATE(D48,-1)</f>
        <v>43647</v>
      </c>
      <c r="F48" s="2803">
        <f t="shared" si="16"/>
        <v>43617</v>
      </c>
      <c r="G48" s="2803">
        <f t="shared" si="16"/>
        <v>43586</v>
      </c>
      <c r="H48" s="2803">
        <f t="shared" si="16"/>
        <v>43556</v>
      </c>
      <c r="I48" s="2803">
        <f t="shared" si="16"/>
        <v>43525</v>
      </c>
      <c r="J48" s="2803">
        <f t="shared" si="16"/>
        <v>43497</v>
      </c>
      <c r="K48" s="2803">
        <f t="shared" si="16"/>
        <v>43466</v>
      </c>
      <c r="L48" s="2803">
        <f t="shared" si="16"/>
        <v>43435</v>
      </c>
      <c r="M48" s="2803">
        <f t="shared" si="16"/>
        <v>43405</v>
      </c>
      <c r="N48" s="2803">
        <f t="shared" si="16"/>
        <v>43374</v>
      </c>
      <c r="O48" s="2803">
        <f t="shared" si="16"/>
        <v>43344</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52.2">
      <c r="A4" s="1790" t="str">
        <f>"受贵公司委托，我公司对"&amp;项目基本情况!K2&amp;项目基本情况!B9&amp;"进行了预评估。"</f>
        <v>受贵公司委托，我公司对江苏省镇江市丹阳市北二环路（宗地代码321181403212GB00076）1宗城镇住宅用地出让国有建设用地使用权抵押价格进行了预评估。</v>
      </c>
    </row>
    <row r="5" spans="1:4" ht="17.399999999999999">
      <c r="A5" s="1793" t="s">
        <v>1867</v>
      </c>
    </row>
    <row r="6" spans="1:4" ht="87">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丹阳市北二环路（宗地代码321181403212GB00076）1宗城镇住宅用地出让国有建设用地使用权。根据苏（2019）丹阳市不动产权第0015263号，估价对象（分摊）出让国有建设用地使用权面积为33335.9平方米。根据《出让合同》，估价对象规划建筑面积为116675.65平方米。</v>
      </c>
    </row>
    <row r="7" spans="1:4" ht="87">
      <c r="A7" s="2872" t="s">
        <v>2710</v>
      </c>
    </row>
    <row r="8" spans="1:4" ht="17.399999999999999">
      <c r="A8" s="1793" t="s">
        <v>1868</v>
      </c>
    </row>
    <row r="9" spans="1:4" ht="87">
      <c r="A9" s="1795" t="str">
        <f>IF(项目基本情况!B8="抵押",IF(项目基本情况!B5=项目基本情况!B6,定义!C51,定义!B51),定义!D51)</f>
        <v>拟使用江苏省镇江市丹阳市北二环路（宗地代码321181403212GB00076）1宗城镇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2019年9月10日（评估专业人员勘察现场之日）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根据苏（2019）丹阳市不动产权第0015263号，估价对象（分摊）出让国有建设用地使用权面积为33335.9平方米。根据《出让合同》，估价对象规划建筑面积为116675.65平方米。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2019年9月10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412" t="s">
        <v>763</v>
      </c>
      <c r="D4" s="3413"/>
      <c r="E4" s="3447" t="s">
        <v>764</v>
      </c>
      <c r="F4" s="3448"/>
      <c r="G4" s="3412" t="s">
        <v>765</v>
      </c>
      <c r="H4" s="3413"/>
      <c r="I4" s="3412" t="s">
        <v>766</v>
      </c>
      <c r="J4" s="3413"/>
      <c r="K4" s="513" t="s">
        <v>767</v>
      </c>
      <c r="L4" s="2132"/>
      <c r="M4" s="2133"/>
      <c r="N4" s="2133"/>
      <c r="O4" s="2133"/>
      <c r="P4" s="3414" t="s">
        <v>768</v>
      </c>
      <c r="Q4" s="3415"/>
      <c r="R4" s="3420" t="s">
        <v>764</v>
      </c>
      <c r="S4" s="3421"/>
      <c r="T4" s="3420" t="s">
        <v>765</v>
      </c>
      <c r="U4" s="3421"/>
      <c r="V4" s="3407" t="s">
        <v>766</v>
      </c>
      <c r="W4" s="3407"/>
      <c r="X4" s="1565"/>
      <c r="Y4" s="3420" t="s">
        <v>768</v>
      </c>
      <c r="Z4" s="3421"/>
      <c r="AA4" s="3409" t="s">
        <v>764</v>
      </c>
      <c r="AB4" s="3410" t="s">
        <v>765</v>
      </c>
      <c r="AC4" s="3409" t="s">
        <v>766</v>
      </c>
    </row>
    <row r="5" spans="1:29">
      <c r="A5" s="514"/>
      <c r="B5" s="515"/>
      <c r="C5" s="3442" t="s">
        <v>2889</v>
      </c>
      <c r="D5" s="3429"/>
      <c r="E5" s="3449" t="s">
        <v>2890</v>
      </c>
      <c r="F5" s="3450"/>
      <c r="G5" s="3442" t="s">
        <v>2891</v>
      </c>
      <c r="H5" s="3429"/>
      <c r="I5" s="3442" t="s">
        <v>2892</v>
      </c>
      <c r="J5" s="3429"/>
      <c r="K5" s="513"/>
      <c r="L5" s="2132"/>
      <c r="M5" s="2133"/>
      <c r="N5" s="2133"/>
      <c r="O5" s="2133"/>
      <c r="P5" s="3416"/>
      <c r="Q5" s="3417"/>
      <c r="R5" s="3422"/>
      <c r="S5" s="3423"/>
      <c r="T5" s="3422"/>
      <c r="U5" s="3423"/>
      <c r="V5" s="3407"/>
      <c r="W5" s="3407"/>
      <c r="X5" s="1565"/>
      <c r="Y5" s="3422"/>
      <c r="Z5" s="3423"/>
      <c r="AA5" s="3410"/>
      <c r="AB5" s="3410"/>
      <c r="AC5" s="3410"/>
    </row>
    <row r="6" spans="1:29" ht="15" thickBot="1">
      <c r="A6" s="516"/>
      <c r="B6" s="517"/>
      <c r="C6" s="3443" t="s">
        <v>2893</v>
      </c>
      <c r="D6" s="3444"/>
      <c r="E6" s="3445" t="s">
        <v>2893</v>
      </c>
      <c r="F6" s="3446"/>
      <c r="G6" s="3443" t="s">
        <v>2893</v>
      </c>
      <c r="H6" s="3444"/>
      <c r="I6" s="3443" t="s">
        <v>2893</v>
      </c>
      <c r="J6" s="3444"/>
      <c r="K6" s="513" t="s">
        <v>493</v>
      </c>
      <c r="L6" s="2132"/>
      <c r="M6" s="2133"/>
      <c r="N6" s="2133"/>
      <c r="O6" s="2133"/>
      <c r="P6" s="3418"/>
      <c r="Q6" s="3419"/>
      <c r="R6" s="3422"/>
      <c r="S6" s="3423"/>
      <c r="T6" s="3424"/>
      <c r="U6" s="3425"/>
      <c r="V6" s="3407"/>
      <c r="W6" s="3407"/>
      <c r="X6" s="1565"/>
      <c r="Y6" s="3424"/>
      <c r="Z6" s="3425"/>
      <c r="AA6" s="3411"/>
      <c r="AB6" s="3411"/>
      <c r="AC6" s="3411"/>
    </row>
    <row r="7" spans="1:29" s="1218" customFormat="1" ht="15" thickBot="1">
      <c r="A7" s="2911"/>
      <c r="B7" s="2918" t="s">
        <v>494</v>
      </c>
      <c r="C7" s="518">
        <f>'数据-取费表'!B2</f>
        <v>43718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35" t="s">
        <v>495</v>
      </c>
      <c r="Q7" s="3437"/>
      <c r="R7" s="1566" t="s">
        <v>8</v>
      </c>
      <c r="S7" s="1567">
        <f t="shared" ref="S7:S14" si="0">F7</f>
        <v>0</v>
      </c>
      <c r="T7" s="1566" t="s">
        <v>8</v>
      </c>
      <c r="U7" s="1567">
        <f t="shared" ref="U7:U14" si="1">H7</f>
        <v>0</v>
      </c>
      <c r="V7" s="1566" t="s">
        <v>8</v>
      </c>
      <c r="W7" s="1567">
        <f t="shared" ref="W7:W14" si="2">J7</f>
        <v>0</v>
      </c>
      <c r="X7" s="1568"/>
      <c r="Y7" s="3435" t="s">
        <v>495</v>
      </c>
      <c r="Z7" s="3436"/>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35" t="s">
        <v>498</v>
      </c>
      <c r="Q8" s="3436"/>
      <c r="R8" s="1566" t="s">
        <v>8</v>
      </c>
      <c r="S8" s="1567">
        <f t="shared" si="0"/>
        <v>0</v>
      </c>
      <c r="T8" s="1566" t="s">
        <v>8</v>
      </c>
      <c r="U8" s="1567">
        <f t="shared" si="1"/>
        <v>0</v>
      </c>
      <c r="V8" s="1566" t="s">
        <v>8</v>
      </c>
      <c r="W8" s="1567">
        <f t="shared" si="2"/>
        <v>0</v>
      </c>
      <c r="X8" s="1568"/>
      <c r="Y8" s="3435" t="s">
        <v>498</v>
      </c>
      <c r="Z8" s="3436"/>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06" t="s">
        <v>500</v>
      </c>
      <c r="Q9" s="1149" t="str">
        <f t="shared" ref="Q9:Q14" si="6">B9</f>
        <v>用途</v>
      </c>
      <c r="R9" s="1566" t="s">
        <v>8</v>
      </c>
      <c r="S9" s="1567">
        <f t="shared" si="0"/>
        <v>100</v>
      </c>
      <c r="T9" s="1566" t="s">
        <v>8</v>
      </c>
      <c r="U9" s="1567">
        <f t="shared" si="1"/>
        <v>100</v>
      </c>
      <c r="V9" s="1566" t="s">
        <v>8</v>
      </c>
      <c r="W9" s="1567">
        <f t="shared" si="2"/>
        <v>100</v>
      </c>
      <c r="X9" s="1568"/>
      <c r="Y9" s="3352"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06"/>
      <c r="Q10" s="1149" t="str">
        <f t="shared" si="6"/>
        <v>土地使用年限（年）</v>
      </c>
      <c r="R10" s="1566" t="s">
        <v>8</v>
      </c>
      <c r="S10" s="1567">
        <f t="shared" si="0"/>
        <v>100</v>
      </c>
      <c r="T10" s="1566" t="s">
        <v>8</v>
      </c>
      <c r="U10" s="1567">
        <f t="shared" si="1"/>
        <v>100</v>
      </c>
      <c r="V10" s="1566" t="s">
        <v>8</v>
      </c>
      <c r="W10" s="1567">
        <f t="shared" si="2"/>
        <v>100</v>
      </c>
      <c r="X10" s="1568"/>
      <c r="Y10" s="3352"/>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406"/>
      <c r="Q11" s="1149">
        <f t="shared" si="6"/>
        <v>111</v>
      </c>
      <c r="R11" s="1566" t="s">
        <v>8</v>
      </c>
      <c r="S11" s="1567">
        <f t="shared" si="0"/>
        <v>100</v>
      </c>
      <c r="T11" s="1566" t="s">
        <v>8</v>
      </c>
      <c r="U11" s="1567">
        <f t="shared" si="1"/>
        <v>100</v>
      </c>
      <c r="V11" s="1566" t="s">
        <v>8</v>
      </c>
      <c r="W11" s="1567">
        <f t="shared" si="2"/>
        <v>100</v>
      </c>
      <c r="X11" s="1568"/>
      <c r="Y11" s="3352"/>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406"/>
      <c r="Q12" s="1149">
        <f t="shared" si="6"/>
        <v>111</v>
      </c>
      <c r="R12" s="1566" t="s">
        <v>8</v>
      </c>
      <c r="S12" s="1567">
        <f t="shared" si="0"/>
        <v>100</v>
      </c>
      <c r="T12" s="1566" t="s">
        <v>8</v>
      </c>
      <c r="U12" s="1567">
        <f t="shared" si="1"/>
        <v>100</v>
      </c>
      <c r="V12" s="1566" t="s">
        <v>8</v>
      </c>
      <c r="W12" s="1567">
        <f t="shared" si="2"/>
        <v>100</v>
      </c>
      <c r="X12" s="1568"/>
      <c r="Y12" s="3352"/>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406"/>
      <c r="Q13" s="1149">
        <f t="shared" si="6"/>
        <v>111</v>
      </c>
      <c r="R13" s="1566" t="s">
        <v>8</v>
      </c>
      <c r="S13" s="1567">
        <f t="shared" si="0"/>
        <v>100</v>
      </c>
      <c r="T13" s="1566" t="s">
        <v>8</v>
      </c>
      <c r="U13" s="1567">
        <f t="shared" si="1"/>
        <v>100</v>
      </c>
      <c r="V13" s="1566" t="s">
        <v>8</v>
      </c>
      <c r="W13" s="1567">
        <f t="shared" si="2"/>
        <v>100</v>
      </c>
      <c r="X13" s="1568"/>
      <c r="Y13" s="3352"/>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38" t="s">
        <v>505</v>
      </c>
      <c r="Q14" s="1570" t="str">
        <f t="shared" si="6"/>
        <v>交通便捷度</v>
      </c>
      <c r="R14" s="1571" t="s">
        <v>8</v>
      </c>
      <c r="S14" s="1572">
        <f t="shared" si="0"/>
        <v>100</v>
      </c>
      <c r="T14" s="1571" t="s">
        <v>8</v>
      </c>
      <c r="U14" s="1572">
        <f t="shared" si="1"/>
        <v>100</v>
      </c>
      <c r="V14" s="1571" t="s">
        <v>8</v>
      </c>
      <c r="W14" s="1572">
        <f t="shared" si="2"/>
        <v>100</v>
      </c>
      <c r="X14" s="1565"/>
      <c r="Y14" s="3438"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439"/>
      <c r="Q15" s="1570"/>
      <c r="R15" s="1571"/>
      <c r="S15" s="1572"/>
      <c r="T15" s="1571"/>
      <c r="U15" s="1572"/>
      <c r="V15" s="1571"/>
      <c r="W15" s="1572"/>
      <c r="X15" s="1565"/>
      <c r="Y15" s="3439"/>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39"/>
      <c r="Q16" s="1570" t="str">
        <f>B16</f>
        <v>公共配套设施</v>
      </c>
      <c r="R16" s="1571" t="s">
        <v>8</v>
      </c>
      <c r="S16" s="1572">
        <f>F16</f>
        <v>100</v>
      </c>
      <c r="T16" s="1571" t="s">
        <v>8</v>
      </c>
      <c r="U16" s="1572">
        <f>H16</f>
        <v>100</v>
      </c>
      <c r="V16" s="1571" t="s">
        <v>8</v>
      </c>
      <c r="W16" s="1572">
        <f>J16</f>
        <v>100</v>
      </c>
      <c r="X16" s="1565"/>
      <c r="Y16" s="343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439"/>
      <c r="Q17" s="1570"/>
      <c r="R17" s="1571"/>
      <c r="S17" s="1572"/>
      <c r="T17" s="1571"/>
      <c r="U17" s="1572"/>
      <c r="V17" s="1571"/>
      <c r="W17" s="1572"/>
      <c r="X17" s="1565"/>
      <c r="Y17" s="3439"/>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39"/>
      <c r="Q18" s="2578" t="str">
        <f>B18</f>
        <v>基础设施水平</v>
      </c>
      <c r="R18" s="1571" t="s">
        <v>8</v>
      </c>
      <c r="S18" s="1572">
        <f>F18</f>
        <v>100</v>
      </c>
      <c r="T18" s="1571" t="s">
        <v>8</v>
      </c>
      <c r="U18" s="1572">
        <f>H18</f>
        <v>100</v>
      </c>
      <c r="V18" s="1571" t="s">
        <v>8</v>
      </c>
      <c r="W18" s="1572">
        <f>J18</f>
        <v>100</v>
      </c>
      <c r="X18" s="2580"/>
      <c r="Y18" s="3439"/>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439"/>
      <c r="Q19" s="2578"/>
      <c r="R19" s="1571"/>
      <c r="S19" s="1572"/>
      <c r="T19" s="1571"/>
      <c r="U19" s="1572"/>
      <c r="V19" s="1571"/>
      <c r="W19" s="1572"/>
      <c r="X19" s="2580"/>
      <c r="Y19" s="3439"/>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39"/>
      <c r="Q20" s="1570" t="str">
        <f>B20</f>
        <v>自然及人文环境</v>
      </c>
      <c r="R20" s="1571" t="s">
        <v>8</v>
      </c>
      <c r="S20" s="1572">
        <f>F20</f>
        <v>100</v>
      </c>
      <c r="T20" s="1571" t="s">
        <v>8</v>
      </c>
      <c r="U20" s="1572">
        <f>H20</f>
        <v>100</v>
      </c>
      <c r="V20" s="1571" t="s">
        <v>8</v>
      </c>
      <c r="W20" s="1572">
        <f>J20</f>
        <v>100</v>
      </c>
      <c r="X20" s="1565"/>
      <c r="Y20" s="343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439"/>
      <c r="Q21" s="1570"/>
      <c r="R21" s="1571"/>
      <c r="S21" s="1572"/>
      <c r="T21" s="1571"/>
      <c r="U21" s="1572"/>
      <c r="V21" s="1571"/>
      <c r="W21" s="1572"/>
      <c r="X21" s="1565"/>
      <c r="Y21" s="3439"/>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39"/>
      <c r="Q24" s="1570">
        <f t="shared" ref="Q24:Q34"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40"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41"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41"/>
      <c r="Q27" s="1603" t="str">
        <f t="shared" si="11"/>
        <v>成新率</v>
      </c>
      <c r="R27" s="1575" t="s">
        <v>8</v>
      </c>
      <c r="S27" s="1576" t="e">
        <f t="shared" si="12"/>
        <v>#N/A</v>
      </c>
      <c r="T27" s="1575" t="s">
        <v>8</v>
      </c>
      <c r="U27" s="1576" t="e">
        <f t="shared" si="13"/>
        <v>#N/A</v>
      </c>
      <c r="V27" s="1575" t="s">
        <v>8</v>
      </c>
      <c r="W27" s="1576" t="e">
        <f t="shared" si="14"/>
        <v>#N/A</v>
      </c>
      <c r="X27" s="1577"/>
      <c r="Y27" s="3441"/>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41"/>
      <c r="Q28" s="1570" t="str">
        <f t="shared" si="11"/>
        <v>物业等级</v>
      </c>
      <c r="R28" s="1571" t="s">
        <v>8</v>
      </c>
      <c r="S28" s="1572">
        <f t="shared" si="12"/>
        <v>100</v>
      </c>
      <c r="T28" s="1571" t="s">
        <v>8</v>
      </c>
      <c r="U28" s="1572">
        <f t="shared" si="13"/>
        <v>100</v>
      </c>
      <c r="V28" s="1571" t="s">
        <v>8</v>
      </c>
      <c r="W28" s="1572">
        <f t="shared" si="14"/>
        <v>100</v>
      </c>
      <c r="X28" s="1565"/>
      <c r="Y28" s="3441"/>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41"/>
      <c r="Q29" s="1570" t="str">
        <f t="shared" si="11"/>
        <v>有无电梯</v>
      </c>
      <c r="R29" s="1571" t="s">
        <v>8</v>
      </c>
      <c r="S29" s="1572">
        <f t="shared" si="12"/>
        <v>100</v>
      </c>
      <c r="T29" s="1571" t="s">
        <v>8</v>
      </c>
      <c r="U29" s="1572">
        <f t="shared" si="13"/>
        <v>100</v>
      </c>
      <c r="V29" s="1571" t="s">
        <v>8</v>
      </c>
      <c r="W29" s="1572">
        <f t="shared" si="14"/>
        <v>100</v>
      </c>
      <c r="X29" s="1565"/>
      <c r="Y29" s="3441"/>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41"/>
      <c r="Q30" s="1570" t="str">
        <f t="shared" si="11"/>
        <v>建筑面积</v>
      </c>
      <c r="R30" s="1571" t="s">
        <v>8</v>
      </c>
      <c r="S30" s="1572" t="e">
        <f t="shared" si="12"/>
        <v>#N/A</v>
      </c>
      <c r="T30" s="1571" t="s">
        <v>8</v>
      </c>
      <c r="U30" s="1572" t="e">
        <f t="shared" si="13"/>
        <v>#N/A</v>
      </c>
      <c r="V30" s="1571" t="s">
        <v>8</v>
      </c>
      <c r="W30" s="1572" t="e">
        <f t="shared" si="14"/>
        <v>#N/A</v>
      </c>
      <c r="X30" s="1565"/>
      <c r="Y30" s="3441"/>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41"/>
      <c r="Q31" s="1149" t="str">
        <f t="shared" si="11"/>
        <v>是否封闭</v>
      </c>
      <c r="R31" s="1566" t="s">
        <v>8</v>
      </c>
      <c r="S31" s="1567">
        <f t="shared" si="12"/>
        <v>100</v>
      </c>
      <c r="T31" s="1566" t="s">
        <v>8</v>
      </c>
      <c r="U31" s="1567">
        <f t="shared" si="13"/>
        <v>100</v>
      </c>
      <c r="V31" s="1566" t="s">
        <v>8</v>
      </c>
      <c r="W31" s="1567">
        <f t="shared" si="14"/>
        <v>100</v>
      </c>
      <c r="X31" s="1568"/>
      <c r="Y31" s="344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41" t="s">
        <v>515</v>
      </c>
      <c r="Q32" s="1570">
        <f t="shared" si="11"/>
        <v>111</v>
      </c>
      <c r="R32" s="1571" t="s">
        <v>8</v>
      </c>
      <c r="S32" s="1572">
        <f t="shared" si="12"/>
        <v>100</v>
      </c>
      <c r="T32" s="1571" t="s">
        <v>8</v>
      </c>
      <c r="U32" s="1572">
        <f t="shared" si="13"/>
        <v>100</v>
      </c>
      <c r="V32" s="1571" t="s">
        <v>8</v>
      </c>
      <c r="W32" s="1572">
        <f t="shared" si="14"/>
        <v>100</v>
      </c>
      <c r="X32" s="1565"/>
      <c r="Y32" s="3441"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41"/>
      <c r="Q33" s="1570">
        <f t="shared" si="11"/>
        <v>111</v>
      </c>
      <c r="R33" s="1571" t="s">
        <v>8</v>
      </c>
      <c r="S33" s="1572">
        <f t="shared" si="12"/>
        <v>100</v>
      </c>
      <c r="T33" s="1571" t="s">
        <v>8</v>
      </c>
      <c r="U33" s="1572">
        <f t="shared" si="13"/>
        <v>100</v>
      </c>
      <c r="V33" s="1571" t="s">
        <v>8</v>
      </c>
      <c r="W33" s="1572">
        <f t="shared" si="14"/>
        <v>100</v>
      </c>
      <c r="X33" s="1565"/>
      <c r="Y33" s="3441"/>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406" t="str">
        <f>A35</f>
        <v>成交单价（元/平方米）</v>
      </c>
      <c r="Q35" s="3406"/>
      <c r="R35" s="3520">
        <f>E35</f>
        <v>0</v>
      </c>
      <c r="S35" s="3520"/>
      <c r="T35" s="3520">
        <f>G35</f>
        <v>0</v>
      </c>
      <c r="U35" s="3520"/>
      <c r="V35" s="3520">
        <f>I35</f>
        <v>0</v>
      </c>
      <c r="W35" s="3520"/>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406" t="str">
        <f>A36</f>
        <v>比较价格（元/平方米）</v>
      </c>
      <c r="Q36" s="3406"/>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403" t="str">
        <f>A37</f>
        <v>估价对象XX用房的比较价格（楼面单价，元/平方米）</v>
      </c>
      <c r="Q37" s="3404"/>
      <c r="R37" s="3519" t="e">
        <f>IF(F1="售价",ROUND(AVERAGE(R36:V36),0),ROUND(AVERAGE(R36:V36),1))</f>
        <v>#DIV/0!</v>
      </c>
      <c r="S37" s="3519"/>
      <c r="T37" s="3519"/>
      <c r="U37" s="3519"/>
      <c r="V37" s="3519"/>
      <c r="W37" s="351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2019-9</v>
      </c>
      <c r="D46" s="2803">
        <f>EDATE(C46,-1)</f>
        <v>43678</v>
      </c>
      <c r="E46" s="2803">
        <f t="shared" ref="E46:O46" si="16">EDATE(D46,-1)</f>
        <v>43647</v>
      </c>
      <c r="F46" s="2803">
        <f t="shared" si="16"/>
        <v>43617</v>
      </c>
      <c r="G46" s="2803">
        <f t="shared" si="16"/>
        <v>43586</v>
      </c>
      <c r="H46" s="2803">
        <f t="shared" si="16"/>
        <v>43556</v>
      </c>
      <c r="I46" s="2803">
        <f t="shared" si="16"/>
        <v>43525</v>
      </c>
      <c r="J46" s="2803">
        <f t="shared" si="16"/>
        <v>43497</v>
      </c>
      <c r="K46" s="2803">
        <f t="shared" si="16"/>
        <v>43466</v>
      </c>
      <c r="L46" s="2803">
        <f t="shared" si="16"/>
        <v>43435</v>
      </c>
      <c r="M46" s="2803">
        <f t="shared" si="16"/>
        <v>43405</v>
      </c>
      <c r="N46" s="2803">
        <f t="shared" si="16"/>
        <v>43374</v>
      </c>
      <c r="O46" s="2803">
        <f t="shared" si="16"/>
        <v>43344</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533" t="s">
        <v>2266</v>
      </c>
      <c r="D1" s="3534"/>
      <c r="E1" s="3534"/>
      <c r="F1" s="3534"/>
      <c r="G1" s="3534"/>
      <c r="H1" s="3534"/>
      <c r="I1" s="3534"/>
      <c r="J1" s="3534"/>
      <c r="K1" s="3534"/>
      <c r="L1" s="3534"/>
      <c r="M1" s="3534"/>
      <c r="N1" s="3534"/>
      <c r="O1" s="3534"/>
      <c r="P1" s="3534"/>
      <c r="Q1" s="3534"/>
      <c r="R1" s="3534"/>
      <c r="S1" s="3535"/>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530" t="s">
        <v>19</v>
      </c>
      <c r="D22" s="3531"/>
      <c r="E22" s="3531"/>
      <c r="F22" s="3531"/>
      <c r="G22" s="3531"/>
      <c r="H22" s="3531"/>
      <c r="I22" s="3531"/>
      <c r="J22" s="3531"/>
      <c r="K22" s="3531"/>
      <c r="L22" s="3531"/>
      <c r="M22" s="3531"/>
      <c r="N22" s="3531"/>
      <c r="O22" s="3531"/>
      <c r="P22" s="3531"/>
      <c r="Q22" s="3532"/>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43718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2</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1"/>
  <sheetViews>
    <sheetView zoomScale="85" zoomScaleNormal="85" workbookViewId="0">
      <selection activeCell="A16" sqref="A16"/>
    </sheetView>
  </sheetViews>
  <sheetFormatPr defaultRowHeight="14.4"/>
  <cols>
    <col min="1" max="1" width="19.21875" style="2938" customWidth="1"/>
    <col min="2" max="2" width="7.109375" style="2938" hidden="1" customWidth="1"/>
    <col min="3" max="3" width="15.88671875" style="2938" customWidth="1"/>
    <col min="4" max="4" width="7.109375" style="2938" customWidth="1"/>
    <col min="5" max="5" width="5.21875" style="2938" customWidth="1"/>
    <col min="6" max="6" width="25.21875" style="2938" hidden="1" customWidth="1"/>
    <col min="7" max="8" width="9" style="2938" customWidth="1"/>
    <col min="9" max="9" width="16.109375" style="2938" customWidth="1"/>
    <col min="10" max="10" width="11" style="2938" customWidth="1"/>
    <col min="11" max="11" width="12" style="2938" customWidth="1"/>
    <col min="12" max="12" width="11.77734375" style="2938" customWidth="1"/>
    <col min="13" max="13" width="9" style="2938" hidden="1" customWidth="1"/>
    <col min="14" max="14" width="13.44140625" style="2938" hidden="1" customWidth="1"/>
    <col min="15" max="15" width="9" style="2938" hidden="1" customWidth="1"/>
    <col min="16" max="16" width="11.33203125" style="2938" customWidth="1"/>
    <col min="17" max="18" width="17.77734375" style="2938" hidden="1" customWidth="1"/>
    <col min="19" max="19" width="14.77734375" style="2938" hidden="1" customWidth="1"/>
    <col min="20" max="20" width="12.88671875" style="2938" hidden="1" customWidth="1"/>
    <col min="21" max="21" width="9" style="2938" customWidth="1"/>
    <col min="22" max="22" width="20.33203125" style="2938" hidden="1" customWidth="1"/>
    <col min="23" max="23" width="9" style="2938" hidden="1" customWidth="1"/>
    <col min="24" max="26" width="10.21875" style="2938" hidden="1" customWidth="1"/>
    <col min="27" max="27" width="10.21875" style="2938" customWidth="1"/>
    <col min="28" max="28" width="24.88671875" style="2938" hidden="1" customWidth="1"/>
    <col min="29" max="29" width="9" style="2938" hidden="1" customWidth="1"/>
    <col min="30" max="30" width="33.6640625" style="2938" customWidth="1"/>
    <col min="31" max="32" width="12.109375" style="2938" hidden="1" customWidth="1"/>
    <col min="33" max="33" width="12.109375" style="2938" customWidth="1"/>
    <col min="34" max="34" width="18.21875" style="2938" hidden="1" customWidth="1"/>
    <col min="35" max="35" width="15.21875" style="2938" customWidth="1"/>
    <col min="36" max="36" width="16.33203125" style="2938" hidden="1" customWidth="1"/>
    <col min="37" max="37" width="16.33203125" style="2938" customWidth="1"/>
    <col min="38" max="39" width="25" style="2938" hidden="1" customWidth="1"/>
    <col min="40" max="40" width="7.109375" style="2938" customWidth="1"/>
    <col min="41" max="41" width="18.44140625" style="2938" customWidth="1"/>
    <col min="42" max="42" width="19.21875" style="2938" hidden="1" customWidth="1"/>
    <col min="43" max="44" width="23" style="2938" hidden="1" customWidth="1"/>
    <col min="45" max="45" width="9" style="2938" customWidth="1"/>
    <col min="46" max="256" width="8.88671875" style="2938"/>
    <col min="257" max="257" width="25.21875" style="2938" customWidth="1"/>
    <col min="258" max="258" width="7.109375" style="2938" customWidth="1"/>
    <col min="259" max="259" width="15.88671875" style="2938" customWidth="1"/>
    <col min="260" max="260" width="7.109375" style="2938" customWidth="1"/>
    <col min="261" max="261" width="5.21875" style="2938" customWidth="1"/>
    <col min="262" max="262" width="25.21875" style="2938" customWidth="1"/>
    <col min="263" max="264" width="9" style="2938" customWidth="1"/>
    <col min="265" max="265" width="33.6640625" style="2938" customWidth="1"/>
    <col min="266" max="267" width="15.88671875" style="2938" customWidth="1"/>
    <col min="268" max="268" width="16.6640625" style="2938" customWidth="1"/>
    <col min="269" max="269" width="9" style="2938" customWidth="1"/>
    <col min="270" max="270" width="13.44140625" style="2938" customWidth="1"/>
    <col min="271" max="271" width="9" style="2938" customWidth="1"/>
    <col min="272" max="272" width="11.33203125" style="2938" customWidth="1"/>
    <col min="273" max="274" width="17.77734375" style="2938" customWidth="1"/>
    <col min="275" max="275" width="14.77734375" style="2938" customWidth="1"/>
    <col min="276" max="277" width="12.88671875" style="2938" customWidth="1"/>
    <col min="278" max="278" width="0" style="2938" hidden="1" customWidth="1"/>
    <col min="279" max="279" width="9" style="2938" customWidth="1"/>
    <col min="280" max="283" width="10.21875" style="2938" customWidth="1"/>
    <col min="284" max="284" width="24.88671875" style="2938" customWidth="1"/>
    <col min="285" max="285" width="9" style="2938" customWidth="1"/>
    <col min="286" max="286" width="33.6640625" style="2938" customWidth="1"/>
    <col min="287" max="288" width="0" style="2938" hidden="1" customWidth="1"/>
    <col min="289" max="289" width="12.109375" style="2938" customWidth="1"/>
    <col min="290" max="290" width="0" style="2938" hidden="1" customWidth="1"/>
    <col min="291" max="291" width="18.21875" style="2938" customWidth="1"/>
    <col min="292" max="292" width="0" style="2938" hidden="1" customWidth="1"/>
    <col min="293" max="293" width="16.33203125" style="2938" customWidth="1"/>
    <col min="294" max="295" width="0" style="2938" hidden="1" customWidth="1"/>
    <col min="296" max="296" width="7.109375" style="2938" customWidth="1"/>
    <col min="297" max="297" width="18.44140625" style="2938" customWidth="1"/>
    <col min="298" max="300" width="0" style="2938" hidden="1" customWidth="1"/>
    <col min="301" max="301" width="9" style="2938" customWidth="1"/>
    <col min="302" max="512" width="8.88671875" style="2938"/>
    <col min="513" max="513" width="25.21875" style="2938" customWidth="1"/>
    <col min="514" max="514" width="7.109375" style="2938" customWidth="1"/>
    <col min="515" max="515" width="15.88671875" style="2938" customWidth="1"/>
    <col min="516" max="516" width="7.109375" style="2938" customWidth="1"/>
    <col min="517" max="517" width="5.21875" style="2938" customWidth="1"/>
    <col min="518" max="518" width="25.21875" style="2938" customWidth="1"/>
    <col min="519" max="520" width="9" style="2938" customWidth="1"/>
    <col min="521" max="521" width="33.6640625" style="2938" customWidth="1"/>
    <col min="522" max="523" width="15.88671875" style="2938" customWidth="1"/>
    <col min="524" max="524" width="16.6640625" style="2938" customWidth="1"/>
    <col min="525" max="525" width="9" style="2938" customWidth="1"/>
    <col min="526" max="526" width="13.44140625" style="2938" customWidth="1"/>
    <col min="527" max="527" width="9" style="2938" customWidth="1"/>
    <col min="528" max="528" width="11.33203125" style="2938" customWidth="1"/>
    <col min="529" max="530" width="17.77734375" style="2938" customWidth="1"/>
    <col min="531" max="531" width="14.77734375" style="2938" customWidth="1"/>
    <col min="532" max="533" width="12.88671875" style="2938" customWidth="1"/>
    <col min="534" max="534" width="0" style="2938" hidden="1" customWidth="1"/>
    <col min="535" max="535" width="9" style="2938" customWidth="1"/>
    <col min="536" max="539" width="10.21875" style="2938" customWidth="1"/>
    <col min="540" max="540" width="24.88671875" style="2938" customWidth="1"/>
    <col min="541" max="541" width="9" style="2938" customWidth="1"/>
    <col min="542" max="542" width="33.6640625" style="2938" customWidth="1"/>
    <col min="543" max="544" width="0" style="2938" hidden="1" customWidth="1"/>
    <col min="545" max="545" width="12.109375" style="2938" customWidth="1"/>
    <col min="546" max="546" width="0" style="2938" hidden="1" customWidth="1"/>
    <col min="547" max="547" width="18.21875" style="2938" customWidth="1"/>
    <col min="548" max="548" width="0" style="2938" hidden="1" customWidth="1"/>
    <col min="549" max="549" width="16.33203125" style="2938" customWidth="1"/>
    <col min="550" max="551" width="0" style="2938" hidden="1" customWidth="1"/>
    <col min="552" max="552" width="7.109375" style="2938" customWidth="1"/>
    <col min="553" max="553" width="18.44140625" style="2938" customWidth="1"/>
    <col min="554" max="556" width="0" style="2938" hidden="1" customWidth="1"/>
    <col min="557" max="557" width="9" style="2938" customWidth="1"/>
    <col min="558" max="768" width="8.88671875" style="2938"/>
    <col min="769" max="769" width="25.21875" style="2938" customWidth="1"/>
    <col min="770" max="770" width="7.109375" style="2938" customWidth="1"/>
    <col min="771" max="771" width="15.88671875" style="2938" customWidth="1"/>
    <col min="772" max="772" width="7.109375" style="2938" customWidth="1"/>
    <col min="773" max="773" width="5.21875" style="2938" customWidth="1"/>
    <col min="774" max="774" width="25.21875" style="2938" customWidth="1"/>
    <col min="775" max="776" width="9" style="2938" customWidth="1"/>
    <col min="777" max="777" width="33.6640625" style="2938" customWidth="1"/>
    <col min="778" max="779" width="15.88671875" style="2938" customWidth="1"/>
    <col min="780" max="780" width="16.6640625" style="2938" customWidth="1"/>
    <col min="781" max="781" width="9" style="2938" customWidth="1"/>
    <col min="782" max="782" width="13.44140625" style="2938" customWidth="1"/>
    <col min="783" max="783" width="9" style="2938" customWidth="1"/>
    <col min="784" max="784" width="11.33203125" style="2938" customWidth="1"/>
    <col min="785" max="786" width="17.77734375" style="2938" customWidth="1"/>
    <col min="787" max="787" width="14.77734375" style="2938" customWidth="1"/>
    <col min="788" max="789" width="12.88671875" style="2938" customWidth="1"/>
    <col min="790" max="790" width="0" style="2938" hidden="1" customWidth="1"/>
    <col min="791" max="791" width="9" style="2938" customWidth="1"/>
    <col min="792" max="795" width="10.21875" style="2938" customWidth="1"/>
    <col min="796" max="796" width="24.88671875" style="2938" customWidth="1"/>
    <col min="797" max="797" width="9" style="2938" customWidth="1"/>
    <col min="798" max="798" width="33.6640625" style="2938" customWidth="1"/>
    <col min="799" max="800" width="0" style="2938" hidden="1" customWidth="1"/>
    <col min="801" max="801" width="12.109375" style="2938" customWidth="1"/>
    <col min="802" max="802" width="0" style="2938" hidden="1" customWidth="1"/>
    <col min="803" max="803" width="18.21875" style="2938" customWidth="1"/>
    <col min="804" max="804" width="0" style="2938" hidden="1" customWidth="1"/>
    <col min="805" max="805" width="16.33203125" style="2938" customWidth="1"/>
    <col min="806" max="807" width="0" style="2938" hidden="1" customWidth="1"/>
    <col min="808" max="808" width="7.109375" style="2938" customWidth="1"/>
    <col min="809" max="809" width="18.44140625" style="2938" customWidth="1"/>
    <col min="810" max="812" width="0" style="2938" hidden="1" customWidth="1"/>
    <col min="813" max="813" width="9" style="2938" customWidth="1"/>
    <col min="814" max="1024" width="8.88671875" style="2938"/>
    <col min="1025" max="1025" width="25.21875" style="2938" customWidth="1"/>
    <col min="1026" max="1026" width="7.109375" style="2938" customWidth="1"/>
    <col min="1027" max="1027" width="15.88671875" style="2938" customWidth="1"/>
    <col min="1028" max="1028" width="7.109375" style="2938" customWidth="1"/>
    <col min="1029" max="1029" width="5.21875" style="2938" customWidth="1"/>
    <col min="1030" max="1030" width="25.21875" style="2938" customWidth="1"/>
    <col min="1031" max="1032" width="9" style="2938" customWidth="1"/>
    <col min="1033" max="1033" width="33.6640625" style="2938" customWidth="1"/>
    <col min="1034" max="1035" width="15.88671875" style="2938" customWidth="1"/>
    <col min="1036" max="1036" width="16.6640625" style="2938" customWidth="1"/>
    <col min="1037" max="1037" width="9" style="2938" customWidth="1"/>
    <col min="1038" max="1038" width="13.44140625" style="2938" customWidth="1"/>
    <col min="1039" max="1039" width="9" style="2938" customWidth="1"/>
    <col min="1040" max="1040" width="11.33203125" style="2938" customWidth="1"/>
    <col min="1041" max="1042" width="17.77734375" style="2938" customWidth="1"/>
    <col min="1043" max="1043" width="14.77734375" style="2938" customWidth="1"/>
    <col min="1044" max="1045" width="12.88671875" style="2938" customWidth="1"/>
    <col min="1046" max="1046" width="0" style="2938" hidden="1" customWidth="1"/>
    <col min="1047" max="1047" width="9" style="2938" customWidth="1"/>
    <col min="1048" max="1051" width="10.21875" style="2938" customWidth="1"/>
    <col min="1052" max="1052" width="24.88671875" style="2938" customWidth="1"/>
    <col min="1053" max="1053" width="9" style="2938" customWidth="1"/>
    <col min="1054" max="1054" width="33.6640625" style="2938" customWidth="1"/>
    <col min="1055" max="1056" width="0" style="2938" hidden="1" customWidth="1"/>
    <col min="1057" max="1057" width="12.109375" style="2938" customWidth="1"/>
    <col min="1058" max="1058" width="0" style="2938" hidden="1" customWidth="1"/>
    <col min="1059" max="1059" width="18.21875" style="2938" customWidth="1"/>
    <col min="1060" max="1060" width="0" style="2938" hidden="1" customWidth="1"/>
    <col min="1061" max="1061" width="16.33203125" style="2938" customWidth="1"/>
    <col min="1062" max="1063" width="0" style="2938" hidden="1" customWidth="1"/>
    <col min="1064" max="1064" width="7.109375" style="2938" customWidth="1"/>
    <col min="1065" max="1065" width="18.44140625" style="2938" customWidth="1"/>
    <col min="1066" max="1068" width="0" style="2938" hidden="1" customWidth="1"/>
    <col min="1069" max="1069" width="9" style="2938" customWidth="1"/>
    <col min="1070" max="1280" width="8.88671875" style="2938"/>
    <col min="1281" max="1281" width="25.21875" style="2938" customWidth="1"/>
    <col min="1282" max="1282" width="7.109375" style="2938" customWidth="1"/>
    <col min="1283" max="1283" width="15.88671875" style="2938" customWidth="1"/>
    <col min="1284" max="1284" width="7.109375" style="2938" customWidth="1"/>
    <col min="1285" max="1285" width="5.21875" style="2938" customWidth="1"/>
    <col min="1286" max="1286" width="25.21875" style="2938" customWidth="1"/>
    <col min="1287" max="1288" width="9" style="2938" customWidth="1"/>
    <col min="1289" max="1289" width="33.6640625" style="2938" customWidth="1"/>
    <col min="1290" max="1291" width="15.88671875" style="2938" customWidth="1"/>
    <col min="1292" max="1292" width="16.6640625" style="2938" customWidth="1"/>
    <col min="1293" max="1293" width="9" style="2938" customWidth="1"/>
    <col min="1294" max="1294" width="13.44140625" style="2938" customWidth="1"/>
    <col min="1295" max="1295" width="9" style="2938" customWidth="1"/>
    <col min="1296" max="1296" width="11.33203125" style="2938" customWidth="1"/>
    <col min="1297" max="1298" width="17.77734375" style="2938" customWidth="1"/>
    <col min="1299" max="1299" width="14.77734375" style="2938" customWidth="1"/>
    <col min="1300" max="1301" width="12.88671875" style="2938" customWidth="1"/>
    <col min="1302" max="1302" width="0" style="2938" hidden="1" customWidth="1"/>
    <col min="1303" max="1303" width="9" style="2938" customWidth="1"/>
    <col min="1304" max="1307" width="10.21875" style="2938" customWidth="1"/>
    <col min="1308" max="1308" width="24.88671875" style="2938" customWidth="1"/>
    <col min="1309" max="1309" width="9" style="2938" customWidth="1"/>
    <col min="1310" max="1310" width="33.6640625" style="2938" customWidth="1"/>
    <col min="1311" max="1312" width="0" style="2938" hidden="1" customWidth="1"/>
    <col min="1313" max="1313" width="12.109375" style="2938" customWidth="1"/>
    <col min="1314" max="1314" width="0" style="2938" hidden="1" customWidth="1"/>
    <col min="1315" max="1315" width="18.21875" style="2938" customWidth="1"/>
    <col min="1316" max="1316" width="0" style="2938" hidden="1" customWidth="1"/>
    <col min="1317" max="1317" width="16.33203125" style="2938" customWidth="1"/>
    <col min="1318" max="1319" width="0" style="2938" hidden="1" customWidth="1"/>
    <col min="1320" max="1320" width="7.109375" style="2938" customWidth="1"/>
    <col min="1321" max="1321" width="18.44140625" style="2938" customWidth="1"/>
    <col min="1322" max="1324" width="0" style="2938" hidden="1" customWidth="1"/>
    <col min="1325" max="1325" width="9" style="2938" customWidth="1"/>
    <col min="1326" max="1536" width="8.88671875" style="2938"/>
    <col min="1537" max="1537" width="25.21875" style="2938" customWidth="1"/>
    <col min="1538" max="1538" width="7.109375" style="2938" customWidth="1"/>
    <col min="1539" max="1539" width="15.88671875" style="2938" customWidth="1"/>
    <col min="1540" max="1540" width="7.109375" style="2938" customWidth="1"/>
    <col min="1541" max="1541" width="5.21875" style="2938" customWidth="1"/>
    <col min="1542" max="1542" width="25.21875" style="2938" customWidth="1"/>
    <col min="1543" max="1544" width="9" style="2938" customWidth="1"/>
    <col min="1545" max="1545" width="33.6640625" style="2938" customWidth="1"/>
    <col min="1546" max="1547" width="15.88671875" style="2938" customWidth="1"/>
    <col min="1548" max="1548" width="16.6640625" style="2938" customWidth="1"/>
    <col min="1549" max="1549" width="9" style="2938" customWidth="1"/>
    <col min="1550" max="1550" width="13.44140625" style="2938" customWidth="1"/>
    <col min="1551" max="1551" width="9" style="2938" customWidth="1"/>
    <col min="1552" max="1552" width="11.33203125" style="2938" customWidth="1"/>
    <col min="1553" max="1554" width="17.77734375" style="2938" customWidth="1"/>
    <col min="1555" max="1555" width="14.77734375" style="2938" customWidth="1"/>
    <col min="1556" max="1557" width="12.88671875" style="2938" customWidth="1"/>
    <col min="1558" max="1558" width="0" style="2938" hidden="1" customWidth="1"/>
    <col min="1559" max="1559" width="9" style="2938" customWidth="1"/>
    <col min="1560" max="1563" width="10.21875" style="2938" customWidth="1"/>
    <col min="1564" max="1564" width="24.88671875" style="2938" customWidth="1"/>
    <col min="1565" max="1565" width="9" style="2938" customWidth="1"/>
    <col min="1566" max="1566" width="33.6640625" style="2938" customWidth="1"/>
    <col min="1567" max="1568" width="0" style="2938" hidden="1" customWidth="1"/>
    <col min="1569" max="1569" width="12.109375" style="2938" customWidth="1"/>
    <col min="1570" max="1570" width="0" style="2938" hidden="1" customWidth="1"/>
    <col min="1571" max="1571" width="18.21875" style="2938" customWidth="1"/>
    <col min="1572" max="1572" width="0" style="2938" hidden="1" customWidth="1"/>
    <col min="1573" max="1573" width="16.33203125" style="2938" customWidth="1"/>
    <col min="1574" max="1575" width="0" style="2938" hidden="1" customWidth="1"/>
    <col min="1576" max="1576" width="7.109375" style="2938" customWidth="1"/>
    <col min="1577" max="1577" width="18.44140625" style="2938" customWidth="1"/>
    <col min="1578" max="1580" width="0" style="2938" hidden="1" customWidth="1"/>
    <col min="1581" max="1581" width="9" style="2938" customWidth="1"/>
    <col min="1582" max="1792" width="8.88671875" style="2938"/>
    <col min="1793" max="1793" width="25.21875" style="2938" customWidth="1"/>
    <col min="1794" max="1794" width="7.109375" style="2938" customWidth="1"/>
    <col min="1795" max="1795" width="15.88671875" style="2938" customWidth="1"/>
    <col min="1796" max="1796" width="7.109375" style="2938" customWidth="1"/>
    <col min="1797" max="1797" width="5.21875" style="2938" customWidth="1"/>
    <col min="1798" max="1798" width="25.21875" style="2938" customWidth="1"/>
    <col min="1799" max="1800" width="9" style="2938" customWidth="1"/>
    <col min="1801" max="1801" width="33.6640625" style="2938" customWidth="1"/>
    <col min="1802" max="1803" width="15.88671875" style="2938" customWidth="1"/>
    <col min="1804" max="1804" width="16.6640625" style="2938" customWidth="1"/>
    <col min="1805" max="1805" width="9" style="2938" customWidth="1"/>
    <col min="1806" max="1806" width="13.44140625" style="2938" customWidth="1"/>
    <col min="1807" max="1807" width="9" style="2938" customWidth="1"/>
    <col min="1808" max="1808" width="11.33203125" style="2938" customWidth="1"/>
    <col min="1809" max="1810" width="17.77734375" style="2938" customWidth="1"/>
    <col min="1811" max="1811" width="14.77734375" style="2938" customWidth="1"/>
    <col min="1812" max="1813" width="12.88671875" style="2938" customWidth="1"/>
    <col min="1814" max="1814" width="0" style="2938" hidden="1" customWidth="1"/>
    <col min="1815" max="1815" width="9" style="2938" customWidth="1"/>
    <col min="1816" max="1819" width="10.21875" style="2938" customWidth="1"/>
    <col min="1820" max="1820" width="24.88671875" style="2938" customWidth="1"/>
    <col min="1821" max="1821" width="9" style="2938" customWidth="1"/>
    <col min="1822" max="1822" width="33.6640625" style="2938" customWidth="1"/>
    <col min="1823" max="1824" width="0" style="2938" hidden="1" customWidth="1"/>
    <col min="1825" max="1825" width="12.109375" style="2938" customWidth="1"/>
    <col min="1826" max="1826" width="0" style="2938" hidden="1" customWidth="1"/>
    <col min="1827" max="1827" width="18.21875" style="2938" customWidth="1"/>
    <col min="1828" max="1828" width="0" style="2938" hidden="1" customWidth="1"/>
    <col min="1829" max="1829" width="16.33203125" style="2938" customWidth="1"/>
    <col min="1830" max="1831" width="0" style="2938" hidden="1" customWidth="1"/>
    <col min="1832" max="1832" width="7.109375" style="2938" customWidth="1"/>
    <col min="1833" max="1833" width="18.44140625" style="2938" customWidth="1"/>
    <col min="1834" max="1836" width="0" style="2938" hidden="1" customWidth="1"/>
    <col min="1837" max="1837" width="9" style="2938" customWidth="1"/>
    <col min="1838" max="2048" width="8.88671875" style="2938"/>
    <col min="2049" max="2049" width="25.21875" style="2938" customWidth="1"/>
    <col min="2050" max="2050" width="7.109375" style="2938" customWidth="1"/>
    <col min="2051" max="2051" width="15.88671875" style="2938" customWidth="1"/>
    <col min="2052" max="2052" width="7.109375" style="2938" customWidth="1"/>
    <col min="2053" max="2053" width="5.21875" style="2938" customWidth="1"/>
    <col min="2054" max="2054" width="25.21875" style="2938" customWidth="1"/>
    <col min="2055" max="2056" width="9" style="2938" customWidth="1"/>
    <col min="2057" max="2057" width="33.6640625" style="2938" customWidth="1"/>
    <col min="2058" max="2059" width="15.88671875" style="2938" customWidth="1"/>
    <col min="2060" max="2060" width="16.6640625" style="2938" customWidth="1"/>
    <col min="2061" max="2061" width="9" style="2938" customWidth="1"/>
    <col min="2062" max="2062" width="13.44140625" style="2938" customWidth="1"/>
    <col min="2063" max="2063" width="9" style="2938" customWidth="1"/>
    <col min="2064" max="2064" width="11.33203125" style="2938" customWidth="1"/>
    <col min="2065" max="2066" width="17.77734375" style="2938" customWidth="1"/>
    <col min="2067" max="2067" width="14.77734375" style="2938" customWidth="1"/>
    <col min="2068" max="2069" width="12.88671875" style="2938" customWidth="1"/>
    <col min="2070" max="2070" width="0" style="2938" hidden="1" customWidth="1"/>
    <col min="2071" max="2071" width="9" style="2938" customWidth="1"/>
    <col min="2072" max="2075" width="10.21875" style="2938" customWidth="1"/>
    <col min="2076" max="2076" width="24.88671875" style="2938" customWidth="1"/>
    <col min="2077" max="2077" width="9" style="2938" customWidth="1"/>
    <col min="2078" max="2078" width="33.6640625" style="2938" customWidth="1"/>
    <col min="2079" max="2080" width="0" style="2938" hidden="1" customWidth="1"/>
    <col min="2081" max="2081" width="12.109375" style="2938" customWidth="1"/>
    <col min="2082" max="2082" width="0" style="2938" hidden="1" customWidth="1"/>
    <col min="2083" max="2083" width="18.21875" style="2938" customWidth="1"/>
    <col min="2084" max="2084" width="0" style="2938" hidden="1" customWidth="1"/>
    <col min="2085" max="2085" width="16.33203125" style="2938" customWidth="1"/>
    <col min="2086" max="2087" width="0" style="2938" hidden="1" customWidth="1"/>
    <col min="2088" max="2088" width="7.109375" style="2938" customWidth="1"/>
    <col min="2089" max="2089" width="18.44140625" style="2938" customWidth="1"/>
    <col min="2090" max="2092" width="0" style="2938" hidden="1" customWidth="1"/>
    <col min="2093" max="2093" width="9" style="2938" customWidth="1"/>
    <col min="2094" max="2304" width="8.88671875" style="2938"/>
    <col min="2305" max="2305" width="25.21875" style="2938" customWidth="1"/>
    <col min="2306" max="2306" width="7.109375" style="2938" customWidth="1"/>
    <col min="2307" max="2307" width="15.88671875" style="2938" customWidth="1"/>
    <col min="2308" max="2308" width="7.109375" style="2938" customWidth="1"/>
    <col min="2309" max="2309" width="5.21875" style="2938" customWidth="1"/>
    <col min="2310" max="2310" width="25.21875" style="2938" customWidth="1"/>
    <col min="2311" max="2312" width="9" style="2938" customWidth="1"/>
    <col min="2313" max="2313" width="33.6640625" style="2938" customWidth="1"/>
    <col min="2314" max="2315" width="15.88671875" style="2938" customWidth="1"/>
    <col min="2316" max="2316" width="16.6640625" style="2938" customWidth="1"/>
    <col min="2317" max="2317" width="9" style="2938" customWidth="1"/>
    <col min="2318" max="2318" width="13.44140625" style="2938" customWidth="1"/>
    <col min="2319" max="2319" width="9" style="2938" customWidth="1"/>
    <col min="2320" max="2320" width="11.33203125" style="2938" customWidth="1"/>
    <col min="2321" max="2322" width="17.77734375" style="2938" customWidth="1"/>
    <col min="2323" max="2323" width="14.77734375" style="2938" customWidth="1"/>
    <col min="2324" max="2325" width="12.88671875" style="2938" customWidth="1"/>
    <col min="2326" max="2326" width="0" style="2938" hidden="1" customWidth="1"/>
    <col min="2327" max="2327" width="9" style="2938" customWidth="1"/>
    <col min="2328" max="2331" width="10.21875" style="2938" customWidth="1"/>
    <col min="2332" max="2332" width="24.88671875" style="2938" customWidth="1"/>
    <col min="2333" max="2333" width="9" style="2938" customWidth="1"/>
    <col min="2334" max="2334" width="33.6640625" style="2938" customWidth="1"/>
    <col min="2335" max="2336" width="0" style="2938" hidden="1" customWidth="1"/>
    <col min="2337" max="2337" width="12.109375" style="2938" customWidth="1"/>
    <col min="2338" max="2338" width="0" style="2938" hidden="1" customWidth="1"/>
    <col min="2339" max="2339" width="18.21875" style="2938" customWidth="1"/>
    <col min="2340" max="2340" width="0" style="2938" hidden="1" customWidth="1"/>
    <col min="2341" max="2341" width="16.33203125" style="2938" customWidth="1"/>
    <col min="2342" max="2343" width="0" style="2938" hidden="1" customWidth="1"/>
    <col min="2344" max="2344" width="7.109375" style="2938" customWidth="1"/>
    <col min="2345" max="2345" width="18.44140625" style="2938" customWidth="1"/>
    <col min="2346" max="2348" width="0" style="2938" hidden="1" customWidth="1"/>
    <col min="2349" max="2349" width="9" style="2938" customWidth="1"/>
    <col min="2350" max="2560" width="8.88671875" style="2938"/>
    <col min="2561" max="2561" width="25.21875" style="2938" customWidth="1"/>
    <col min="2562" max="2562" width="7.109375" style="2938" customWidth="1"/>
    <col min="2563" max="2563" width="15.88671875" style="2938" customWidth="1"/>
    <col min="2564" max="2564" width="7.109375" style="2938" customWidth="1"/>
    <col min="2565" max="2565" width="5.21875" style="2938" customWidth="1"/>
    <col min="2566" max="2566" width="25.21875" style="2938" customWidth="1"/>
    <col min="2567" max="2568" width="9" style="2938" customWidth="1"/>
    <col min="2569" max="2569" width="33.6640625" style="2938" customWidth="1"/>
    <col min="2570" max="2571" width="15.88671875" style="2938" customWidth="1"/>
    <col min="2572" max="2572" width="16.6640625" style="2938" customWidth="1"/>
    <col min="2573" max="2573" width="9" style="2938" customWidth="1"/>
    <col min="2574" max="2574" width="13.44140625" style="2938" customWidth="1"/>
    <col min="2575" max="2575" width="9" style="2938" customWidth="1"/>
    <col min="2576" max="2576" width="11.33203125" style="2938" customWidth="1"/>
    <col min="2577" max="2578" width="17.77734375" style="2938" customWidth="1"/>
    <col min="2579" max="2579" width="14.77734375" style="2938" customWidth="1"/>
    <col min="2580" max="2581" width="12.88671875" style="2938" customWidth="1"/>
    <col min="2582" max="2582" width="0" style="2938" hidden="1" customWidth="1"/>
    <col min="2583" max="2583" width="9" style="2938" customWidth="1"/>
    <col min="2584" max="2587" width="10.21875" style="2938" customWidth="1"/>
    <col min="2588" max="2588" width="24.88671875" style="2938" customWidth="1"/>
    <col min="2589" max="2589" width="9" style="2938" customWidth="1"/>
    <col min="2590" max="2590" width="33.6640625" style="2938" customWidth="1"/>
    <col min="2591" max="2592" width="0" style="2938" hidden="1" customWidth="1"/>
    <col min="2593" max="2593" width="12.109375" style="2938" customWidth="1"/>
    <col min="2594" max="2594" width="0" style="2938" hidden="1" customWidth="1"/>
    <col min="2595" max="2595" width="18.21875" style="2938" customWidth="1"/>
    <col min="2596" max="2596" width="0" style="2938" hidden="1" customWidth="1"/>
    <col min="2597" max="2597" width="16.33203125" style="2938" customWidth="1"/>
    <col min="2598" max="2599" width="0" style="2938" hidden="1" customWidth="1"/>
    <col min="2600" max="2600" width="7.109375" style="2938" customWidth="1"/>
    <col min="2601" max="2601" width="18.44140625" style="2938" customWidth="1"/>
    <col min="2602" max="2604" width="0" style="2938" hidden="1" customWidth="1"/>
    <col min="2605" max="2605" width="9" style="2938" customWidth="1"/>
    <col min="2606" max="2816" width="8.88671875" style="2938"/>
    <col min="2817" max="2817" width="25.21875" style="2938" customWidth="1"/>
    <col min="2818" max="2818" width="7.109375" style="2938" customWidth="1"/>
    <col min="2819" max="2819" width="15.88671875" style="2938" customWidth="1"/>
    <col min="2820" max="2820" width="7.109375" style="2938" customWidth="1"/>
    <col min="2821" max="2821" width="5.21875" style="2938" customWidth="1"/>
    <col min="2822" max="2822" width="25.21875" style="2938" customWidth="1"/>
    <col min="2823" max="2824" width="9" style="2938" customWidth="1"/>
    <col min="2825" max="2825" width="33.6640625" style="2938" customWidth="1"/>
    <col min="2826" max="2827" width="15.88671875" style="2938" customWidth="1"/>
    <col min="2828" max="2828" width="16.6640625" style="2938" customWidth="1"/>
    <col min="2829" max="2829" width="9" style="2938" customWidth="1"/>
    <col min="2830" max="2830" width="13.44140625" style="2938" customWidth="1"/>
    <col min="2831" max="2831" width="9" style="2938" customWidth="1"/>
    <col min="2832" max="2832" width="11.33203125" style="2938" customWidth="1"/>
    <col min="2833" max="2834" width="17.77734375" style="2938" customWidth="1"/>
    <col min="2835" max="2835" width="14.77734375" style="2938" customWidth="1"/>
    <col min="2836" max="2837" width="12.88671875" style="2938" customWidth="1"/>
    <col min="2838" max="2838" width="0" style="2938" hidden="1" customWidth="1"/>
    <col min="2839" max="2839" width="9" style="2938" customWidth="1"/>
    <col min="2840" max="2843" width="10.21875" style="2938" customWidth="1"/>
    <col min="2844" max="2844" width="24.88671875" style="2938" customWidth="1"/>
    <col min="2845" max="2845" width="9" style="2938" customWidth="1"/>
    <col min="2846" max="2846" width="33.6640625" style="2938" customWidth="1"/>
    <col min="2847" max="2848" width="0" style="2938" hidden="1" customWidth="1"/>
    <col min="2849" max="2849" width="12.109375" style="2938" customWidth="1"/>
    <col min="2850" max="2850" width="0" style="2938" hidden="1" customWidth="1"/>
    <col min="2851" max="2851" width="18.21875" style="2938" customWidth="1"/>
    <col min="2852" max="2852" width="0" style="2938" hidden="1" customWidth="1"/>
    <col min="2853" max="2853" width="16.33203125" style="2938" customWidth="1"/>
    <col min="2854" max="2855" width="0" style="2938" hidden="1" customWidth="1"/>
    <col min="2856" max="2856" width="7.109375" style="2938" customWidth="1"/>
    <col min="2857" max="2857" width="18.44140625" style="2938" customWidth="1"/>
    <col min="2858" max="2860" width="0" style="2938" hidden="1" customWidth="1"/>
    <col min="2861" max="2861" width="9" style="2938" customWidth="1"/>
    <col min="2862" max="3072" width="8.88671875" style="2938"/>
    <col min="3073" max="3073" width="25.21875" style="2938" customWidth="1"/>
    <col min="3074" max="3074" width="7.109375" style="2938" customWidth="1"/>
    <col min="3075" max="3075" width="15.88671875" style="2938" customWidth="1"/>
    <col min="3076" max="3076" width="7.109375" style="2938" customWidth="1"/>
    <col min="3077" max="3077" width="5.21875" style="2938" customWidth="1"/>
    <col min="3078" max="3078" width="25.21875" style="2938" customWidth="1"/>
    <col min="3079" max="3080" width="9" style="2938" customWidth="1"/>
    <col min="3081" max="3081" width="33.6640625" style="2938" customWidth="1"/>
    <col min="3082" max="3083" width="15.88671875" style="2938" customWidth="1"/>
    <col min="3084" max="3084" width="16.6640625" style="2938" customWidth="1"/>
    <col min="3085" max="3085" width="9" style="2938" customWidth="1"/>
    <col min="3086" max="3086" width="13.44140625" style="2938" customWidth="1"/>
    <col min="3087" max="3087" width="9" style="2938" customWidth="1"/>
    <col min="3088" max="3088" width="11.33203125" style="2938" customWidth="1"/>
    <col min="3089" max="3090" width="17.77734375" style="2938" customWidth="1"/>
    <col min="3091" max="3091" width="14.77734375" style="2938" customWidth="1"/>
    <col min="3092" max="3093" width="12.88671875" style="2938" customWidth="1"/>
    <col min="3094" max="3094" width="0" style="2938" hidden="1" customWidth="1"/>
    <col min="3095" max="3095" width="9" style="2938" customWidth="1"/>
    <col min="3096" max="3099" width="10.21875" style="2938" customWidth="1"/>
    <col min="3100" max="3100" width="24.88671875" style="2938" customWidth="1"/>
    <col min="3101" max="3101" width="9" style="2938" customWidth="1"/>
    <col min="3102" max="3102" width="33.6640625" style="2938" customWidth="1"/>
    <col min="3103" max="3104" width="0" style="2938" hidden="1" customWidth="1"/>
    <col min="3105" max="3105" width="12.109375" style="2938" customWidth="1"/>
    <col min="3106" max="3106" width="0" style="2938" hidden="1" customWidth="1"/>
    <col min="3107" max="3107" width="18.21875" style="2938" customWidth="1"/>
    <col min="3108" max="3108" width="0" style="2938" hidden="1" customWidth="1"/>
    <col min="3109" max="3109" width="16.33203125" style="2938" customWidth="1"/>
    <col min="3110" max="3111" width="0" style="2938" hidden="1" customWidth="1"/>
    <col min="3112" max="3112" width="7.109375" style="2938" customWidth="1"/>
    <col min="3113" max="3113" width="18.44140625" style="2938" customWidth="1"/>
    <col min="3114" max="3116" width="0" style="2938" hidden="1" customWidth="1"/>
    <col min="3117" max="3117" width="9" style="2938" customWidth="1"/>
    <col min="3118" max="3328" width="8.88671875" style="2938"/>
    <col min="3329" max="3329" width="25.21875" style="2938" customWidth="1"/>
    <col min="3330" max="3330" width="7.109375" style="2938" customWidth="1"/>
    <col min="3331" max="3331" width="15.88671875" style="2938" customWidth="1"/>
    <col min="3332" max="3332" width="7.109375" style="2938" customWidth="1"/>
    <col min="3333" max="3333" width="5.21875" style="2938" customWidth="1"/>
    <col min="3334" max="3334" width="25.21875" style="2938" customWidth="1"/>
    <col min="3335" max="3336" width="9" style="2938" customWidth="1"/>
    <col min="3337" max="3337" width="33.6640625" style="2938" customWidth="1"/>
    <col min="3338" max="3339" width="15.88671875" style="2938" customWidth="1"/>
    <col min="3340" max="3340" width="16.6640625" style="2938" customWidth="1"/>
    <col min="3341" max="3341" width="9" style="2938" customWidth="1"/>
    <col min="3342" max="3342" width="13.44140625" style="2938" customWidth="1"/>
    <col min="3343" max="3343" width="9" style="2938" customWidth="1"/>
    <col min="3344" max="3344" width="11.33203125" style="2938" customWidth="1"/>
    <col min="3345" max="3346" width="17.77734375" style="2938" customWidth="1"/>
    <col min="3347" max="3347" width="14.77734375" style="2938" customWidth="1"/>
    <col min="3348" max="3349" width="12.88671875" style="2938" customWidth="1"/>
    <col min="3350" max="3350" width="0" style="2938" hidden="1" customWidth="1"/>
    <col min="3351" max="3351" width="9" style="2938" customWidth="1"/>
    <col min="3352" max="3355" width="10.21875" style="2938" customWidth="1"/>
    <col min="3356" max="3356" width="24.88671875" style="2938" customWidth="1"/>
    <col min="3357" max="3357" width="9" style="2938" customWidth="1"/>
    <col min="3358" max="3358" width="33.6640625" style="2938" customWidth="1"/>
    <col min="3359" max="3360" width="0" style="2938" hidden="1" customWidth="1"/>
    <col min="3361" max="3361" width="12.109375" style="2938" customWidth="1"/>
    <col min="3362" max="3362" width="0" style="2938" hidden="1" customWidth="1"/>
    <col min="3363" max="3363" width="18.21875" style="2938" customWidth="1"/>
    <col min="3364" max="3364" width="0" style="2938" hidden="1" customWidth="1"/>
    <col min="3365" max="3365" width="16.33203125" style="2938" customWidth="1"/>
    <col min="3366" max="3367" width="0" style="2938" hidden="1" customWidth="1"/>
    <col min="3368" max="3368" width="7.109375" style="2938" customWidth="1"/>
    <col min="3369" max="3369" width="18.44140625" style="2938" customWidth="1"/>
    <col min="3370" max="3372" width="0" style="2938" hidden="1" customWidth="1"/>
    <col min="3373" max="3373" width="9" style="2938" customWidth="1"/>
    <col min="3374" max="3584" width="8.88671875" style="2938"/>
    <col min="3585" max="3585" width="25.21875" style="2938" customWidth="1"/>
    <col min="3586" max="3586" width="7.109375" style="2938" customWidth="1"/>
    <col min="3587" max="3587" width="15.88671875" style="2938" customWidth="1"/>
    <col min="3588" max="3588" width="7.109375" style="2938" customWidth="1"/>
    <col min="3589" max="3589" width="5.21875" style="2938" customWidth="1"/>
    <col min="3590" max="3590" width="25.21875" style="2938" customWidth="1"/>
    <col min="3591" max="3592" width="9" style="2938" customWidth="1"/>
    <col min="3593" max="3593" width="33.6640625" style="2938" customWidth="1"/>
    <col min="3594" max="3595" width="15.88671875" style="2938" customWidth="1"/>
    <col min="3596" max="3596" width="16.6640625" style="2938" customWidth="1"/>
    <col min="3597" max="3597" width="9" style="2938" customWidth="1"/>
    <col min="3598" max="3598" width="13.44140625" style="2938" customWidth="1"/>
    <col min="3599" max="3599" width="9" style="2938" customWidth="1"/>
    <col min="3600" max="3600" width="11.33203125" style="2938" customWidth="1"/>
    <col min="3601" max="3602" width="17.77734375" style="2938" customWidth="1"/>
    <col min="3603" max="3603" width="14.77734375" style="2938" customWidth="1"/>
    <col min="3604" max="3605" width="12.88671875" style="2938" customWidth="1"/>
    <col min="3606" max="3606" width="0" style="2938" hidden="1" customWidth="1"/>
    <col min="3607" max="3607" width="9" style="2938" customWidth="1"/>
    <col min="3608" max="3611" width="10.21875" style="2938" customWidth="1"/>
    <col min="3612" max="3612" width="24.88671875" style="2938" customWidth="1"/>
    <col min="3613" max="3613" width="9" style="2938" customWidth="1"/>
    <col min="3614" max="3614" width="33.6640625" style="2938" customWidth="1"/>
    <col min="3615" max="3616" width="0" style="2938" hidden="1" customWidth="1"/>
    <col min="3617" max="3617" width="12.109375" style="2938" customWidth="1"/>
    <col min="3618" max="3618" width="0" style="2938" hidden="1" customWidth="1"/>
    <col min="3619" max="3619" width="18.21875" style="2938" customWidth="1"/>
    <col min="3620" max="3620" width="0" style="2938" hidden="1" customWidth="1"/>
    <col min="3621" max="3621" width="16.33203125" style="2938" customWidth="1"/>
    <col min="3622" max="3623" width="0" style="2938" hidden="1" customWidth="1"/>
    <col min="3624" max="3624" width="7.109375" style="2938" customWidth="1"/>
    <col min="3625" max="3625" width="18.44140625" style="2938" customWidth="1"/>
    <col min="3626" max="3628" width="0" style="2938" hidden="1" customWidth="1"/>
    <col min="3629" max="3629" width="9" style="2938" customWidth="1"/>
    <col min="3630" max="3840" width="8.88671875" style="2938"/>
    <col min="3841" max="3841" width="25.21875" style="2938" customWidth="1"/>
    <col min="3842" max="3842" width="7.109375" style="2938" customWidth="1"/>
    <col min="3843" max="3843" width="15.88671875" style="2938" customWidth="1"/>
    <col min="3844" max="3844" width="7.109375" style="2938" customWidth="1"/>
    <col min="3845" max="3845" width="5.21875" style="2938" customWidth="1"/>
    <col min="3846" max="3846" width="25.21875" style="2938" customWidth="1"/>
    <col min="3847" max="3848" width="9" style="2938" customWidth="1"/>
    <col min="3849" max="3849" width="33.6640625" style="2938" customWidth="1"/>
    <col min="3850" max="3851" width="15.88671875" style="2938" customWidth="1"/>
    <col min="3852" max="3852" width="16.6640625" style="2938" customWidth="1"/>
    <col min="3853" max="3853" width="9" style="2938" customWidth="1"/>
    <col min="3854" max="3854" width="13.44140625" style="2938" customWidth="1"/>
    <col min="3855" max="3855" width="9" style="2938" customWidth="1"/>
    <col min="3856" max="3856" width="11.33203125" style="2938" customWidth="1"/>
    <col min="3857" max="3858" width="17.77734375" style="2938" customWidth="1"/>
    <col min="3859" max="3859" width="14.77734375" style="2938" customWidth="1"/>
    <col min="3860" max="3861" width="12.88671875" style="2938" customWidth="1"/>
    <col min="3862" max="3862" width="0" style="2938" hidden="1" customWidth="1"/>
    <col min="3863" max="3863" width="9" style="2938" customWidth="1"/>
    <col min="3864" max="3867" width="10.21875" style="2938" customWidth="1"/>
    <col min="3868" max="3868" width="24.88671875" style="2938" customWidth="1"/>
    <col min="3869" max="3869" width="9" style="2938" customWidth="1"/>
    <col min="3870" max="3870" width="33.6640625" style="2938" customWidth="1"/>
    <col min="3871" max="3872" width="0" style="2938" hidden="1" customWidth="1"/>
    <col min="3873" max="3873" width="12.109375" style="2938" customWidth="1"/>
    <col min="3874" max="3874" width="0" style="2938" hidden="1" customWidth="1"/>
    <col min="3875" max="3875" width="18.21875" style="2938" customWidth="1"/>
    <col min="3876" max="3876" width="0" style="2938" hidden="1" customWidth="1"/>
    <col min="3877" max="3877" width="16.33203125" style="2938" customWidth="1"/>
    <col min="3878" max="3879" width="0" style="2938" hidden="1" customWidth="1"/>
    <col min="3880" max="3880" width="7.109375" style="2938" customWidth="1"/>
    <col min="3881" max="3881" width="18.44140625" style="2938" customWidth="1"/>
    <col min="3882" max="3884" width="0" style="2938" hidden="1" customWidth="1"/>
    <col min="3885" max="3885" width="9" style="2938" customWidth="1"/>
    <col min="3886" max="4096" width="8.88671875" style="2938"/>
    <col min="4097" max="4097" width="25.21875" style="2938" customWidth="1"/>
    <col min="4098" max="4098" width="7.109375" style="2938" customWidth="1"/>
    <col min="4099" max="4099" width="15.88671875" style="2938" customWidth="1"/>
    <col min="4100" max="4100" width="7.109375" style="2938" customWidth="1"/>
    <col min="4101" max="4101" width="5.21875" style="2938" customWidth="1"/>
    <col min="4102" max="4102" width="25.21875" style="2938" customWidth="1"/>
    <col min="4103" max="4104" width="9" style="2938" customWidth="1"/>
    <col min="4105" max="4105" width="33.6640625" style="2938" customWidth="1"/>
    <col min="4106" max="4107" width="15.88671875" style="2938" customWidth="1"/>
    <col min="4108" max="4108" width="16.6640625" style="2938" customWidth="1"/>
    <col min="4109" max="4109" width="9" style="2938" customWidth="1"/>
    <col min="4110" max="4110" width="13.44140625" style="2938" customWidth="1"/>
    <col min="4111" max="4111" width="9" style="2938" customWidth="1"/>
    <col min="4112" max="4112" width="11.33203125" style="2938" customWidth="1"/>
    <col min="4113" max="4114" width="17.77734375" style="2938" customWidth="1"/>
    <col min="4115" max="4115" width="14.77734375" style="2938" customWidth="1"/>
    <col min="4116" max="4117" width="12.88671875" style="2938" customWidth="1"/>
    <col min="4118" max="4118" width="0" style="2938" hidden="1" customWidth="1"/>
    <col min="4119" max="4119" width="9" style="2938" customWidth="1"/>
    <col min="4120" max="4123" width="10.21875" style="2938" customWidth="1"/>
    <col min="4124" max="4124" width="24.88671875" style="2938" customWidth="1"/>
    <col min="4125" max="4125" width="9" style="2938" customWidth="1"/>
    <col min="4126" max="4126" width="33.6640625" style="2938" customWidth="1"/>
    <col min="4127" max="4128" width="0" style="2938" hidden="1" customWidth="1"/>
    <col min="4129" max="4129" width="12.109375" style="2938" customWidth="1"/>
    <col min="4130" max="4130" width="0" style="2938" hidden="1" customWidth="1"/>
    <col min="4131" max="4131" width="18.21875" style="2938" customWidth="1"/>
    <col min="4132" max="4132" width="0" style="2938" hidden="1" customWidth="1"/>
    <col min="4133" max="4133" width="16.33203125" style="2938" customWidth="1"/>
    <col min="4134" max="4135" width="0" style="2938" hidden="1" customWidth="1"/>
    <col min="4136" max="4136" width="7.109375" style="2938" customWidth="1"/>
    <col min="4137" max="4137" width="18.44140625" style="2938" customWidth="1"/>
    <col min="4138" max="4140" width="0" style="2938" hidden="1" customWidth="1"/>
    <col min="4141" max="4141" width="9" style="2938" customWidth="1"/>
    <col min="4142" max="4352" width="8.88671875" style="2938"/>
    <col min="4353" max="4353" width="25.21875" style="2938" customWidth="1"/>
    <col min="4354" max="4354" width="7.109375" style="2938" customWidth="1"/>
    <col min="4355" max="4355" width="15.88671875" style="2938" customWidth="1"/>
    <col min="4356" max="4356" width="7.109375" style="2938" customWidth="1"/>
    <col min="4357" max="4357" width="5.21875" style="2938" customWidth="1"/>
    <col min="4358" max="4358" width="25.21875" style="2938" customWidth="1"/>
    <col min="4359" max="4360" width="9" style="2938" customWidth="1"/>
    <col min="4361" max="4361" width="33.6640625" style="2938" customWidth="1"/>
    <col min="4362" max="4363" width="15.88671875" style="2938" customWidth="1"/>
    <col min="4364" max="4364" width="16.6640625" style="2938" customWidth="1"/>
    <col min="4365" max="4365" width="9" style="2938" customWidth="1"/>
    <col min="4366" max="4366" width="13.44140625" style="2938" customWidth="1"/>
    <col min="4367" max="4367" width="9" style="2938" customWidth="1"/>
    <col min="4368" max="4368" width="11.33203125" style="2938" customWidth="1"/>
    <col min="4369" max="4370" width="17.77734375" style="2938" customWidth="1"/>
    <col min="4371" max="4371" width="14.77734375" style="2938" customWidth="1"/>
    <col min="4372" max="4373" width="12.88671875" style="2938" customWidth="1"/>
    <col min="4374" max="4374" width="0" style="2938" hidden="1" customWidth="1"/>
    <col min="4375" max="4375" width="9" style="2938" customWidth="1"/>
    <col min="4376" max="4379" width="10.21875" style="2938" customWidth="1"/>
    <col min="4380" max="4380" width="24.88671875" style="2938" customWidth="1"/>
    <col min="4381" max="4381" width="9" style="2938" customWidth="1"/>
    <col min="4382" max="4382" width="33.6640625" style="2938" customWidth="1"/>
    <col min="4383" max="4384" width="0" style="2938" hidden="1" customWidth="1"/>
    <col min="4385" max="4385" width="12.109375" style="2938" customWidth="1"/>
    <col min="4386" max="4386" width="0" style="2938" hidden="1" customWidth="1"/>
    <col min="4387" max="4387" width="18.21875" style="2938" customWidth="1"/>
    <col min="4388" max="4388" width="0" style="2938" hidden="1" customWidth="1"/>
    <col min="4389" max="4389" width="16.33203125" style="2938" customWidth="1"/>
    <col min="4390" max="4391" width="0" style="2938" hidden="1" customWidth="1"/>
    <col min="4392" max="4392" width="7.109375" style="2938" customWidth="1"/>
    <col min="4393" max="4393" width="18.44140625" style="2938" customWidth="1"/>
    <col min="4394" max="4396" width="0" style="2938" hidden="1" customWidth="1"/>
    <col min="4397" max="4397" width="9" style="2938" customWidth="1"/>
    <col min="4398" max="4608" width="8.88671875" style="2938"/>
    <col min="4609" max="4609" width="25.21875" style="2938" customWidth="1"/>
    <col min="4610" max="4610" width="7.109375" style="2938" customWidth="1"/>
    <col min="4611" max="4611" width="15.88671875" style="2938" customWidth="1"/>
    <col min="4612" max="4612" width="7.109375" style="2938" customWidth="1"/>
    <col min="4613" max="4613" width="5.21875" style="2938" customWidth="1"/>
    <col min="4614" max="4614" width="25.21875" style="2938" customWidth="1"/>
    <col min="4615" max="4616" width="9" style="2938" customWidth="1"/>
    <col min="4617" max="4617" width="33.6640625" style="2938" customWidth="1"/>
    <col min="4618" max="4619" width="15.88671875" style="2938" customWidth="1"/>
    <col min="4620" max="4620" width="16.6640625" style="2938" customWidth="1"/>
    <col min="4621" max="4621" width="9" style="2938" customWidth="1"/>
    <col min="4622" max="4622" width="13.44140625" style="2938" customWidth="1"/>
    <col min="4623" max="4623" width="9" style="2938" customWidth="1"/>
    <col min="4624" max="4624" width="11.33203125" style="2938" customWidth="1"/>
    <col min="4625" max="4626" width="17.77734375" style="2938" customWidth="1"/>
    <col min="4627" max="4627" width="14.77734375" style="2938" customWidth="1"/>
    <col min="4628" max="4629" width="12.88671875" style="2938" customWidth="1"/>
    <col min="4630" max="4630" width="0" style="2938" hidden="1" customWidth="1"/>
    <col min="4631" max="4631" width="9" style="2938" customWidth="1"/>
    <col min="4632" max="4635" width="10.21875" style="2938" customWidth="1"/>
    <col min="4636" max="4636" width="24.88671875" style="2938" customWidth="1"/>
    <col min="4637" max="4637" width="9" style="2938" customWidth="1"/>
    <col min="4638" max="4638" width="33.6640625" style="2938" customWidth="1"/>
    <col min="4639" max="4640" width="0" style="2938" hidden="1" customWidth="1"/>
    <col min="4641" max="4641" width="12.109375" style="2938" customWidth="1"/>
    <col min="4642" max="4642" width="0" style="2938" hidden="1" customWidth="1"/>
    <col min="4643" max="4643" width="18.21875" style="2938" customWidth="1"/>
    <col min="4644" max="4644" width="0" style="2938" hidden="1" customWidth="1"/>
    <col min="4645" max="4645" width="16.33203125" style="2938" customWidth="1"/>
    <col min="4646" max="4647" width="0" style="2938" hidden="1" customWidth="1"/>
    <col min="4648" max="4648" width="7.109375" style="2938" customWidth="1"/>
    <col min="4649" max="4649" width="18.44140625" style="2938" customWidth="1"/>
    <col min="4650" max="4652" width="0" style="2938" hidden="1" customWidth="1"/>
    <col min="4653" max="4653" width="9" style="2938" customWidth="1"/>
    <col min="4654" max="4864" width="8.88671875" style="2938"/>
    <col min="4865" max="4865" width="25.21875" style="2938" customWidth="1"/>
    <col min="4866" max="4866" width="7.109375" style="2938" customWidth="1"/>
    <col min="4867" max="4867" width="15.88671875" style="2938" customWidth="1"/>
    <col min="4868" max="4868" width="7.109375" style="2938" customWidth="1"/>
    <col min="4869" max="4869" width="5.21875" style="2938" customWidth="1"/>
    <col min="4870" max="4870" width="25.21875" style="2938" customWidth="1"/>
    <col min="4871" max="4872" width="9" style="2938" customWidth="1"/>
    <col min="4873" max="4873" width="33.6640625" style="2938" customWidth="1"/>
    <col min="4874" max="4875" width="15.88671875" style="2938" customWidth="1"/>
    <col min="4876" max="4876" width="16.6640625" style="2938" customWidth="1"/>
    <col min="4877" max="4877" width="9" style="2938" customWidth="1"/>
    <col min="4878" max="4878" width="13.44140625" style="2938" customWidth="1"/>
    <col min="4879" max="4879" width="9" style="2938" customWidth="1"/>
    <col min="4880" max="4880" width="11.33203125" style="2938" customWidth="1"/>
    <col min="4881" max="4882" width="17.77734375" style="2938" customWidth="1"/>
    <col min="4883" max="4883" width="14.77734375" style="2938" customWidth="1"/>
    <col min="4884" max="4885" width="12.88671875" style="2938" customWidth="1"/>
    <col min="4886" max="4886" width="0" style="2938" hidden="1" customWidth="1"/>
    <col min="4887" max="4887" width="9" style="2938" customWidth="1"/>
    <col min="4888" max="4891" width="10.21875" style="2938" customWidth="1"/>
    <col min="4892" max="4892" width="24.88671875" style="2938" customWidth="1"/>
    <col min="4893" max="4893" width="9" style="2938" customWidth="1"/>
    <col min="4894" max="4894" width="33.6640625" style="2938" customWidth="1"/>
    <col min="4895" max="4896" width="0" style="2938" hidden="1" customWidth="1"/>
    <col min="4897" max="4897" width="12.109375" style="2938" customWidth="1"/>
    <col min="4898" max="4898" width="0" style="2938" hidden="1" customWidth="1"/>
    <col min="4899" max="4899" width="18.21875" style="2938" customWidth="1"/>
    <col min="4900" max="4900" width="0" style="2938" hidden="1" customWidth="1"/>
    <col min="4901" max="4901" width="16.33203125" style="2938" customWidth="1"/>
    <col min="4902" max="4903" width="0" style="2938" hidden="1" customWidth="1"/>
    <col min="4904" max="4904" width="7.109375" style="2938" customWidth="1"/>
    <col min="4905" max="4905" width="18.44140625" style="2938" customWidth="1"/>
    <col min="4906" max="4908" width="0" style="2938" hidden="1" customWidth="1"/>
    <col min="4909" max="4909" width="9" style="2938" customWidth="1"/>
    <col min="4910" max="5120" width="8.88671875" style="2938"/>
    <col min="5121" max="5121" width="25.21875" style="2938" customWidth="1"/>
    <col min="5122" max="5122" width="7.109375" style="2938" customWidth="1"/>
    <col min="5123" max="5123" width="15.88671875" style="2938" customWidth="1"/>
    <col min="5124" max="5124" width="7.109375" style="2938" customWidth="1"/>
    <col min="5125" max="5125" width="5.21875" style="2938" customWidth="1"/>
    <col min="5126" max="5126" width="25.21875" style="2938" customWidth="1"/>
    <col min="5127" max="5128" width="9" style="2938" customWidth="1"/>
    <col min="5129" max="5129" width="33.6640625" style="2938" customWidth="1"/>
    <col min="5130" max="5131" width="15.88671875" style="2938" customWidth="1"/>
    <col min="5132" max="5132" width="16.6640625" style="2938" customWidth="1"/>
    <col min="5133" max="5133" width="9" style="2938" customWidth="1"/>
    <col min="5134" max="5134" width="13.44140625" style="2938" customWidth="1"/>
    <col min="5135" max="5135" width="9" style="2938" customWidth="1"/>
    <col min="5136" max="5136" width="11.33203125" style="2938" customWidth="1"/>
    <col min="5137" max="5138" width="17.77734375" style="2938" customWidth="1"/>
    <col min="5139" max="5139" width="14.77734375" style="2938" customWidth="1"/>
    <col min="5140" max="5141" width="12.88671875" style="2938" customWidth="1"/>
    <col min="5142" max="5142" width="0" style="2938" hidden="1" customWidth="1"/>
    <col min="5143" max="5143" width="9" style="2938" customWidth="1"/>
    <col min="5144" max="5147" width="10.21875" style="2938" customWidth="1"/>
    <col min="5148" max="5148" width="24.88671875" style="2938" customWidth="1"/>
    <col min="5149" max="5149" width="9" style="2938" customWidth="1"/>
    <col min="5150" max="5150" width="33.6640625" style="2938" customWidth="1"/>
    <col min="5151" max="5152" width="0" style="2938" hidden="1" customWidth="1"/>
    <col min="5153" max="5153" width="12.109375" style="2938" customWidth="1"/>
    <col min="5154" max="5154" width="0" style="2938" hidden="1" customWidth="1"/>
    <col min="5155" max="5155" width="18.21875" style="2938" customWidth="1"/>
    <col min="5156" max="5156" width="0" style="2938" hidden="1" customWidth="1"/>
    <col min="5157" max="5157" width="16.33203125" style="2938" customWidth="1"/>
    <col min="5158" max="5159" width="0" style="2938" hidden="1" customWidth="1"/>
    <col min="5160" max="5160" width="7.109375" style="2938" customWidth="1"/>
    <col min="5161" max="5161" width="18.44140625" style="2938" customWidth="1"/>
    <col min="5162" max="5164" width="0" style="2938" hidden="1" customWidth="1"/>
    <col min="5165" max="5165" width="9" style="2938" customWidth="1"/>
    <col min="5166" max="5376" width="8.88671875" style="2938"/>
    <col min="5377" max="5377" width="25.21875" style="2938" customWidth="1"/>
    <col min="5378" max="5378" width="7.109375" style="2938" customWidth="1"/>
    <col min="5379" max="5379" width="15.88671875" style="2938" customWidth="1"/>
    <col min="5380" max="5380" width="7.109375" style="2938" customWidth="1"/>
    <col min="5381" max="5381" width="5.21875" style="2938" customWidth="1"/>
    <col min="5382" max="5382" width="25.21875" style="2938" customWidth="1"/>
    <col min="5383" max="5384" width="9" style="2938" customWidth="1"/>
    <col min="5385" max="5385" width="33.6640625" style="2938" customWidth="1"/>
    <col min="5386" max="5387" width="15.88671875" style="2938" customWidth="1"/>
    <col min="5388" max="5388" width="16.6640625" style="2938" customWidth="1"/>
    <col min="5389" max="5389" width="9" style="2938" customWidth="1"/>
    <col min="5390" max="5390" width="13.44140625" style="2938" customWidth="1"/>
    <col min="5391" max="5391" width="9" style="2938" customWidth="1"/>
    <col min="5392" max="5392" width="11.33203125" style="2938" customWidth="1"/>
    <col min="5393" max="5394" width="17.77734375" style="2938" customWidth="1"/>
    <col min="5395" max="5395" width="14.77734375" style="2938" customWidth="1"/>
    <col min="5396" max="5397" width="12.88671875" style="2938" customWidth="1"/>
    <col min="5398" max="5398" width="0" style="2938" hidden="1" customWidth="1"/>
    <col min="5399" max="5399" width="9" style="2938" customWidth="1"/>
    <col min="5400" max="5403" width="10.21875" style="2938" customWidth="1"/>
    <col min="5404" max="5404" width="24.88671875" style="2938" customWidth="1"/>
    <col min="5405" max="5405" width="9" style="2938" customWidth="1"/>
    <col min="5406" max="5406" width="33.6640625" style="2938" customWidth="1"/>
    <col min="5407" max="5408" width="0" style="2938" hidden="1" customWidth="1"/>
    <col min="5409" max="5409" width="12.109375" style="2938" customWidth="1"/>
    <col min="5410" max="5410" width="0" style="2938" hidden="1" customWidth="1"/>
    <col min="5411" max="5411" width="18.21875" style="2938" customWidth="1"/>
    <col min="5412" max="5412" width="0" style="2938" hidden="1" customWidth="1"/>
    <col min="5413" max="5413" width="16.33203125" style="2938" customWidth="1"/>
    <col min="5414" max="5415" width="0" style="2938" hidden="1" customWidth="1"/>
    <col min="5416" max="5416" width="7.109375" style="2938" customWidth="1"/>
    <col min="5417" max="5417" width="18.44140625" style="2938" customWidth="1"/>
    <col min="5418" max="5420" width="0" style="2938" hidden="1" customWidth="1"/>
    <col min="5421" max="5421" width="9" style="2938" customWidth="1"/>
    <col min="5422" max="5632" width="8.88671875" style="2938"/>
    <col min="5633" max="5633" width="25.21875" style="2938" customWidth="1"/>
    <col min="5634" max="5634" width="7.109375" style="2938" customWidth="1"/>
    <col min="5635" max="5635" width="15.88671875" style="2938" customWidth="1"/>
    <col min="5636" max="5636" width="7.109375" style="2938" customWidth="1"/>
    <col min="5637" max="5637" width="5.21875" style="2938" customWidth="1"/>
    <col min="5638" max="5638" width="25.21875" style="2938" customWidth="1"/>
    <col min="5639" max="5640" width="9" style="2938" customWidth="1"/>
    <col min="5641" max="5641" width="33.6640625" style="2938" customWidth="1"/>
    <col min="5642" max="5643" width="15.88671875" style="2938" customWidth="1"/>
    <col min="5644" max="5644" width="16.6640625" style="2938" customWidth="1"/>
    <col min="5645" max="5645" width="9" style="2938" customWidth="1"/>
    <col min="5646" max="5646" width="13.44140625" style="2938" customWidth="1"/>
    <col min="5647" max="5647" width="9" style="2938" customWidth="1"/>
    <col min="5648" max="5648" width="11.33203125" style="2938" customWidth="1"/>
    <col min="5649" max="5650" width="17.77734375" style="2938" customWidth="1"/>
    <col min="5651" max="5651" width="14.77734375" style="2938" customWidth="1"/>
    <col min="5652" max="5653" width="12.88671875" style="2938" customWidth="1"/>
    <col min="5654" max="5654" width="0" style="2938" hidden="1" customWidth="1"/>
    <col min="5655" max="5655" width="9" style="2938" customWidth="1"/>
    <col min="5656" max="5659" width="10.21875" style="2938" customWidth="1"/>
    <col min="5660" max="5660" width="24.88671875" style="2938" customWidth="1"/>
    <col min="5661" max="5661" width="9" style="2938" customWidth="1"/>
    <col min="5662" max="5662" width="33.6640625" style="2938" customWidth="1"/>
    <col min="5663" max="5664" width="0" style="2938" hidden="1" customWidth="1"/>
    <col min="5665" max="5665" width="12.109375" style="2938" customWidth="1"/>
    <col min="5666" max="5666" width="0" style="2938" hidden="1" customWidth="1"/>
    <col min="5667" max="5667" width="18.21875" style="2938" customWidth="1"/>
    <col min="5668" max="5668" width="0" style="2938" hidden="1" customWidth="1"/>
    <col min="5669" max="5669" width="16.33203125" style="2938" customWidth="1"/>
    <col min="5670" max="5671" width="0" style="2938" hidden="1" customWidth="1"/>
    <col min="5672" max="5672" width="7.109375" style="2938" customWidth="1"/>
    <col min="5673" max="5673" width="18.44140625" style="2938" customWidth="1"/>
    <col min="5674" max="5676" width="0" style="2938" hidden="1" customWidth="1"/>
    <col min="5677" max="5677" width="9" style="2938" customWidth="1"/>
    <col min="5678" max="5888" width="8.88671875" style="2938"/>
    <col min="5889" max="5889" width="25.21875" style="2938" customWidth="1"/>
    <col min="5890" max="5890" width="7.109375" style="2938" customWidth="1"/>
    <col min="5891" max="5891" width="15.88671875" style="2938" customWidth="1"/>
    <col min="5892" max="5892" width="7.109375" style="2938" customWidth="1"/>
    <col min="5893" max="5893" width="5.21875" style="2938" customWidth="1"/>
    <col min="5894" max="5894" width="25.21875" style="2938" customWidth="1"/>
    <col min="5895" max="5896" width="9" style="2938" customWidth="1"/>
    <col min="5897" max="5897" width="33.6640625" style="2938" customWidth="1"/>
    <col min="5898" max="5899" width="15.88671875" style="2938" customWidth="1"/>
    <col min="5900" max="5900" width="16.6640625" style="2938" customWidth="1"/>
    <col min="5901" max="5901" width="9" style="2938" customWidth="1"/>
    <col min="5902" max="5902" width="13.44140625" style="2938" customWidth="1"/>
    <col min="5903" max="5903" width="9" style="2938" customWidth="1"/>
    <col min="5904" max="5904" width="11.33203125" style="2938" customWidth="1"/>
    <col min="5905" max="5906" width="17.77734375" style="2938" customWidth="1"/>
    <col min="5907" max="5907" width="14.77734375" style="2938" customWidth="1"/>
    <col min="5908" max="5909" width="12.88671875" style="2938" customWidth="1"/>
    <col min="5910" max="5910" width="0" style="2938" hidden="1" customWidth="1"/>
    <col min="5911" max="5911" width="9" style="2938" customWidth="1"/>
    <col min="5912" max="5915" width="10.21875" style="2938" customWidth="1"/>
    <col min="5916" max="5916" width="24.88671875" style="2938" customWidth="1"/>
    <col min="5917" max="5917" width="9" style="2938" customWidth="1"/>
    <col min="5918" max="5918" width="33.6640625" style="2938" customWidth="1"/>
    <col min="5919" max="5920" width="0" style="2938" hidden="1" customWidth="1"/>
    <col min="5921" max="5921" width="12.109375" style="2938" customWidth="1"/>
    <col min="5922" max="5922" width="0" style="2938" hidden="1" customWidth="1"/>
    <col min="5923" max="5923" width="18.21875" style="2938" customWidth="1"/>
    <col min="5924" max="5924" width="0" style="2938" hidden="1" customWidth="1"/>
    <col min="5925" max="5925" width="16.33203125" style="2938" customWidth="1"/>
    <col min="5926" max="5927" width="0" style="2938" hidden="1" customWidth="1"/>
    <col min="5928" max="5928" width="7.109375" style="2938" customWidth="1"/>
    <col min="5929" max="5929" width="18.44140625" style="2938" customWidth="1"/>
    <col min="5930" max="5932" width="0" style="2938" hidden="1" customWidth="1"/>
    <col min="5933" max="5933" width="9" style="2938" customWidth="1"/>
    <col min="5934" max="6144" width="8.88671875" style="2938"/>
    <col min="6145" max="6145" width="25.21875" style="2938" customWidth="1"/>
    <col min="6146" max="6146" width="7.109375" style="2938" customWidth="1"/>
    <col min="6147" max="6147" width="15.88671875" style="2938" customWidth="1"/>
    <col min="6148" max="6148" width="7.109375" style="2938" customWidth="1"/>
    <col min="6149" max="6149" width="5.21875" style="2938" customWidth="1"/>
    <col min="6150" max="6150" width="25.21875" style="2938" customWidth="1"/>
    <col min="6151" max="6152" width="9" style="2938" customWidth="1"/>
    <col min="6153" max="6153" width="33.6640625" style="2938" customWidth="1"/>
    <col min="6154" max="6155" width="15.88671875" style="2938" customWidth="1"/>
    <col min="6156" max="6156" width="16.6640625" style="2938" customWidth="1"/>
    <col min="6157" max="6157" width="9" style="2938" customWidth="1"/>
    <col min="6158" max="6158" width="13.44140625" style="2938" customWidth="1"/>
    <col min="6159" max="6159" width="9" style="2938" customWidth="1"/>
    <col min="6160" max="6160" width="11.33203125" style="2938" customWidth="1"/>
    <col min="6161" max="6162" width="17.77734375" style="2938" customWidth="1"/>
    <col min="6163" max="6163" width="14.77734375" style="2938" customWidth="1"/>
    <col min="6164" max="6165" width="12.88671875" style="2938" customWidth="1"/>
    <col min="6166" max="6166" width="0" style="2938" hidden="1" customWidth="1"/>
    <col min="6167" max="6167" width="9" style="2938" customWidth="1"/>
    <col min="6168" max="6171" width="10.21875" style="2938" customWidth="1"/>
    <col min="6172" max="6172" width="24.88671875" style="2938" customWidth="1"/>
    <col min="6173" max="6173" width="9" style="2938" customWidth="1"/>
    <col min="6174" max="6174" width="33.6640625" style="2938" customWidth="1"/>
    <col min="6175" max="6176" width="0" style="2938" hidden="1" customWidth="1"/>
    <col min="6177" max="6177" width="12.109375" style="2938" customWidth="1"/>
    <col min="6178" max="6178" width="0" style="2938" hidden="1" customWidth="1"/>
    <col min="6179" max="6179" width="18.21875" style="2938" customWidth="1"/>
    <col min="6180" max="6180" width="0" style="2938" hidden="1" customWidth="1"/>
    <col min="6181" max="6181" width="16.33203125" style="2938" customWidth="1"/>
    <col min="6182" max="6183" width="0" style="2938" hidden="1" customWidth="1"/>
    <col min="6184" max="6184" width="7.109375" style="2938" customWidth="1"/>
    <col min="6185" max="6185" width="18.44140625" style="2938" customWidth="1"/>
    <col min="6186" max="6188" width="0" style="2938" hidden="1" customWidth="1"/>
    <col min="6189" max="6189" width="9" style="2938" customWidth="1"/>
    <col min="6190" max="6400" width="8.88671875" style="2938"/>
    <col min="6401" max="6401" width="25.21875" style="2938" customWidth="1"/>
    <col min="6402" max="6402" width="7.109375" style="2938" customWidth="1"/>
    <col min="6403" max="6403" width="15.88671875" style="2938" customWidth="1"/>
    <col min="6404" max="6404" width="7.109375" style="2938" customWidth="1"/>
    <col min="6405" max="6405" width="5.21875" style="2938" customWidth="1"/>
    <col min="6406" max="6406" width="25.21875" style="2938" customWidth="1"/>
    <col min="6407" max="6408" width="9" style="2938" customWidth="1"/>
    <col min="6409" max="6409" width="33.6640625" style="2938" customWidth="1"/>
    <col min="6410" max="6411" width="15.88671875" style="2938" customWidth="1"/>
    <col min="6412" max="6412" width="16.6640625" style="2938" customWidth="1"/>
    <col min="6413" max="6413" width="9" style="2938" customWidth="1"/>
    <col min="6414" max="6414" width="13.44140625" style="2938" customWidth="1"/>
    <col min="6415" max="6415" width="9" style="2938" customWidth="1"/>
    <col min="6416" max="6416" width="11.33203125" style="2938" customWidth="1"/>
    <col min="6417" max="6418" width="17.77734375" style="2938" customWidth="1"/>
    <col min="6419" max="6419" width="14.77734375" style="2938" customWidth="1"/>
    <col min="6420" max="6421" width="12.88671875" style="2938" customWidth="1"/>
    <col min="6422" max="6422" width="0" style="2938" hidden="1" customWidth="1"/>
    <col min="6423" max="6423" width="9" style="2938" customWidth="1"/>
    <col min="6424" max="6427" width="10.21875" style="2938" customWidth="1"/>
    <col min="6428" max="6428" width="24.88671875" style="2938" customWidth="1"/>
    <col min="6429" max="6429" width="9" style="2938" customWidth="1"/>
    <col min="6430" max="6430" width="33.6640625" style="2938" customWidth="1"/>
    <col min="6431" max="6432" width="0" style="2938" hidden="1" customWidth="1"/>
    <col min="6433" max="6433" width="12.109375" style="2938" customWidth="1"/>
    <col min="6434" max="6434" width="0" style="2938" hidden="1" customWidth="1"/>
    <col min="6435" max="6435" width="18.21875" style="2938" customWidth="1"/>
    <col min="6436" max="6436" width="0" style="2938" hidden="1" customWidth="1"/>
    <col min="6437" max="6437" width="16.33203125" style="2938" customWidth="1"/>
    <col min="6438" max="6439" width="0" style="2938" hidden="1" customWidth="1"/>
    <col min="6440" max="6440" width="7.109375" style="2938" customWidth="1"/>
    <col min="6441" max="6441" width="18.44140625" style="2938" customWidth="1"/>
    <col min="6442" max="6444" width="0" style="2938" hidden="1" customWidth="1"/>
    <col min="6445" max="6445" width="9" style="2938" customWidth="1"/>
    <col min="6446" max="6656" width="8.88671875" style="2938"/>
    <col min="6657" max="6657" width="25.21875" style="2938" customWidth="1"/>
    <col min="6658" max="6658" width="7.109375" style="2938" customWidth="1"/>
    <col min="6659" max="6659" width="15.88671875" style="2938" customWidth="1"/>
    <col min="6660" max="6660" width="7.109375" style="2938" customWidth="1"/>
    <col min="6661" max="6661" width="5.21875" style="2938" customWidth="1"/>
    <col min="6662" max="6662" width="25.21875" style="2938" customWidth="1"/>
    <col min="6663" max="6664" width="9" style="2938" customWidth="1"/>
    <col min="6665" max="6665" width="33.6640625" style="2938" customWidth="1"/>
    <col min="6666" max="6667" width="15.88671875" style="2938" customWidth="1"/>
    <col min="6668" max="6668" width="16.6640625" style="2938" customWidth="1"/>
    <col min="6669" max="6669" width="9" style="2938" customWidth="1"/>
    <col min="6670" max="6670" width="13.44140625" style="2938" customWidth="1"/>
    <col min="6671" max="6671" width="9" style="2938" customWidth="1"/>
    <col min="6672" max="6672" width="11.33203125" style="2938" customWidth="1"/>
    <col min="6673" max="6674" width="17.77734375" style="2938" customWidth="1"/>
    <col min="6675" max="6675" width="14.77734375" style="2938" customWidth="1"/>
    <col min="6676" max="6677" width="12.88671875" style="2938" customWidth="1"/>
    <col min="6678" max="6678" width="0" style="2938" hidden="1" customWidth="1"/>
    <col min="6679" max="6679" width="9" style="2938" customWidth="1"/>
    <col min="6680" max="6683" width="10.21875" style="2938" customWidth="1"/>
    <col min="6684" max="6684" width="24.88671875" style="2938" customWidth="1"/>
    <col min="6685" max="6685" width="9" style="2938" customWidth="1"/>
    <col min="6686" max="6686" width="33.6640625" style="2938" customWidth="1"/>
    <col min="6687" max="6688" width="0" style="2938" hidden="1" customWidth="1"/>
    <col min="6689" max="6689" width="12.109375" style="2938" customWidth="1"/>
    <col min="6690" max="6690" width="0" style="2938" hidden="1" customWidth="1"/>
    <col min="6691" max="6691" width="18.21875" style="2938" customWidth="1"/>
    <col min="6692" max="6692" width="0" style="2938" hidden="1" customWidth="1"/>
    <col min="6693" max="6693" width="16.33203125" style="2938" customWidth="1"/>
    <col min="6694" max="6695" width="0" style="2938" hidden="1" customWidth="1"/>
    <col min="6696" max="6696" width="7.109375" style="2938" customWidth="1"/>
    <col min="6697" max="6697" width="18.44140625" style="2938" customWidth="1"/>
    <col min="6698" max="6700" width="0" style="2938" hidden="1" customWidth="1"/>
    <col min="6701" max="6701" width="9" style="2938" customWidth="1"/>
    <col min="6702" max="6912" width="8.88671875" style="2938"/>
    <col min="6913" max="6913" width="25.21875" style="2938" customWidth="1"/>
    <col min="6914" max="6914" width="7.109375" style="2938" customWidth="1"/>
    <col min="6915" max="6915" width="15.88671875" style="2938" customWidth="1"/>
    <col min="6916" max="6916" width="7.109375" style="2938" customWidth="1"/>
    <col min="6917" max="6917" width="5.21875" style="2938" customWidth="1"/>
    <col min="6918" max="6918" width="25.21875" style="2938" customWidth="1"/>
    <col min="6919" max="6920" width="9" style="2938" customWidth="1"/>
    <col min="6921" max="6921" width="33.6640625" style="2938" customWidth="1"/>
    <col min="6922" max="6923" width="15.88671875" style="2938" customWidth="1"/>
    <col min="6924" max="6924" width="16.6640625" style="2938" customWidth="1"/>
    <col min="6925" max="6925" width="9" style="2938" customWidth="1"/>
    <col min="6926" max="6926" width="13.44140625" style="2938" customWidth="1"/>
    <col min="6927" max="6927" width="9" style="2938" customWidth="1"/>
    <col min="6928" max="6928" width="11.33203125" style="2938" customWidth="1"/>
    <col min="6929" max="6930" width="17.77734375" style="2938" customWidth="1"/>
    <col min="6931" max="6931" width="14.77734375" style="2938" customWidth="1"/>
    <col min="6932" max="6933" width="12.88671875" style="2938" customWidth="1"/>
    <col min="6934" max="6934" width="0" style="2938" hidden="1" customWidth="1"/>
    <col min="6935" max="6935" width="9" style="2938" customWidth="1"/>
    <col min="6936" max="6939" width="10.21875" style="2938" customWidth="1"/>
    <col min="6940" max="6940" width="24.88671875" style="2938" customWidth="1"/>
    <col min="6941" max="6941" width="9" style="2938" customWidth="1"/>
    <col min="6942" max="6942" width="33.6640625" style="2938" customWidth="1"/>
    <col min="6943" max="6944" width="0" style="2938" hidden="1" customWidth="1"/>
    <col min="6945" max="6945" width="12.109375" style="2938" customWidth="1"/>
    <col min="6946" max="6946" width="0" style="2938" hidden="1" customWidth="1"/>
    <col min="6947" max="6947" width="18.21875" style="2938" customWidth="1"/>
    <col min="6948" max="6948" width="0" style="2938" hidden="1" customWidth="1"/>
    <col min="6949" max="6949" width="16.33203125" style="2938" customWidth="1"/>
    <col min="6950" max="6951" width="0" style="2938" hidden="1" customWidth="1"/>
    <col min="6952" max="6952" width="7.109375" style="2938" customWidth="1"/>
    <col min="6953" max="6953" width="18.44140625" style="2938" customWidth="1"/>
    <col min="6954" max="6956" width="0" style="2938" hidden="1" customWidth="1"/>
    <col min="6957" max="6957" width="9" style="2938" customWidth="1"/>
    <col min="6958" max="7168" width="8.88671875" style="2938"/>
    <col min="7169" max="7169" width="25.21875" style="2938" customWidth="1"/>
    <col min="7170" max="7170" width="7.109375" style="2938" customWidth="1"/>
    <col min="7171" max="7171" width="15.88671875" style="2938" customWidth="1"/>
    <col min="7172" max="7172" width="7.109375" style="2938" customWidth="1"/>
    <col min="7173" max="7173" width="5.21875" style="2938" customWidth="1"/>
    <col min="7174" max="7174" width="25.21875" style="2938" customWidth="1"/>
    <col min="7175" max="7176" width="9" style="2938" customWidth="1"/>
    <col min="7177" max="7177" width="33.6640625" style="2938" customWidth="1"/>
    <col min="7178" max="7179" width="15.88671875" style="2938" customWidth="1"/>
    <col min="7180" max="7180" width="16.6640625" style="2938" customWidth="1"/>
    <col min="7181" max="7181" width="9" style="2938" customWidth="1"/>
    <col min="7182" max="7182" width="13.44140625" style="2938" customWidth="1"/>
    <col min="7183" max="7183" width="9" style="2938" customWidth="1"/>
    <col min="7184" max="7184" width="11.33203125" style="2938" customWidth="1"/>
    <col min="7185" max="7186" width="17.77734375" style="2938" customWidth="1"/>
    <col min="7187" max="7187" width="14.77734375" style="2938" customWidth="1"/>
    <col min="7188" max="7189" width="12.88671875" style="2938" customWidth="1"/>
    <col min="7190" max="7190" width="0" style="2938" hidden="1" customWidth="1"/>
    <col min="7191" max="7191" width="9" style="2938" customWidth="1"/>
    <col min="7192" max="7195" width="10.21875" style="2938" customWidth="1"/>
    <col min="7196" max="7196" width="24.88671875" style="2938" customWidth="1"/>
    <col min="7197" max="7197" width="9" style="2938" customWidth="1"/>
    <col min="7198" max="7198" width="33.6640625" style="2938" customWidth="1"/>
    <col min="7199" max="7200" width="0" style="2938" hidden="1" customWidth="1"/>
    <col min="7201" max="7201" width="12.109375" style="2938" customWidth="1"/>
    <col min="7202" max="7202" width="0" style="2938" hidden="1" customWidth="1"/>
    <col min="7203" max="7203" width="18.21875" style="2938" customWidth="1"/>
    <col min="7204" max="7204" width="0" style="2938" hidden="1" customWidth="1"/>
    <col min="7205" max="7205" width="16.33203125" style="2938" customWidth="1"/>
    <col min="7206" max="7207" width="0" style="2938" hidden="1" customWidth="1"/>
    <col min="7208" max="7208" width="7.109375" style="2938" customWidth="1"/>
    <col min="7209" max="7209" width="18.44140625" style="2938" customWidth="1"/>
    <col min="7210" max="7212" width="0" style="2938" hidden="1" customWidth="1"/>
    <col min="7213" max="7213" width="9" style="2938" customWidth="1"/>
    <col min="7214" max="7424" width="8.88671875" style="2938"/>
    <col min="7425" max="7425" width="25.21875" style="2938" customWidth="1"/>
    <col min="7426" max="7426" width="7.109375" style="2938" customWidth="1"/>
    <col min="7427" max="7427" width="15.88671875" style="2938" customWidth="1"/>
    <col min="7428" max="7428" width="7.109375" style="2938" customWidth="1"/>
    <col min="7429" max="7429" width="5.21875" style="2938" customWidth="1"/>
    <col min="7430" max="7430" width="25.21875" style="2938" customWidth="1"/>
    <col min="7431" max="7432" width="9" style="2938" customWidth="1"/>
    <col min="7433" max="7433" width="33.6640625" style="2938" customWidth="1"/>
    <col min="7434" max="7435" width="15.88671875" style="2938" customWidth="1"/>
    <col min="7436" max="7436" width="16.6640625" style="2938" customWidth="1"/>
    <col min="7437" max="7437" width="9" style="2938" customWidth="1"/>
    <col min="7438" max="7438" width="13.44140625" style="2938" customWidth="1"/>
    <col min="7439" max="7439" width="9" style="2938" customWidth="1"/>
    <col min="7440" max="7440" width="11.33203125" style="2938" customWidth="1"/>
    <col min="7441" max="7442" width="17.77734375" style="2938" customWidth="1"/>
    <col min="7443" max="7443" width="14.77734375" style="2938" customWidth="1"/>
    <col min="7444" max="7445" width="12.88671875" style="2938" customWidth="1"/>
    <col min="7446" max="7446" width="0" style="2938" hidden="1" customWidth="1"/>
    <col min="7447" max="7447" width="9" style="2938" customWidth="1"/>
    <col min="7448" max="7451" width="10.21875" style="2938" customWidth="1"/>
    <col min="7452" max="7452" width="24.88671875" style="2938" customWidth="1"/>
    <col min="7453" max="7453" width="9" style="2938" customWidth="1"/>
    <col min="7454" max="7454" width="33.6640625" style="2938" customWidth="1"/>
    <col min="7455" max="7456" width="0" style="2938" hidden="1" customWidth="1"/>
    <col min="7457" max="7457" width="12.109375" style="2938" customWidth="1"/>
    <col min="7458" max="7458" width="0" style="2938" hidden="1" customWidth="1"/>
    <col min="7459" max="7459" width="18.21875" style="2938" customWidth="1"/>
    <col min="7460" max="7460" width="0" style="2938" hidden="1" customWidth="1"/>
    <col min="7461" max="7461" width="16.33203125" style="2938" customWidth="1"/>
    <col min="7462" max="7463" width="0" style="2938" hidden="1" customWidth="1"/>
    <col min="7464" max="7464" width="7.109375" style="2938" customWidth="1"/>
    <col min="7465" max="7465" width="18.44140625" style="2938" customWidth="1"/>
    <col min="7466" max="7468" width="0" style="2938" hidden="1" customWidth="1"/>
    <col min="7469" max="7469" width="9" style="2938" customWidth="1"/>
    <col min="7470" max="7680" width="8.88671875" style="2938"/>
    <col min="7681" max="7681" width="25.21875" style="2938" customWidth="1"/>
    <col min="7682" max="7682" width="7.109375" style="2938" customWidth="1"/>
    <col min="7683" max="7683" width="15.88671875" style="2938" customWidth="1"/>
    <col min="7684" max="7684" width="7.109375" style="2938" customWidth="1"/>
    <col min="7685" max="7685" width="5.21875" style="2938" customWidth="1"/>
    <col min="7686" max="7686" width="25.21875" style="2938" customWidth="1"/>
    <col min="7687" max="7688" width="9" style="2938" customWidth="1"/>
    <col min="7689" max="7689" width="33.6640625" style="2938" customWidth="1"/>
    <col min="7690" max="7691" width="15.88671875" style="2938" customWidth="1"/>
    <col min="7692" max="7692" width="16.6640625" style="2938" customWidth="1"/>
    <col min="7693" max="7693" width="9" style="2938" customWidth="1"/>
    <col min="7694" max="7694" width="13.44140625" style="2938" customWidth="1"/>
    <col min="7695" max="7695" width="9" style="2938" customWidth="1"/>
    <col min="7696" max="7696" width="11.33203125" style="2938" customWidth="1"/>
    <col min="7697" max="7698" width="17.77734375" style="2938" customWidth="1"/>
    <col min="7699" max="7699" width="14.77734375" style="2938" customWidth="1"/>
    <col min="7700" max="7701" width="12.88671875" style="2938" customWidth="1"/>
    <col min="7702" max="7702" width="0" style="2938" hidden="1" customWidth="1"/>
    <col min="7703" max="7703" width="9" style="2938" customWidth="1"/>
    <col min="7704" max="7707" width="10.21875" style="2938" customWidth="1"/>
    <col min="7708" max="7708" width="24.88671875" style="2938" customWidth="1"/>
    <col min="7709" max="7709" width="9" style="2938" customWidth="1"/>
    <col min="7710" max="7710" width="33.6640625" style="2938" customWidth="1"/>
    <col min="7711" max="7712" width="0" style="2938" hidden="1" customWidth="1"/>
    <col min="7713" max="7713" width="12.109375" style="2938" customWidth="1"/>
    <col min="7714" max="7714" width="0" style="2938" hidden="1" customWidth="1"/>
    <col min="7715" max="7715" width="18.21875" style="2938" customWidth="1"/>
    <col min="7716" max="7716" width="0" style="2938" hidden="1" customWidth="1"/>
    <col min="7717" max="7717" width="16.33203125" style="2938" customWidth="1"/>
    <col min="7718" max="7719" width="0" style="2938" hidden="1" customWidth="1"/>
    <col min="7720" max="7720" width="7.109375" style="2938" customWidth="1"/>
    <col min="7721" max="7721" width="18.44140625" style="2938" customWidth="1"/>
    <col min="7722" max="7724" width="0" style="2938" hidden="1" customWidth="1"/>
    <col min="7725" max="7725" width="9" style="2938" customWidth="1"/>
    <col min="7726" max="7936" width="8.88671875" style="2938"/>
    <col min="7937" max="7937" width="25.21875" style="2938" customWidth="1"/>
    <col min="7938" max="7938" width="7.109375" style="2938" customWidth="1"/>
    <col min="7939" max="7939" width="15.88671875" style="2938" customWidth="1"/>
    <col min="7940" max="7940" width="7.109375" style="2938" customWidth="1"/>
    <col min="7941" max="7941" width="5.21875" style="2938" customWidth="1"/>
    <col min="7942" max="7942" width="25.21875" style="2938" customWidth="1"/>
    <col min="7943" max="7944" width="9" style="2938" customWidth="1"/>
    <col min="7945" max="7945" width="33.6640625" style="2938" customWidth="1"/>
    <col min="7946" max="7947" width="15.88671875" style="2938" customWidth="1"/>
    <col min="7948" max="7948" width="16.6640625" style="2938" customWidth="1"/>
    <col min="7949" max="7949" width="9" style="2938" customWidth="1"/>
    <col min="7950" max="7950" width="13.44140625" style="2938" customWidth="1"/>
    <col min="7951" max="7951" width="9" style="2938" customWidth="1"/>
    <col min="7952" max="7952" width="11.33203125" style="2938" customWidth="1"/>
    <col min="7953" max="7954" width="17.77734375" style="2938" customWidth="1"/>
    <col min="7955" max="7955" width="14.77734375" style="2938" customWidth="1"/>
    <col min="7956" max="7957" width="12.88671875" style="2938" customWidth="1"/>
    <col min="7958" max="7958" width="0" style="2938" hidden="1" customWidth="1"/>
    <col min="7959" max="7959" width="9" style="2938" customWidth="1"/>
    <col min="7960" max="7963" width="10.21875" style="2938" customWidth="1"/>
    <col min="7964" max="7964" width="24.88671875" style="2938" customWidth="1"/>
    <col min="7965" max="7965" width="9" style="2938" customWidth="1"/>
    <col min="7966" max="7966" width="33.6640625" style="2938" customWidth="1"/>
    <col min="7967" max="7968" width="0" style="2938" hidden="1" customWidth="1"/>
    <col min="7969" max="7969" width="12.109375" style="2938" customWidth="1"/>
    <col min="7970" max="7970" width="0" style="2938" hidden="1" customWidth="1"/>
    <col min="7971" max="7971" width="18.21875" style="2938" customWidth="1"/>
    <col min="7972" max="7972" width="0" style="2938" hidden="1" customWidth="1"/>
    <col min="7973" max="7973" width="16.33203125" style="2938" customWidth="1"/>
    <col min="7974" max="7975" width="0" style="2938" hidden="1" customWidth="1"/>
    <col min="7976" max="7976" width="7.109375" style="2938" customWidth="1"/>
    <col min="7977" max="7977" width="18.44140625" style="2938" customWidth="1"/>
    <col min="7978" max="7980" width="0" style="2938" hidden="1" customWidth="1"/>
    <col min="7981" max="7981" width="9" style="2938" customWidth="1"/>
    <col min="7982" max="8192" width="8.88671875" style="2938"/>
    <col min="8193" max="8193" width="25.21875" style="2938" customWidth="1"/>
    <col min="8194" max="8194" width="7.109375" style="2938" customWidth="1"/>
    <col min="8195" max="8195" width="15.88671875" style="2938" customWidth="1"/>
    <col min="8196" max="8196" width="7.109375" style="2938" customWidth="1"/>
    <col min="8197" max="8197" width="5.21875" style="2938" customWidth="1"/>
    <col min="8198" max="8198" width="25.21875" style="2938" customWidth="1"/>
    <col min="8199" max="8200" width="9" style="2938" customWidth="1"/>
    <col min="8201" max="8201" width="33.6640625" style="2938" customWidth="1"/>
    <col min="8202" max="8203" width="15.88671875" style="2938" customWidth="1"/>
    <col min="8204" max="8204" width="16.6640625" style="2938" customWidth="1"/>
    <col min="8205" max="8205" width="9" style="2938" customWidth="1"/>
    <col min="8206" max="8206" width="13.44140625" style="2938" customWidth="1"/>
    <col min="8207" max="8207" width="9" style="2938" customWidth="1"/>
    <col min="8208" max="8208" width="11.33203125" style="2938" customWidth="1"/>
    <col min="8209" max="8210" width="17.77734375" style="2938" customWidth="1"/>
    <col min="8211" max="8211" width="14.77734375" style="2938" customWidth="1"/>
    <col min="8212" max="8213" width="12.88671875" style="2938" customWidth="1"/>
    <col min="8214" max="8214" width="0" style="2938" hidden="1" customWidth="1"/>
    <col min="8215" max="8215" width="9" style="2938" customWidth="1"/>
    <col min="8216" max="8219" width="10.21875" style="2938" customWidth="1"/>
    <col min="8220" max="8220" width="24.88671875" style="2938" customWidth="1"/>
    <col min="8221" max="8221" width="9" style="2938" customWidth="1"/>
    <col min="8222" max="8222" width="33.6640625" style="2938" customWidth="1"/>
    <col min="8223" max="8224" width="0" style="2938" hidden="1" customWidth="1"/>
    <col min="8225" max="8225" width="12.109375" style="2938" customWidth="1"/>
    <col min="8226" max="8226" width="0" style="2938" hidden="1" customWidth="1"/>
    <col min="8227" max="8227" width="18.21875" style="2938" customWidth="1"/>
    <col min="8228" max="8228" width="0" style="2938" hidden="1" customWidth="1"/>
    <col min="8229" max="8229" width="16.33203125" style="2938" customWidth="1"/>
    <col min="8230" max="8231" width="0" style="2938" hidden="1" customWidth="1"/>
    <col min="8232" max="8232" width="7.109375" style="2938" customWidth="1"/>
    <col min="8233" max="8233" width="18.44140625" style="2938" customWidth="1"/>
    <col min="8234" max="8236" width="0" style="2938" hidden="1" customWidth="1"/>
    <col min="8237" max="8237" width="9" style="2938" customWidth="1"/>
    <col min="8238" max="8448" width="8.88671875" style="2938"/>
    <col min="8449" max="8449" width="25.21875" style="2938" customWidth="1"/>
    <col min="8450" max="8450" width="7.109375" style="2938" customWidth="1"/>
    <col min="8451" max="8451" width="15.88671875" style="2938" customWidth="1"/>
    <col min="8452" max="8452" width="7.109375" style="2938" customWidth="1"/>
    <col min="8453" max="8453" width="5.21875" style="2938" customWidth="1"/>
    <col min="8454" max="8454" width="25.21875" style="2938" customWidth="1"/>
    <col min="8455" max="8456" width="9" style="2938" customWidth="1"/>
    <col min="8457" max="8457" width="33.6640625" style="2938" customWidth="1"/>
    <col min="8458" max="8459" width="15.88671875" style="2938" customWidth="1"/>
    <col min="8460" max="8460" width="16.6640625" style="2938" customWidth="1"/>
    <col min="8461" max="8461" width="9" style="2938" customWidth="1"/>
    <col min="8462" max="8462" width="13.44140625" style="2938" customWidth="1"/>
    <col min="8463" max="8463" width="9" style="2938" customWidth="1"/>
    <col min="8464" max="8464" width="11.33203125" style="2938" customWidth="1"/>
    <col min="8465" max="8466" width="17.77734375" style="2938" customWidth="1"/>
    <col min="8467" max="8467" width="14.77734375" style="2938" customWidth="1"/>
    <col min="8468" max="8469" width="12.88671875" style="2938" customWidth="1"/>
    <col min="8470" max="8470" width="0" style="2938" hidden="1" customWidth="1"/>
    <col min="8471" max="8471" width="9" style="2938" customWidth="1"/>
    <col min="8472" max="8475" width="10.21875" style="2938" customWidth="1"/>
    <col min="8476" max="8476" width="24.88671875" style="2938" customWidth="1"/>
    <col min="8477" max="8477" width="9" style="2938" customWidth="1"/>
    <col min="8478" max="8478" width="33.6640625" style="2938" customWidth="1"/>
    <col min="8479" max="8480" width="0" style="2938" hidden="1" customWidth="1"/>
    <col min="8481" max="8481" width="12.109375" style="2938" customWidth="1"/>
    <col min="8482" max="8482" width="0" style="2938" hidden="1" customWidth="1"/>
    <col min="8483" max="8483" width="18.21875" style="2938" customWidth="1"/>
    <col min="8484" max="8484" width="0" style="2938" hidden="1" customWidth="1"/>
    <col min="8485" max="8485" width="16.33203125" style="2938" customWidth="1"/>
    <col min="8486" max="8487" width="0" style="2938" hidden="1" customWidth="1"/>
    <col min="8488" max="8488" width="7.109375" style="2938" customWidth="1"/>
    <col min="8489" max="8489" width="18.44140625" style="2938" customWidth="1"/>
    <col min="8490" max="8492" width="0" style="2938" hidden="1" customWidth="1"/>
    <col min="8493" max="8493" width="9" style="2938" customWidth="1"/>
    <col min="8494" max="8704" width="8.88671875" style="2938"/>
    <col min="8705" max="8705" width="25.21875" style="2938" customWidth="1"/>
    <col min="8706" max="8706" width="7.109375" style="2938" customWidth="1"/>
    <col min="8707" max="8707" width="15.88671875" style="2938" customWidth="1"/>
    <col min="8708" max="8708" width="7.109375" style="2938" customWidth="1"/>
    <col min="8709" max="8709" width="5.21875" style="2938" customWidth="1"/>
    <col min="8710" max="8710" width="25.21875" style="2938" customWidth="1"/>
    <col min="8711" max="8712" width="9" style="2938" customWidth="1"/>
    <col min="8713" max="8713" width="33.6640625" style="2938" customWidth="1"/>
    <col min="8714" max="8715" width="15.88671875" style="2938" customWidth="1"/>
    <col min="8716" max="8716" width="16.6640625" style="2938" customWidth="1"/>
    <col min="8717" max="8717" width="9" style="2938" customWidth="1"/>
    <col min="8718" max="8718" width="13.44140625" style="2938" customWidth="1"/>
    <col min="8719" max="8719" width="9" style="2938" customWidth="1"/>
    <col min="8720" max="8720" width="11.33203125" style="2938" customWidth="1"/>
    <col min="8721" max="8722" width="17.77734375" style="2938" customWidth="1"/>
    <col min="8723" max="8723" width="14.77734375" style="2938" customWidth="1"/>
    <col min="8724" max="8725" width="12.88671875" style="2938" customWidth="1"/>
    <col min="8726" max="8726" width="0" style="2938" hidden="1" customWidth="1"/>
    <col min="8727" max="8727" width="9" style="2938" customWidth="1"/>
    <col min="8728" max="8731" width="10.21875" style="2938" customWidth="1"/>
    <col min="8732" max="8732" width="24.88671875" style="2938" customWidth="1"/>
    <col min="8733" max="8733" width="9" style="2938" customWidth="1"/>
    <col min="8734" max="8734" width="33.6640625" style="2938" customWidth="1"/>
    <col min="8735" max="8736" width="0" style="2938" hidden="1" customWidth="1"/>
    <col min="8737" max="8737" width="12.109375" style="2938" customWidth="1"/>
    <col min="8738" max="8738" width="0" style="2938" hidden="1" customWidth="1"/>
    <col min="8739" max="8739" width="18.21875" style="2938" customWidth="1"/>
    <col min="8740" max="8740" width="0" style="2938" hidden="1" customWidth="1"/>
    <col min="8741" max="8741" width="16.33203125" style="2938" customWidth="1"/>
    <col min="8742" max="8743" width="0" style="2938" hidden="1" customWidth="1"/>
    <col min="8744" max="8744" width="7.109375" style="2938" customWidth="1"/>
    <col min="8745" max="8745" width="18.44140625" style="2938" customWidth="1"/>
    <col min="8746" max="8748" width="0" style="2938" hidden="1" customWidth="1"/>
    <col min="8749" max="8749" width="9" style="2938" customWidth="1"/>
    <col min="8750" max="8960" width="8.88671875" style="2938"/>
    <col min="8961" max="8961" width="25.21875" style="2938" customWidth="1"/>
    <col min="8962" max="8962" width="7.109375" style="2938" customWidth="1"/>
    <col min="8963" max="8963" width="15.88671875" style="2938" customWidth="1"/>
    <col min="8964" max="8964" width="7.109375" style="2938" customWidth="1"/>
    <col min="8965" max="8965" width="5.21875" style="2938" customWidth="1"/>
    <col min="8966" max="8966" width="25.21875" style="2938" customWidth="1"/>
    <col min="8967" max="8968" width="9" style="2938" customWidth="1"/>
    <col min="8969" max="8969" width="33.6640625" style="2938" customWidth="1"/>
    <col min="8970" max="8971" width="15.88671875" style="2938" customWidth="1"/>
    <col min="8972" max="8972" width="16.6640625" style="2938" customWidth="1"/>
    <col min="8973" max="8973" width="9" style="2938" customWidth="1"/>
    <col min="8974" max="8974" width="13.44140625" style="2938" customWidth="1"/>
    <col min="8975" max="8975" width="9" style="2938" customWidth="1"/>
    <col min="8976" max="8976" width="11.33203125" style="2938" customWidth="1"/>
    <col min="8977" max="8978" width="17.77734375" style="2938" customWidth="1"/>
    <col min="8979" max="8979" width="14.77734375" style="2938" customWidth="1"/>
    <col min="8980" max="8981" width="12.88671875" style="2938" customWidth="1"/>
    <col min="8982" max="8982" width="0" style="2938" hidden="1" customWidth="1"/>
    <col min="8983" max="8983" width="9" style="2938" customWidth="1"/>
    <col min="8984" max="8987" width="10.21875" style="2938" customWidth="1"/>
    <col min="8988" max="8988" width="24.88671875" style="2938" customWidth="1"/>
    <col min="8989" max="8989" width="9" style="2938" customWidth="1"/>
    <col min="8990" max="8990" width="33.6640625" style="2938" customWidth="1"/>
    <col min="8991" max="8992" width="0" style="2938" hidden="1" customWidth="1"/>
    <col min="8993" max="8993" width="12.109375" style="2938" customWidth="1"/>
    <col min="8994" max="8994" width="0" style="2938" hidden="1" customWidth="1"/>
    <col min="8995" max="8995" width="18.21875" style="2938" customWidth="1"/>
    <col min="8996" max="8996" width="0" style="2938" hidden="1" customWidth="1"/>
    <col min="8997" max="8997" width="16.33203125" style="2938" customWidth="1"/>
    <col min="8998" max="8999" width="0" style="2938" hidden="1" customWidth="1"/>
    <col min="9000" max="9000" width="7.109375" style="2938" customWidth="1"/>
    <col min="9001" max="9001" width="18.44140625" style="2938" customWidth="1"/>
    <col min="9002" max="9004" width="0" style="2938" hidden="1" customWidth="1"/>
    <col min="9005" max="9005" width="9" style="2938" customWidth="1"/>
    <col min="9006" max="9216" width="8.88671875" style="2938"/>
    <col min="9217" max="9217" width="25.21875" style="2938" customWidth="1"/>
    <col min="9218" max="9218" width="7.109375" style="2938" customWidth="1"/>
    <col min="9219" max="9219" width="15.88671875" style="2938" customWidth="1"/>
    <col min="9220" max="9220" width="7.109375" style="2938" customWidth="1"/>
    <col min="9221" max="9221" width="5.21875" style="2938" customWidth="1"/>
    <col min="9222" max="9222" width="25.21875" style="2938" customWidth="1"/>
    <col min="9223" max="9224" width="9" style="2938" customWidth="1"/>
    <col min="9225" max="9225" width="33.6640625" style="2938" customWidth="1"/>
    <col min="9226" max="9227" width="15.88671875" style="2938" customWidth="1"/>
    <col min="9228" max="9228" width="16.6640625" style="2938" customWidth="1"/>
    <col min="9229" max="9229" width="9" style="2938" customWidth="1"/>
    <col min="9230" max="9230" width="13.44140625" style="2938" customWidth="1"/>
    <col min="9231" max="9231" width="9" style="2938" customWidth="1"/>
    <col min="9232" max="9232" width="11.33203125" style="2938" customWidth="1"/>
    <col min="9233" max="9234" width="17.77734375" style="2938" customWidth="1"/>
    <col min="9235" max="9235" width="14.77734375" style="2938" customWidth="1"/>
    <col min="9236" max="9237" width="12.88671875" style="2938" customWidth="1"/>
    <col min="9238" max="9238" width="0" style="2938" hidden="1" customWidth="1"/>
    <col min="9239" max="9239" width="9" style="2938" customWidth="1"/>
    <col min="9240" max="9243" width="10.21875" style="2938" customWidth="1"/>
    <col min="9244" max="9244" width="24.88671875" style="2938" customWidth="1"/>
    <col min="9245" max="9245" width="9" style="2938" customWidth="1"/>
    <col min="9246" max="9246" width="33.6640625" style="2938" customWidth="1"/>
    <col min="9247" max="9248" width="0" style="2938" hidden="1" customWidth="1"/>
    <col min="9249" max="9249" width="12.109375" style="2938" customWidth="1"/>
    <col min="9250" max="9250" width="0" style="2938" hidden="1" customWidth="1"/>
    <col min="9251" max="9251" width="18.21875" style="2938" customWidth="1"/>
    <col min="9252" max="9252" width="0" style="2938" hidden="1" customWidth="1"/>
    <col min="9253" max="9253" width="16.33203125" style="2938" customWidth="1"/>
    <col min="9254" max="9255" width="0" style="2938" hidden="1" customWidth="1"/>
    <col min="9256" max="9256" width="7.109375" style="2938" customWidth="1"/>
    <col min="9257" max="9257" width="18.44140625" style="2938" customWidth="1"/>
    <col min="9258" max="9260" width="0" style="2938" hidden="1" customWidth="1"/>
    <col min="9261" max="9261" width="9" style="2938" customWidth="1"/>
    <col min="9262" max="9472" width="8.88671875" style="2938"/>
    <col min="9473" max="9473" width="25.21875" style="2938" customWidth="1"/>
    <col min="9474" max="9474" width="7.109375" style="2938" customWidth="1"/>
    <col min="9475" max="9475" width="15.88671875" style="2938" customWidth="1"/>
    <col min="9476" max="9476" width="7.109375" style="2938" customWidth="1"/>
    <col min="9477" max="9477" width="5.21875" style="2938" customWidth="1"/>
    <col min="9478" max="9478" width="25.21875" style="2938" customWidth="1"/>
    <col min="9479" max="9480" width="9" style="2938" customWidth="1"/>
    <col min="9481" max="9481" width="33.6640625" style="2938" customWidth="1"/>
    <col min="9482" max="9483" width="15.88671875" style="2938" customWidth="1"/>
    <col min="9484" max="9484" width="16.6640625" style="2938" customWidth="1"/>
    <col min="9485" max="9485" width="9" style="2938" customWidth="1"/>
    <col min="9486" max="9486" width="13.44140625" style="2938" customWidth="1"/>
    <col min="9487" max="9487" width="9" style="2938" customWidth="1"/>
    <col min="9488" max="9488" width="11.33203125" style="2938" customWidth="1"/>
    <col min="9489" max="9490" width="17.77734375" style="2938" customWidth="1"/>
    <col min="9491" max="9491" width="14.77734375" style="2938" customWidth="1"/>
    <col min="9492" max="9493" width="12.88671875" style="2938" customWidth="1"/>
    <col min="9494" max="9494" width="0" style="2938" hidden="1" customWidth="1"/>
    <col min="9495" max="9495" width="9" style="2938" customWidth="1"/>
    <col min="9496" max="9499" width="10.21875" style="2938" customWidth="1"/>
    <col min="9500" max="9500" width="24.88671875" style="2938" customWidth="1"/>
    <col min="9501" max="9501" width="9" style="2938" customWidth="1"/>
    <col min="9502" max="9502" width="33.6640625" style="2938" customWidth="1"/>
    <col min="9503" max="9504" width="0" style="2938" hidden="1" customWidth="1"/>
    <col min="9505" max="9505" width="12.109375" style="2938" customWidth="1"/>
    <col min="9506" max="9506" width="0" style="2938" hidden="1" customWidth="1"/>
    <col min="9507" max="9507" width="18.21875" style="2938" customWidth="1"/>
    <col min="9508" max="9508" width="0" style="2938" hidden="1" customWidth="1"/>
    <col min="9509" max="9509" width="16.33203125" style="2938" customWidth="1"/>
    <col min="9510" max="9511" width="0" style="2938" hidden="1" customWidth="1"/>
    <col min="9512" max="9512" width="7.109375" style="2938" customWidth="1"/>
    <col min="9513" max="9513" width="18.44140625" style="2938" customWidth="1"/>
    <col min="9514" max="9516" width="0" style="2938" hidden="1" customWidth="1"/>
    <col min="9517" max="9517" width="9" style="2938" customWidth="1"/>
    <col min="9518" max="9728" width="8.88671875" style="2938"/>
    <col min="9729" max="9729" width="25.21875" style="2938" customWidth="1"/>
    <col min="9730" max="9730" width="7.109375" style="2938" customWidth="1"/>
    <col min="9731" max="9731" width="15.88671875" style="2938" customWidth="1"/>
    <col min="9732" max="9732" width="7.109375" style="2938" customWidth="1"/>
    <col min="9733" max="9733" width="5.21875" style="2938" customWidth="1"/>
    <col min="9734" max="9734" width="25.21875" style="2938" customWidth="1"/>
    <col min="9735" max="9736" width="9" style="2938" customWidth="1"/>
    <col min="9737" max="9737" width="33.6640625" style="2938" customWidth="1"/>
    <col min="9738" max="9739" width="15.88671875" style="2938" customWidth="1"/>
    <col min="9740" max="9740" width="16.6640625" style="2938" customWidth="1"/>
    <col min="9741" max="9741" width="9" style="2938" customWidth="1"/>
    <col min="9742" max="9742" width="13.44140625" style="2938" customWidth="1"/>
    <col min="9743" max="9743" width="9" style="2938" customWidth="1"/>
    <col min="9744" max="9744" width="11.33203125" style="2938" customWidth="1"/>
    <col min="9745" max="9746" width="17.77734375" style="2938" customWidth="1"/>
    <col min="9747" max="9747" width="14.77734375" style="2938" customWidth="1"/>
    <col min="9748" max="9749" width="12.88671875" style="2938" customWidth="1"/>
    <col min="9750" max="9750" width="0" style="2938" hidden="1" customWidth="1"/>
    <col min="9751" max="9751" width="9" style="2938" customWidth="1"/>
    <col min="9752" max="9755" width="10.21875" style="2938" customWidth="1"/>
    <col min="9756" max="9756" width="24.88671875" style="2938" customWidth="1"/>
    <col min="9757" max="9757" width="9" style="2938" customWidth="1"/>
    <col min="9758" max="9758" width="33.6640625" style="2938" customWidth="1"/>
    <col min="9759" max="9760" width="0" style="2938" hidden="1" customWidth="1"/>
    <col min="9761" max="9761" width="12.109375" style="2938" customWidth="1"/>
    <col min="9762" max="9762" width="0" style="2938" hidden="1" customWidth="1"/>
    <col min="9763" max="9763" width="18.21875" style="2938" customWidth="1"/>
    <col min="9764" max="9764" width="0" style="2938" hidden="1" customWidth="1"/>
    <col min="9765" max="9765" width="16.33203125" style="2938" customWidth="1"/>
    <col min="9766" max="9767" width="0" style="2938" hidden="1" customWidth="1"/>
    <col min="9768" max="9768" width="7.109375" style="2938" customWidth="1"/>
    <col min="9769" max="9769" width="18.44140625" style="2938" customWidth="1"/>
    <col min="9770" max="9772" width="0" style="2938" hidden="1" customWidth="1"/>
    <col min="9773" max="9773" width="9" style="2938" customWidth="1"/>
    <col min="9774" max="9984" width="8.88671875" style="2938"/>
    <col min="9985" max="9985" width="25.21875" style="2938" customWidth="1"/>
    <col min="9986" max="9986" width="7.109375" style="2938" customWidth="1"/>
    <col min="9987" max="9987" width="15.88671875" style="2938" customWidth="1"/>
    <col min="9988" max="9988" width="7.109375" style="2938" customWidth="1"/>
    <col min="9989" max="9989" width="5.21875" style="2938" customWidth="1"/>
    <col min="9990" max="9990" width="25.21875" style="2938" customWidth="1"/>
    <col min="9991" max="9992" width="9" style="2938" customWidth="1"/>
    <col min="9993" max="9993" width="33.6640625" style="2938" customWidth="1"/>
    <col min="9994" max="9995" width="15.88671875" style="2938" customWidth="1"/>
    <col min="9996" max="9996" width="16.6640625" style="2938" customWidth="1"/>
    <col min="9997" max="9997" width="9" style="2938" customWidth="1"/>
    <col min="9998" max="9998" width="13.44140625" style="2938" customWidth="1"/>
    <col min="9999" max="9999" width="9" style="2938" customWidth="1"/>
    <col min="10000" max="10000" width="11.33203125" style="2938" customWidth="1"/>
    <col min="10001" max="10002" width="17.77734375" style="2938" customWidth="1"/>
    <col min="10003" max="10003" width="14.77734375" style="2938" customWidth="1"/>
    <col min="10004" max="10005" width="12.88671875" style="2938" customWidth="1"/>
    <col min="10006" max="10006" width="0" style="2938" hidden="1" customWidth="1"/>
    <col min="10007" max="10007" width="9" style="2938" customWidth="1"/>
    <col min="10008" max="10011" width="10.21875" style="2938" customWidth="1"/>
    <col min="10012" max="10012" width="24.88671875" style="2938" customWidth="1"/>
    <col min="10013" max="10013" width="9" style="2938" customWidth="1"/>
    <col min="10014" max="10014" width="33.6640625" style="2938" customWidth="1"/>
    <col min="10015" max="10016" width="0" style="2938" hidden="1" customWidth="1"/>
    <col min="10017" max="10017" width="12.109375" style="2938" customWidth="1"/>
    <col min="10018" max="10018" width="0" style="2938" hidden="1" customWidth="1"/>
    <col min="10019" max="10019" width="18.21875" style="2938" customWidth="1"/>
    <col min="10020" max="10020" width="0" style="2938" hidden="1" customWidth="1"/>
    <col min="10021" max="10021" width="16.33203125" style="2938" customWidth="1"/>
    <col min="10022" max="10023" width="0" style="2938" hidden="1" customWidth="1"/>
    <col min="10024" max="10024" width="7.109375" style="2938" customWidth="1"/>
    <col min="10025" max="10025" width="18.44140625" style="2938" customWidth="1"/>
    <col min="10026" max="10028" width="0" style="2938" hidden="1" customWidth="1"/>
    <col min="10029" max="10029" width="9" style="2938" customWidth="1"/>
    <col min="10030" max="10240" width="8.88671875" style="2938"/>
    <col min="10241" max="10241" width="25.21875" style="2938" customWidth="1"/>
    <col min="10242" max="10242" width="7.109375" style="2938" customWidth="1"/>
    <col min="10243" max="10243" width="15.88671875" style="2938" customWidth="1"/>
    <col min="10244" max="10244" width="7.109375" style="2938" customWidth="1"/>
    <col min="10245" max="10245" width="5.21875" style="2938" customWidth="1"/>
    <col min="10246" max="10246" width="25.21875" style="2938" customWidth="1"/>
    <col min="10247" max="10248" width="9" style="2938" customWidth="1"/>
    <col min="10249" max="10249" width="33.6640625" style="2938" customWidth="1"/>
    <col min="10250" max="10251" width="15.88671875" style="2938" customWidth="1"/>
    <col min="10252" max="10252" width="16.6640625" style="2938" customWidth="1"/>
    <col min="10253" max="10253" width="9" style="2938" customWidth="1"/>
    <col min="10254" max="10254" width="13.44140625" style="2938" customWidth="1"/>
    <col min="10255" max="10255" width="9" style="2938" customWidth="1"/>
    <col min="10256" max="10256" width="11.33203125" style="2938" customWidth="1"/>
    <col min="10257" max="10258" width="17.77734375" style="2938" customWidth="1"/>
    <col min="10259" max="10259" width="14.77734375" style="2938" customWidth="1"/>
    <col min="10260" max="10261" width="12.88671875" style="2938" customWidth="1"/>
    <col min="10262" max="10262" width="0" style="2938" hidden="1" customWidth="1"/>
    <col min="10263" max="10263" width="9" style="2938" customWidth="1"/>
    <col min="10264" max="10267" width="10.21875" style="2938" customWidth="1"/>
    <col min="10268" max="10268" width="24.88671875" style="2938" customWidth="1"/>
    <col min="10269" max="10269" width="9" style="2938" customWidth="1"/>
    <col min="10270" max="10270" width="33.6640625" style="2938" customWidth="1"/>
    <col min="10271" max="10272" width="0" style="2938" hidden="1" customWidth="1"/>
    <col min="10273" max="10273" width="12.109375" style="2938" customWidth="1"/>
    <col min="10274" max="10274" width="0" style="2938" hidden="1" customWidth="1"/>
    <col min="10275" max="10275" width="18.21875" style="2938" customWidth="1"/>
    <col min="10276" max="10276" width="0" style="2938" hidden="1" customWidth="1"/>
    <col min="10277" max="10277" width="16.33203125" style="2938" customWidth="1"/>
    <col min="10278" max="10279" width="0" style="2938" hidden="1" customWidth="1"/>
    <col min="10280" max="10280" width="7.109375" style="2938" customWidth="1"/>
    <col min="10281" max="10281" width="18.44140625" style="2938" customWidth="1"/>
    <col min="10282" max="10284" width="0" style="2938" hidden="1" customWidth="1"/>
    <col min="10285" max="10285" width="9" style="2938" customWidth="1"/>
    <col min="10286" max="10496" width="8.88671875" style="2938"/>
    <col min="10497" max="10497" width="25.21875" style="2938" customWidth="1"/>
    <col min="10498" max="10498" width="7.109375" style="2938" customWidth="1"/>
    <col min="10499" max="10499" width="15.88671875" style="2938" customWidth="1"/>
    <col min="10500" max="10500" width="7.109375" style="2938" customWidth="1"/>
    <col min="10501" max="10501" width="5.21875" style="2938" customWidth="1"/>
    <col min="10502" max="10502" width="25.21875" style="2938" customWidth="1"/>
    <col min="10503" max="10504" width="9" style="2938" customWidth="1"/>
    <col min="10505" max="10505" width="33.6640625" style="2938" customWidth="1"/>
    <col min="10506" max="10507" width="15.88671875" style="2938" customWidth="1"/>
    <col min="10508" max="10508" width="16.6640625" style="2938" customWidth="1"/>
    <col min="10509" max="10509" width="9" style="2938" customWidth="1"/>
    <col min="10510" max="10510" width="13.44140625" style="2938" customWidth="1"/>
    <col min="10511" max="10511" width="9" style="2938" customWidth="1"/>
    <col min="10512" max="10512" width="11.33203125" style="2938" customWidth="1"/>
    <col min="10513" max="10514" width="17.77734375" style="2938" customWidth="1"/>
    <col min="10515" max="10515" width="14.77734375" style="2938" customWidth="1"/>
    <col min="10516" max="10517" width="12.88671875" style="2938" customWidth="1"/>
    <col min="10518" max="10518" width="0" style="2938" hidden="1" customWidth="1"/>
    <col min="10519" max="10519" width="9" style="2938" customWidth="1"/>
    <col min="10520" max="10523" width="10.21875" style="2938" customWidth="1"/>
    <col min="10524" max="10524" width="24.88671875" style="2938" customWidth="1"/>
    <col min="10525" max="10525" width="9" style="2938" customWidth="1"/>
    <col min="10526" max="10526" width="33.6640625" style="2938" customWidth="1"/>
    <col min="10527" max="10528" width="0" style="2938" hidden="1" customWidth="1"/>
    <col min="10529" max="10529" width="12.109375" style="2938" customWidth="1"/>
    <col min="10530" max="10530" width="0" style="2938" hidden="1" customWidth="1"/>
    <col min="10531" max="10531" width="18.21875" style="2938" customWidth="1"/>
    <col min="10532" max="10532" width="0" style="2938" hidden="1" customWidth="1"/>
    <col min="10533" max="10533" width="16.33203125" style="2938" customWidth="1"/>
    <col min="10534" max="10535" width="0" style="2938" hidden="1" customWidth="1"/>
    <col min="10536" max="10536" width="7.109375" style="2938" customWidth="1"/>
    <col min="10537" max="10537" width="18.44140625" style="2938" customWidth="1"/>
    <col min="10538" max="10540" width="0" style="2938" hidden="1" customWidth="1"/>
    <col min="10541" max="10541" width="9" style="2938" customWidth="1"/>
    <col min="10542" max="10752" width="8.88671875" style="2938"/>
    <col min="10753" max="10753" width="25.21875" style="2938" customWidth="1"/>
    <col min="10754" max="10754" width="7.109375" style="2938" customWidth="1"/>
    <col min="10755" max="10755" width="15.88671875" style="2938" customWidth="1"/>
    <col min="10756" max="10756" width="7.109375" style="2938" customWidth="1"/>
    <col min="10757" max="10757" width="5.21875" style="2938" customWidth="1"/>
    <col min="10758" max="10758" width="25.21875" style="2938" customWidth="1"/>
    <col min="10759" max="10760" width="9" style="2938" customWidth="1"/>
    <col min="10761" max="10761" width="33.6640625" style="2938" customWidth="1"/>
    <col min="10762" max="10763" width="15.88671875" style="2938" customWidth="1"/>
    <col min="10764" max="10764" width="16.6640625" style="2938" customWidth="1"/>
    <col min="10765" max="10765" width="9" style="2938" customWidth="1"/>
    <col min="10766" max="10766" width="13.44140625" style="2938" customWidth="1"/>
    <col min="10767" max="10767" width="9" style="2938" customWidth="1"/>
    <col min="10768" max="10768" width="11.33203125" style="2938" customWidth="1"/>
    <col min="10769" max="10770" width="17.77734375" style="2938" customWidth="1"/>
    <col min="10771" max="10771" width="14.77734375" style="2938" customWidth="1"/>
    <col min="10772" max="10773" width="12.88671875" style="2938" customWidth="1"/>
    <col min="10774" max="10774" width="0" style="2938" hidden="1" customWidth="1"/>
    <col min="10775" max="10775" width="9" style="2938" customWidth="1"/>
    <col min="10776" max="10779" width="10.21875" style="2938" customWidth="1"/>
    <col min="10780" max="10780" width="24.88671875" style="2938" customWidth="1"/>
    <col min="10781" max="10781" width="9" style="2938" customWidth="1"/>
    <col min="10782" max="10782" width="33.6640625" style="2938" customWidth="1"/>
    <col min="10783" max="10784" width="0" style="2938" hidden="1" customWidth="1"/>
    <col min="10785" max="10785" width="12.109375" style="2938" customWidth="1"/>
    <col min="10786" max="10786" width="0" style="2938" hidden="1" customWidth="1"/>
    <col min="10787" max="10787" width="18.21875" style="2938" customWidth="1"/>
    <col min="10788" max="10788" width="0" style="2938" hidden="1" customWidth="1"/>
    <col min="10789" max="10789" width="16.33203125" style="2938" customWidth="1"/>
    <col min="10790" max="10791" width="0" style="2938" hidden="1" customWidth="1"/>
    <col min="10792" max="10792" width="7.109375" style="2938" customWidth="1"/>
    <col min="10793" max="10793" width="18.44140625" style="2938" customWidth="1"/>
    <col min="10794" max="10796" width="0" style="2938" hidden="1" customWidth="1"/>
    <col min="10797" max="10797" width="9" style="2938" customWidth="1"/>
    <col min="10798" max="11008" width="8.88671875" style="2938"/>
    <col min="11009" max="11009" width="25.21875" style="2938" customWidth="1"/>
    <col min="11010" max="11010" width="7.109375" style="2938" customWidth="1"/>
    <col min="11011" max="11011" width="15.88671875" style="2938" customWidth="1"/>
    <col min="11012" max="11012" width="7.109375" style="2938" customWidth="1"/>
    <col min="11013" max="11013" width="5.21875" style="2938" customWidth="1"/>
    <col min="11014" max="11014" width="25.21875" style="2938" customWidth="1"/>
    <col min="11015" max="11016" width="9" style="2938" customWidth="1"/>
    <col min="11017" max="11017" width="33.6640625" style="2938" customWidth="1"/>
    <col min="11018" max="11019" width="15.88671875" style="2938" customWidth="1"/>
    <col min="11020" max="11020" width="16.6640625" style="2938" customWidth="1"/>
    <col min="11021" max="11021" width="9" style="2938" customWidth="1"/>
    <col min="11022" max="11022" width="13.44140625" style="2938" customWidth="1"/>
    <col min="11023" max="11023" width="9" style="2938" customWidth="1"/>
    <col min="11024" max="11024" width="11.33203125" style="2938" customWidth="1"/>
    <col min="11025" max="11026" width="17.77734375" style="2938" customWidth="1"/>
    <col min="11027" max="11027" width="14.77734375" style="2938" customWidth="1"/>
    <col min="11028" max="11029" width="12.88671875" style="2938" customWidth="1"/>
    <col min="11030" max="11030" width="0" style="2938" hidden="1" customWidth="1"/>
    <col min="11031" max="11031" width="9" style="2938" customWidth="1"/>
    <col min="11032" max="11035" width="10.21875" style="2938" customWidth="1"/>
    <col min="11036" max="11036" width="24.88671875" style="2938" customWidth="1"/>
    <col min="11037" max="11037" width="9" style="2938" customWidth="1"/>
    <col min="11038" max="11038" width="33.6640625" style="2938" customWidth="1"/>
    <col min="11039" max="11040" width="0" style="2938" hidden="1" customWidth="1"/>
    <col min="11041" max="11041" width="12.109375" style="2938" customWidth="1"/>
    <col min="11042" max="11042" width="0" style="2938" hidden="1" customWidth="1"/>
    <col min="11043" max="11043" width="18.21875" style="2938" customWidth="1"/>
    <col min="11044" max="11044" width="0" style="2938" hidden="1" customWidth="1"/>
    <col min="11045" max="11045" width="16.33203125" style="2938" customWidth="1"/>
    <col min="11046" max="11047" width="0" style="2938" hidden="1" customWidth="1"/>
    <col min="11048" max="11048" width="7.109375" style="2938" customWidth="1"/>
    <col min="11049" max="11049" width="18.44140625" style="2938" customWidth="1"/>
    <col min="11050" max="11052" width="0" style="2938" hidden="1" customWidth="1"/>
    <col min="11053" max="11053" width="9" style="2938" customWidth="1"/>
    <col min="11054" max="11264" width="8.88671875" style="2938"/>
    <col min="11265" max="11265" width="25.21875" style="2938" customWidth="1"/>
    <col min="11266" max="11266" width="7.109375" style="2938" customWidth="1"/>
    <col min="11267" max="11267" width="15.88671875" style="2938" customWidth="1"/>
    <col min="11268" max="11268" width="7.109375" style="2938" customWidth="1"/>
    <col min="11269" max="11269" width="5.21875" style="2938" customWidth="1"/>
    <col min="11270" max="11270" width="25.21875" style="2938" customWidth="1"/>
    <col min="11271" max="11272" width="9" style="2938" customWidth="1"/>
    <col min="11273" max="11273" width="33.6640625" style="2938" customWidth="1"/>
    <col min="11274" max="11275" width="15.88671875" style="2938" customWidth="1"/>
    <col min="11276" max="11276" width="16.6640625" style="2938" customWidth="1"/>
    <col min="11277" max="11277" width="9" style="2938" customWidth="1"/>
    <col min="11278" max="11278" width="13.44140625" style="2938" customWidth="1"/>
    <col min="11279" max="11279" width="9" style="2938" customWidth="1"/>
    <col min="11280" max="11280" width="11.33203125" style="2938" customWidth="1"/>
    <col min="11281" max="11282" width="17.77734375" style="2938" customWidth="1"/>
    <col min="11283" max="11283" width="14.77734375" style="2938" customWidth="1"/>
    <col min="11284" max="11285" width="12.88671875" style="2938" customWidth="1"/>
    <col min="11286" max="11286" width="0" style="2938" hidden="1" customWidth="1"/>
    <col min="11287" max="11287" width="9" style="2938" customWidth="1"/>
    <col min="11288" max="11291" width="10.21875" style="2938" customWidth="1"/>
    <col min="11292" max="11292" width="24.88671875" style="2938" customWidth="1"/>
    <col min="11293" max="11293" width="9" style="2938" customWidth="1"/>
    <col min="11294" max="11294" width="33.6640625" style="2938" customWidth="1"/>
    <col min="11295" max="11296" width="0" style="2938" hidden="1" customWidth="1"/>
    <col min="11297" max="11297" width="12.109375" style="2938" customWidth="1"/>
    <col min="11298" max="11298" width="0" style="2938" hidden="1" customWidth="1"/>
    <col min="11299" max="11299" width="18.21875" style="2938" customWidth="1"/>
    <col min="11300" max="11300" width="0" style="2938" hidden="1" customWidth="1"/>
    <col min="11301" max="11301" width="16.33203125" style="2938" customWidth="1"/>
    <col min="11302" max="11303" width="0" style="2938" hidden="1" customWidth="1"/>
    <col min="11304" max="11304" width="7.109375" style="2938" customWidth="1"/>
    <col min="11305" max="11305" width="18.44140625" style="2938" customWidth="1"/>
    <col min="11306" max="11308" width="0" style="2938" hidden="1" customWidth="1"/>
    <col min="11309" max="11309" width="9" style="2938" customWidth="1"/>
    <col min="11310" max="11520" width="8.88671875" style="2938"/>
    <col min="11521" max="11521" width="25.21875" style="2938" customWidth="1"/>
    <col min="11522" max="11522" width="7.109375" style="2938" customWidth="1"/>
    <col min="11523" max="11523" width="15.88671875" style="2938" customWidth="1"/>
    <col min="11524" max="11524" width="7.109375" style="2938" customWidth="1"/>
    <col min="11525" max="11525" width="5.21875" style="2938" customWidth="1"/>
    <col min="11526" max="11526" width="25.21875" style="2938" customWidth="1"/>
    <col min="11527" max="11528" width="9" style="2938" customWidth="1"/>
    <col min="11529" max="11529" width="33.6640625" style="2938" customWidth="1"/>
    <col min="11530" max="11531" width="15.88671875" style="2938" customWidth="1"/>
    <col min="11532" max="11532" width="16.6640625" style="2938" customWidth="1"/>
    <col min="11533" max="11533" width="9" style="2938" customWidth="1"/>
    <col min="11534" max="11534" width="13.44140625" style="2938" customWidth="1"/>
    <col min="11535" max="11535" width="9" style="2938" customWidth="1"/>
    <col min="11536" max="11536" width="11.33203125" style="2938" customWidth="1"/>
    <col min="11537" max="11538" width="17.77734375" style="2938" customWidth="1"/>
    <col min="11539" max="11539" width="14.77734375" style="2938" customWidth="1"/>
    <col min="11540" max="11541" width="12.88671875" style="2938" customWidth="1"/>
    <col min="11542" max="11542" width="0" style="2938" hidden="1" customWidth="1"/>
    <col min="11543" max="11543" width="9" style="2938" customWidth="1"/>
    <col min="11544" max="11547" width="10.21875" style="2938" customWidth="1"/>
    <col min="11548" max="11548" width="24.88671875" style="2938" customWidth="1"/>
    <col min="11549" max="11549" width="9" style="2938" customWidth="1"/>
    <col min="11550" max="11550" width="33.6640625" style="2938" customWidth="1"/>
    <col min="11551" max="11552" width="0" style="2938" hidden="1" customWidth="1"/>
    <col min="11553" max="11553" width="12.109375" style="2938" customWidth="1"/>
    <col min="11554" max="11554" width="0" style="2938" hidden="1" customWidth="1"/>
    <col min="11555" max="11555" width="18.21875" style="2938" customWidth="1"/>
    <col min="11556" max="11556" width="0" style="2938" hidden="1" customWidth="1"/>
    <col min="11557" max="11557" width="16.33203125" style="2938" customWidth="1"/>
    <col min="11558" max="11559" width="0" style="2938" hidden="1" customWidth="1"/>
    <col min="11560" max="11560" width="7.109375" style="2938" customWidth="1"/>
    <col min="11561" max="11561" width="18.44140625" style="2938" customWidth="1"/>
    <col min="11562" max="11564" width="0" style="2938" hidden="1" customWidth="1"/>
    <col min="11565" max="11565" width="9" style="2938" customWidth="1"/>
    <col min="11566" max="11776" width="8.88671875" style="2938"/>
    <col min="11777" max="11777" width="25.21875" style="2938" customWidth="1"/>
    <col min="11778" max="11778" width="7.109375" style="2938" customWidth="1"/>
    <col min="11779" max="11779" width="15.88671875" style="2938" customWidth="1"/>
    <col min="11780" max="11780" width="7.109375" style="2938" customWidth="1"/>
    <col min="11781" max="11781" width="5.21875" style="2938" customWidth="1"/>
    <col min="11782" max="11782" width="25.21875" style="2938" customWidth="1"/>
    <col min="11783" max="11784" width="9" style="2938" customWidth="1"/>
    <col min="11785" max="11785" width="33.6640625" style="2938" customWidth="1"/>
    <col min="11786" max="11787" width="15.88671875" style="2938" customWidth="1"/>
    <col min="11788" max="11788" width="16.6640625" style="2938" customWidth="1"/>
    <col min="11789" max="11789" width="9" style="2938" customWidth="1"/>
    <col min="11790" max="11790" width="13.44140625" style="2938" customWidth="1"/>
    <col min="11791" max="11791" width="9" style="2938" customWidth="1"/>
    <col min="11792" max="11792" width="11.33203125" style="2938" customWidth="1"/>
    <col min="11793" max="11794" width="17.77734375" style="2938" customWidth="1"/>
    <col min="11795" max="11795" width="14.77734375" style="2938" customWidth="1"/>
    <col min="11796" max="11797" width="12.88671875" style="2938" customWidth="1"/>
    <col min="11798" max="11798" width="0" style="2938" hidden="1" customWidth="1"/>
    <col min="11799" max="11799" width="9" style="2938" customWidth="1"/>
    <col min="11800" max="11803" width="10.21875" style="2938" customWidth="1"/>
    <col min="11804" max="11804" width="24.88671875" style="2938" customWidth="1"/>
    <col min="11805" max="11805" width="9" style="2938" customWidth="1"/>
    <col min="11806" max="11806" width="33.6640625" style="2938" customWidth="1"/>
    <col min="11807" max="11808" width="0" style="2938" hidden="1" customWidth="1"/>
    <col min="11809" max="11809" width="12.109375" style="2938" customWidth="1"/>
    <col min="11810" max="11810" width="0" style="2938" hidden="1" customWidth="1"/>
    <col min="11811" max="11811" width="18.21875" style="2938" customWidth="1"/>
    <col min="11812" max="11812" width="0" style="2938" hidden="1" customWidth="1"/>
    <col min="11813" max="11813" width="16.33203125" style="2938" customWidth="1"/>
    <col min="11814" max="11815" width="0" style="2938" hidden="1" customWidth="1"/>
    <col min="11816" max="11816" width="7.109375" style="2938" customWidth="1"/>
    <col min="11817" max="11817" width="18.44140625" style="2938" customWidth="1"/>
    <col min="11818" max="11820" width="0" style="2938" hidden="1" customWidth="1"/>
    <col min="11821" max="11821" width="9" style="2938" customWidth="1"/>
    <col min="11822" max="12032" width="8.88671875" style="2938"/>
    <col min="12033" max="12033" width="25.21875" style="2938" customWidth="1"/>
    <col min="12034" max="12034" width="7.109375" style="2938" customWidth="1"/>
    <col min="12035" max="12035" width="15.88671875" style="2938" customWidth="1"/>
    <col min="12036" max="12036" width="7.109375" style="2938" customWidth="1"/>
    <col min="12037" max="12037" width="5.21875" style="2938" customWidth="1"/>
    <col min="12038" max="12038" width="25.21875" style="2938" customWidth="1"/>
    <col min="12039" max="12040" width="9" style="2938" customWidth="1"/>
    <col min="12041" max="12041" width="33.6640625" style="2938" customWidth="1"/>
    <col min="12042" max="12043" width="15.88671875" style="2938" customWidth="1"/>
    <col min="12044" max="12044" width="16.6640625" style="2938" customWidth="1"/>
    <col min="12045" max="12045" width="9" style="2938" customWidth="1"/>
    <col min="12046" max="12046" width="13.44140625" style="2938" customWidth="1"/>
    <col min="12047" max="12047" width="9" style="2938" customWidth="1"/>
    <col min="12048" max="12048" width="11.33203125" style="2938" customWidth="1"/>
    <col min="12049" max="12050" width="17.77734375" style="2938" customWidth="1"/>
    <col min="12051" max="12051" width="14.77734375" style="2938" customWidth="1"/>
    <col min="12052" max="12053" width="12.88671875" style="2938" customWidth="1"/>
    <col min="12054" max="12054" width="0" style="2938" hidden="1" customWidth="1"/>
    <col min="12055" max="12055" width="9" style="2938" customWidth="1"/>
    <col min="12056" max="12059" width="10.21875" style="2938" customWidth="1"/>
    <col min="12060" max="12060" width="24.88671875" style="2938" customWidth="1"/>
    <col min="12061" max="12061" width="9" style="2938" customWidth="1"/>
    <col min="12062" max="12062" width="33.6640625" style="2938" customWidth="1"/>
    <col min="12063" max="12064" width="0" style="2938" hidden="1" customWidth="1"/>
    <col min="12065" max="12065" width="12.109375" style="2938" customWidth="1"/>
    <col min="12066" max="12066" width="0" style="2938" hidden="1" customWidth="1"/>
    <col min="12067" max="12067" width="18.21875" style="2938" customWidth="1"/>
    <col min="12068" max="12068" width="0" style="2938" hidden="1" customWidth="1"/>
    <col min="12069" max="12069" width="16.33203125" style="2938" customWidth="1"/>
    <col min="12070" max="12071" width="0" style="2938" hidden="1" customWidth="1"/>
    <col min="12072" max="12072" width="7.109375" style="2938" customWidth="1"/>
    <col min="12073" max="12073" width="18.44140625" style="2938" customWidth="1"/>
    <col min="12074" max="12076" width="0" style="2938" hidden="1" customWidth="1"/>
    <col min="12077" max="12077" width="9" style="2938" customWidth="1"/>
    <col min="12078" max="12288" width="8.88671875" style="2938"/>
    <col min="12289" max="12289" width="25.21875" style="2938" customWidth="1"/>
    <col min="12290" max="12290" width="7.109375" style="2938" customWidth="1"/>
    <col min="12291" max="12291" width="15.88671875" style="2938" customWidth="1"/>
    <col min="12292" max="12292" width="7.109375" style="2938" customWidth="1"/>
    <col min="12293" max="12293" width="5.21875" style="2938" customWidth="1"/>
    <col min="12294" max="12294" width="25.21875" style="2938" customWidth="1"/>
    <col min="12295" max="12296" width="9" style="2938" customWidth="1"/>
    <col min="12297" max="12297" width="33.6640625" style="2938" customWidth="1"/>
    <col min="12298" max="12299" width="15.88671875" style="2938" customWidth="1"/>
    <col min="12300" max="12300" width="16.6640625" style="2938" customWidth="1"/>
    <col min="12301" max="12301" width="9" style="2938" customWidth="1"/>
    <col min="12302" max="12302" width="13.44140625" style="2938" customWidth="1"/>
    <col min="12303" max="12303" width="9" style="2938" customWidth="1"/>
    <col min="12304" max="12304" width="11.33203125" style="2938" customWidth="1"/>
    <col min="12305" max="12306" width="17.77734375" style="2938" customWidth="1"/>
    <col min="12307" max="12307" width="14.77734375" style="2938" customWidth="1"/>
    <col min="12308" max="12309" width="12.88671875" style="2938" customWidth="1"/>
    <col min="12310" max="12310" width="0" style="2938" hidden="1" customWidth="1"/>
    <col min="12311" max="12311" width="9" style="2938" customWidth="1"/>
    <col min="12312" max="12315" width="10.21875" style="2938" customWidth="1"/>
    <col min="12316" max="12316" width="24.88671875" style="2938" customWidth="1"/>
    <col min="12317" max="12317" width="9" style="2938" customWidth="1"/>
    <col min="12318" max="12318" width="33.6640625" style="2938" customWidth="1"/>
    <col min="12319" max="12320" width="0" style="2938" hidden="1" customWidth="1"/>
    <col min="12321" max="12321" width="12.109375" style="2938" customWidth="1"/>
    <col min="12322" max="12322" width="0" style="2938" hidden="1" customWidth="1"/>
    <col min="12323" max="12323" width="18.21875" style="2938" customWidth="1"/>
    <col min="12324" max="12324" width="0" style="2938" hidden="1" customWidth="1"/>
    <col min="12325" max="12325" width="16.33203125" style="2938" customWidth="1"/>
    <col min="12326" max="12327" width="0" style="2938" hidden="1" customWidth="1"/>
    <col min="12328" max="12328" width="7.109375" style="2938" customWidth="1"/>
    <col min="12329" max="12329" width="18.44140625" style="2938" customWidth="1"/>
    <col min="12330" max="12332" width="0" style="2938" hidden="1" customWidth="1"/>
    <col min="12333" max="12333" width="9" style="2938" customWidth="1"/>
    <col min="12334" max="12544" width="8.88671875" style="2938"/>
    <col min="12545" max="12545" width="25.21875" style="2938" customWidth="1"/>
    <col min="12546" max="12546" width="7.109375" style="2938" customWidth="1"/>
    <col min="12547" max="12547" width="15.88671875" style="2938" customWidth="1"/>
    <col min="12548" max="12548" width="7.109375" style="2938" customWidth="1"/>
    <col min="12549" max="12549" width="5.21875" style="2938" customWidth="1"/>
    <col min="12550" max="12550" width="25.21875" style="2938" customWidth="1"/>
    <col min="12551" max="12552" width="9" style="2938" customWidth="1"/>
    <col min="12553" max="12553" width="33.6640625" style="2938" customWidth="1"/>
    <col min="12554" max="12555" width="15.88671875" style="2938" customWidth="1"/>
    <col min="12556" max="12556" width="16.6640625" style="2938" customWidth="1"/>
    <col min="12557" max="12557" width="9" style="2938" customWidth="1"/>
    <col min="12558" max="12558" width="13.44140625" style="2938" customWidth="1"/>
    <col min="12559" max="12559" width="9" style="2938" customWidth="1"/>
    <col min="12560" max="12560" width="11.33203125" style="2938" customWidth="1"/>
    <col min="12561" max="12562" width="17.77734375" style="2938" customWidth="1"/>
    <col min="12563" max="12563" width="14.77734375" style="2938" customWidth="1"/>
    <col min="12564" max="12565" width="12.88671875" style="2938" customWidth="1"/>
    <col min="12566" max="12566" width="0" style="2938" hidden="1" customWidth="1"/>
    <col min="12567" max="12567" width="9" style="2938" customWidth="1"/>
    <col min="12568" max="12571" width="10.21875" style="2938" customWidth="1"/>
    <col min="12572" max="12572" width="24.88671875" style="2938" customWidth="1"/>
    <col min="12573" max="12573" width="9" style="2938" customWidth="1"/>
    <col min="12574" max="12574" width="33.6640625" style="2938" customWidth="1"/>
    <col min="12575" max="12576" width="0" style="2938" hidden="1" customWidth="1"/>
    <col min="12577" max="12577" width="12.109375" style="2938" customWidth="1"/>
    <col min="12578" max="12578" width="0" style="2938" hidden="1" customWidth="1"/>
    <col min="12579" max="12579" width="18.21875" style="2938" customWidth="1"/>
    <col min="12580" max="12580" width="0" style="2938" hidden="1" customWidth="1"/>
    <col min="12581" max="12581" width="16.33203125" style="2938" customWidth="1"/>
    <col min="12582" max="12583" width="0" style="2938" hidden="1" customWidth="1"/>
    <col min="12584" max="12584" width="7.109375" style="2938" customWidth="1"/>
    <col min="12585" max="12585" width="18.44140625" style="2938" customWidth="1"/>
    <col min="12586" max="12588" width="0" style="2938" hidden="1" customWidth="1"/>
    <col min="12589" max="12589" width="9" style="2938" customWidth="1"/>
    <col min="12590" max="12800" width="8.88671875" style="2938"/>
    <col min="12801" max="12801" width="25.21875" style="2938" customWidth="1"/>
    <col min="12802" max="12802" width="7.109375" style="2938" customWidth="1"/>
    <col min="12803" max="12803" width="15.88671875" style="2938" customWidth="1"/>
    <col min="12804" max="12804" width="7.109375" style="2938" customWidth="1"/>
    <col min="12805" max="12805" width="5.21875" style="2938" customWidth="1"/>
    <col min="12806" max="12806" width="25.21875" style="2938" customWidth="1"/>
    <col min="12807" max="12808" width="9" style="2938" customWidth="1"/>
    <col min="12809" max="12809" width="33.6640625" style="2938" customWidth="1"/>
    <col min="12810" max="12811" width="15.88671875" style="2938" customWidth="1"/>
    <col min="12812" max="12812" width="16.6640625" style="2938" customWidth="1"/>
    <col min="12813" max="12813" width="9" style="2938" customWidth="1"/>
    <col min="12814" max="12814" width="13.44140625" style="2938" customWidth="1"/>
    <col min="12815" max="12815" width="9" style="2938" customWidth="1"/>
    <col min="12816" max="12816" width="11.33203125" style="2938" customWidth="1"/>
    <col min="12817" max="12818" width="17.77734375" style="2938" customWidth="1"/>
    <col min="12819" max="12819" width="14.77734375" style="2938" customWidth="1"/>
    <col min="12820" max="12821" width="12.88671875" style="2938" customWidth="1"/>
    <col min="12822" max="12822" width="0" style="2938" hidden="1" customWidth="1"/>
    <col min="12823" max="12823" width="9" style="2938" customWidth="1"/>
    <col min="12824" max="12827" width="10.21875" style="2938" customWidth="1"/>
    <col min="12828" max="12828" width="24.88671875" style="2938" customWidth="1"/>
    <col min="12829" max="12829" width="9" style="2938" customWidth="1"/>
    <col min="12830" max="12830" width="33.6640625" style="2938" customWidth="1"/>
    <col min="12831" max="12832" width="0" style="2938" hidden="1" customWidth="1"/>
    <col min="12833" max="12833" width="12.109375" style="2938" customWidth="1"/>
    <col min="12834" max="12834" width="0" style="2938" hidden="1" customWidth="1"/>
    <col min="12835" max="12835" width="18.21875" style="2938" customWidth="1"/>
    <col min="12836" max="12836" width="0" style="2938" hidden="1" customWidth="1"/>
    <col min="12837" max="12837" width="16.33203125" style="2938" customWidth="1"/>
    <col min="12838" max="12839" width="0" style="2938" hidden="1" customWidth="1"/>
    <col min="12840" max="12840" width="7.109375" style="2938" customWidth="1"/>
    <col min="12841" max="12841" width="18.44140625" style="2938" customWidth="1"/>
    <col min="12842" max="12844" width="0" style="2938" hidden="1" customWidth="1"/>
    <col min="12845" max="12845" width="9" style="2938" customWidth="1"/>
    <col min="12846" max="13056" width="8.88671875" style="2938"/>
    <col min="13057" max="13057" width="25.21875" style="2938" customWidth="1"/>
    <col min="13058" max="13058" width="7.109375" style="2938" customWidth="1"/>
    <col min="13059" max="13059" width="15.88671875" style="2938" customWidth="1"/>
    <col min="13060" max="13060" width="7.109375" style="2938" customWidth="1"/>
    <col min="13061" max="13061" width="5.21875" style="2938" customWidth="1"/>
    <col min="13062" max="13062" width="25.21875" style="2938" customWidth="1"/>
    <col min="13063" max="13064" width="9" style="2938" customWidth="1"/>
    <col min="13065" max="13065" width="33.6640625" style="2938" customWidth="1"/>
    <col min="13066" max="13067" width="15.88671875" style="2938" customWidth="1"/>
    <col min="13068" max="13068" width="16.6640625" style="2938" customWidth="1"/>
    <col min="13069" max="13069" width="9" style="2938" customWidth="1"/>
    <col min="13070" max="13070" width="13.44140625" style="2938" customWidth="1"/>
    <col min="13071" max="13071" width="9" style="2938" customWidth="1"/>
    <col min="13072" max="13072" width="11.33203125" style="2938" customWidth="1"/>
    <col min="13073" max="13074" width="17.77734375" style="2938" customWidth="1"/>
    <col min="13075" max="13075" width="14.77734375" style="2938" customWidth="1"/>
    <col min="13076" max="13077" width="12.88671875" style="2938" customWidth="1"/>
    <col min="13078" max="13078" width="0" style="2938" hidden="1" customWidth="1"/>
    <col min="13079" max="13079" width="9" style="2938" customWidth="1"/>
    <col min="13080" max="13083" width="10.21875" style="2938" customWidth="1"/>
    <col min="13084" max="13084" width="24.88671875" style="2938" customWidth="1"/>
    <col min="13085" max="13085" width="9" style="2938" customWidth="1"/>
    <col min="13086" max="13086" width="33.6640625" style="2938" customWidth="1"/>
    <col min="13087" max="13088" width="0" style="2938" hidden="1" customWidth="1"/>
    <col min="13089" max="13089" width="12.109375" style="2938" customWidth="1"/>
    <col min="13090" max="13090" width="0" style="2938" hidden="1" customWidth="1"/>
    <col min="13091" max="13091" width="18.21875" style="2938" customWidth="1"/>
    <col min="13092" max="13092" width="0" style="2938" hidden="1" customWidth="1"/>
    <col min="13093" max="13093" width="16.33203125" style="2938" customWidth="1"/>
    <col min="13094" max="13095" width="0" style="2938" hidden="1" customWidth="1"/>
    <col min="13096" max="13096" width="7.109375" style="2938" customWidth="1"/>
    <col min="13097" max="13097" width="18.44140625" style="2938" customWidth="1"/>
    <col min="13098" max="13100" width="0" style="2938" hidden="1" customWidth="1"/>
    <col min="13101" max="13101" width="9" style="2938" customWidth="1"/>
    <col min="13102" max="13312" width="8.88671875" style="2938"/>
    <col min="13313" max="13313" width="25.21875" style="2938" customWidth="1"/>
    <col min="13314" max="13314" width="7.109375" style="2938" customWidth="1"/>
    <col min="13315" max="13315" width="15.88671875" style="2938" customWidth="1"/>
    <col min="13316" max="13316" width="7.109375" style="2938" customWidth="1"/>
    <col min="13317" max="13317" width="5.21875" style="2938" customWidth="1"/>
    <col min="13318" max="13318" width="25.21875" style="2938" customWidth="1"/>
    <col min="13319" max="13320" width="9" style="2938" customWidth="1"/>
    <col min="13321" max="13321" width="33.6640625" style="2938" customWidth="1"/>
    <col min="13322" max="13323" width="15.88671875" style="2938" customWidth="1"/>
    <col min="13324" max="13324" width="16.6640625" style="2938" customWidth="1"/>
    <col min="13325" max="13325" width="9" style="2938" customWidth="1"/>
    <col min="13326" max="13326" width="13.44140625" style="2938" customWidth="1"/>
    <col min="13327" max="13327" width="9" style="2938" customWidth="1"/>
    <col min="13328" max="13328" width="11.33203125" style="2938" customWidth="1"/>
    <col min="13329" max="13330" width="17.77734375" style="2938" customWidth="1"/>
    <col min="13331" max="13331" width="14.77734375" style="2938" customWidth="1"/>
    <col min="13332" max="13333" width="12.88671875" style="2938" customWidth="1"/>
    <col min="13334" max="13334" width="0" style="2938" hidden="1" customWidth="1"/>
    <col min="13335" max="13335" width="9" style="2938" customWidth="1"/>
    <col min="13336" max="13339" width="10.21875" style="2938" customWidth="1"/>
    <col min="13340" max="13340" width="24.88671875" style="2938" customWidth="1"/>
    <col min="13341" max="13341" width="9" style="2938" customWidth="1"/>
    <col min="13342" max="13342" width="33.6640625" style="2938" customWidth="1"/>
    <col min="13343" max="13344" width="0" style="2938" hidden="1" customWidth="1"/>
    <col min="13345" max="13345" width="12.109375" style="2938" customWidth="1"/>
    <col min="13346" max="13346" width="0" style="2938" hidden="1" customWidth="1"/>
    <col min="13347" max="13347" width="18.21875" style="2938" customWidth="1"/>
    <col min="13348" max="13348" width="0" style="2938" hidden="1" customWidth="1"/>
    <col min="13349" max="13349" width="16.33203125" style="2938" customWidth="1"/>
    <col min="13350" max="13351" width="0" style="2938" hidden="1" customWidth="1"/>
    <col min="13352" max="13352" width="7.109375" style="2938" customWidth="1"/>
    <col min="13353" max="13353" width="18.44140625" style="2938" customWidth="1"/>
    <col min="13354" max="13356" width="0" style="2938" hidden="1" customWidth="1"/>
    <col min="13357" max="13357" width="9" style="2938" customWidth="1"/>
    <col min="13358" max="13568" width="8.88671875" style="2938"/>
    <col min="13569" max="13569" width="25.21875" style="2938" customWidth="1"/>
    <col min="13570" max="13570" width="7.109375" style="2938" customWidth="1"/>
    <col min="13571" max="13571" width="15.88671875" style="2938" customWidth="1"/>
    <col min="13572" max="13572" width="7.109375" style="2938" customWidth="1"/>
    <col min="13573" max="13573" width="5.21875" style="2938" customWidth="1"/>
    <col min="13574" max="13574" width="25.21875" style="2938" customWidth="1"/>
    <col min="13575" max="13576" width="9" style="2938" customWidth="1"/>
    <col min="13577" max="13577" width="33.6640625" style="2938" customWidth="1"/>
    <col min="13578" max="13579" width="15.88671875" style="2938" customWidth="1"/>
    <col min="13580" max="13580" width="16.6640625" style="2938" customWidth="1"/>
    <col min="13581" max="13581" width="9" style="2938" customWidth="1"/>
    <col min="13582" max="13582" width="13.44140625" style="2938" customWidth="1"/>
    <col min="13583" max="13583" width="9" style="2938" customWidth="1"/>
    <col min="13584" max="13584" width="11.33203125" style="2938" customWidth="1"/>
    <col min="13585" max="13586" width="17.77734375" style="2938" customWidth="1"/>
    <col min="13587" max="13587" width="14.77734375" style="2938" customWidth="1"/>
    <col min="13588" max="13589" width="12.88671875" style="2938" customWidth="1"/>
    <col min="13590" max="13590" width="0" style="2938" hidden="1" customWidth="1"/>
    <col min="13591" max="13591" width="9" style="2938" customWidth="1"/>
    <col min="13592" max="13595" width="10.21875" style="2938" customWidth="1"/>
    <col min="13596" max="13596" width="24.88671875" style="2938" customWidth="1"/>
    <col min="13597" max="13597" width="9" style="2938" customWidth="1"/>
    <col min="13598" max="13598" width="33.6640625" style="2938" customWidth="1"/>
    <col min="13599" max="13600" width="0" style="2938" hidden="1" customWidth="1"/>
    <col min="13601" max="13601" width="12.109375" style="2938" customWidth="1"/>
    <col min="13602" max="13602" width="0" style="2938" hidden="1" customWidth="1"/>
    <col min="13603" max="13603" width="18.21875" style="2938" customWidth="1"/>
    <col min="13604" max="13604" width="0" style="2938" hidden="1" customWidth="1"/>
    <col min="13605" max="13605" width="16.33203125" style="2938" customWidth="1"/>
    <col min="13606" max="13607" width="0" style="2938" hidden="1" customWidth="1"/>
    <col min="13608" max="13608" width="7.109375" style="2938" customWidth="1"/>
    <col min="13609" max="13609" width="18.44140625" style="2938" customWidth="1"/>
    <col min="13610" max="13612" width="0" style="2938" hidden="1" customWidth="1"/>
    <col min="13613" max="13613" width="9" style="2938" customWidth="1"/>
    <col min="13614" max="13824" width="8.88671875" style="2938"/>
    <col min="13825" max="13825" width="25.21875" style="2938" customWidth="1"/>
    <col min="13826" max="13826" width="7.109375" style="2938" customWidth="1"/>
    <col min="13827" max="13827" width="15.88671875" style="2938" customWidth="1"/>
    <col min="13828" max="13828" width="7.109375" style="2938" customWidth="1"/>
    <col min="13829" max="13829" width="5.21875" style="2938" customWidth="1"/>
    <col min="13830" max="13830" width="25.21875" style="2938" customWidth="1"/>
    <col min="13831" max="13832" width="9" style="2938" customWidth="1"/>
    <col min="13833" max="13833" width="33.6640625" style="2938" customWidth="1"/>
    <col min="13834" max="13835" width="15.88671875" style="2938" customWidth="1"/>
    <col min="13836" max="13836" width="16.6640625" style="2938" customWidth="1"/>
    <col min="13837" max="13837" width="9" style="2938" customWidth="1"/>
    <col min="13838" max="13838" width="13.44140625" style="2938" customWidth="1"/>
    <col min="13839" max="13839" width="9" style="2938" customWidth="1"/>
    <col min="13840" max="13840" width="11.33203125" style="2938" customWidth="1"/>
    <col min="13841" max="13842" width="17.77734375" style="2938" customWidth="1"/>
    <col min="13843" max="13843" width="14.77734375" style="2938" customWidth="1"/>
    <col min="13844" max="13845" width="12.88671875" style="2938" customWidth="1"/>
    <col min="13846" max="13846" width="0" style="2938" hidden="1" customWidth="1"/>
    <col min="13847" max="13847" width="9" style="2938" customWidth="1"/>
    <col min="13848" max="13851" width="10.21875" style="2938" customWidth="1"/>
    <col min="13852" max="13852" width="24.88671875" style="2938" customWidth="1"/>
    <col min="13853" max="13853" width="9" style="2938" customWidth="1"/>
    <col min="13854" max="13854" width="33.6640625" style="2938" customWidth="1"/>
    <col min="13855" max="13856" width="0" style="2938" hidden="1" customWidth="1"/>
    <col min="13857" max="13857" width="12.109375" style="2938" customWidth="1"/>
    <col min="13858" max="13858" width="0" style="2938" hidden="1" customWidth="1"/>
    <col min="13859" max="13859" width="18.21875" style="2938" customWidth="1"/>
    <col min="13860" max="13860" width="0" style="2938" hidden="1" customWidth="1"/>
    <col min="13861" max="13861" width="16.33203125" style="2938" customWidth="1"/>
    <col min="13862" max="13863" width="0" style="2938" hidden="1" customWidth="1"/>
    <col min="13864" max="13864" width="7.109375" style="2938" customWidth="1"/>
    <col min="13865" max="13865" width="18.44140625" style="2938" customWidth="1"/>
    <col min="13866" max="13868" width="0" style="2938" hidden="1" customWidth="1"/>
    <col min="13869" max="13869" width="9" style="2938" customWidth="1"/>
    <col min="13870" max="14080" width="8.88671875" style="2938"/>
    <col min="14081" max="14081" width="25.21875" style="2938" customWidth="1"/>
    <col min="14082" max="14082" width="7.109375" style="2938" customWidth="1"/>
    <col min="14083" max="14083" width="15.88671875" style="2938" customWidth="1"/>
    <col min="14084" max="14084" width="7.109375" style="2938" customWidth="1"/>
    <col min="14085" max="14085" width="5.21875" style="2938" customWidth="1"/>
    <col min="14086" max="14086" width="25.21875" style="2938" customWidth="1"/>
    <col min="14087" max="14088" width="9" style="2938" customWidth="1"/>
    <col min="14089" max="14089" width="33.6640625" style="2938" customWidth="1"/>
    <col min="14090" max="14091" width="15.88671875" style="2938" customWidth="1"/>
    <col min="14092" max="14092" width="16.6640625" style="2938" customWidth="1"/>
    <col min="14093" max="14093" width="9" style="2938" customWidth="1"/>
    <col min="14094" max="14094" width="13.44140625" style="2938" customWidth="1"/>
    <col min="14095" max="14095" width="9" style="2938" customWidth="1"/>
    <col min="14096" max="14096" width="11.33203125" style="2938" customWidth="1"/>
    <col min="14097" max="14098" width="17.77734375" style="2938" customWidth="1"/>
    <col min="14099" max="14099" width="14.77734375" style="2938" customWidth="1"/>
    <col min="14100" max="14101" width="12.88671875" style="2938" customWidth="1"/>
    <col min="14102" max="14102" width="0" style="2938" hidden="1" customWidth="1"/>
    <col min="14103" max="14103" width="9" style="2938" customWidth="1"/>
    <col min="14104" max="14107" width="10.21875" style="2938" customWidth="1"/>
    <col min="14108" max="14108" width="24.88671875" style="2938" customWidth="1"/>
    <col min="14109" max="14109" width="9" style="2938" customWidth="1"/>
    <col min="14110" max="14110" width="33.6640625" style="2938" customWidth="1"/>
    <col min="14111" max="14112" width="0" style="2938" hidden="1" customWidth="1"/>
    <col min="14113" max="14113" width="12.109375" style="2938" customWidth="1"/>
    <col min="14114" max="14114" width="0" style="2938" hidden="1" customWidth="1"/>
    <col min="14115" max="14115" width="18.21875" style="2938" customWidth="1"/>
    <col min="14116" max="14116" width="0" style="2938" hidden="1" customWidth="1"/>
    <col min="14117" max="14117" width="16.33203125" style="2938" customWidth="1"/>
    <col min="14118" max="14119" width="0" style="2938" hidden="1" customWidth="1"/>
    <col min="14120" max="14120" width="7.109375" style="2938" customWidth="1"/>
    <col min="14121" max="14121" width="18.44140625" style="2938" customWidth="1"/>
    <col min="14122" max="14124" width="0" style="2938" hidden="1" customWidth="1"/>
    <col min="14125" max="14125" width="9" style="2938" customWidth="1"/>
    <col min="14126" max="14336" width="8.88671875" style="2938"/>
    <col min="14337" max="14337" width="25.21875" style="2938" customWidth="1"/>
    <col min="14338" max="14338" width="7.109375" style="2938" customWidth="1"/>
    <col min="14339" max="14339" width="15.88671875" style="2938" customWidth="1"/>
    <col min="14340" max="14340" width="7.109375" style="2938" customWidth="1"/>
    <col min="14341" max="14341" width="5.21875" style="2938" customWidth="1"/>
    <col min="14342" max="14342" width="25.21875" style="2938" customWidth="1"/>
    <col min="14343" max="14344" width="9" style="2938" customWidth="1"/>
    <col min="14345" max="14345" width="33.6640625" style="2938" customWidth="1"/>
    <col min="14346" max="14347" width="15.88671875" style="2938" customWidth="1"/>
    <col min="14348" max="14348" width="16.6640625" style="2938" customWidth="1"/>
    <col min="14349" max="14349" width="9" style="2938" customWidth="1"/>
    <col min="14350" max="14350" width="13.44140625" style="2938" customWidth="1"/>
    <col min="14351" max="14351" width="9" style="2938" customWidth="1"/>
    <col min="14352" max="14352" width="11.33203125" style="2938" customWidth="1"/>
    <col min="14353" max="14354" width="17.77734375" style="2938" customWidth="1"/>
    <col min="14355" max="14355" width="14.77734375" style="2938" customWidth="1"/>
    <col min="14356" max="14357" width="12.88671875" style="2938" customWidth="1"/>
    <col min="14358" max="14358" width="0" style="2938" hidden="1" customWidth="1"/>
    <col min="14359" max="14359" width="9" style="2938" customWidth="1"/>
    <col min="14360" max="14363" width="10.21875" style="2938" customWidth="1"/>
    <col min="14364" max="14364" width="24.88671875" style="2938" customWidth="1"/>
    <col min="14365" max="14365" width="9" style="2938" customWidth="1"/>
    <col min="14366" max="14366" width="33.6640625" style="2938" customWidth="1"/>
    <col min="14367" max="14368" width="0" style="2938" hidden="1" customWidth="1"/>
    <col min="14369" max="14369" width="12.109375" style="2938" customWidth="1"/>
    <col min="14370" max="14370" width="0" style="2938" hidden="1" customWidth="1"/>
    <col min="14371" max="14371" width="18.21875" style="2938" customWidth="1"/>
    <col min="14372" max="14372" width="0" style="2938" hidden="1" customWidth="1"/>
    <col min="14373" max="14373" width="16.33203125" style="2938" customWidth="1"/>
    <col min="14374" max="14375" width="0" style="2938" hidden="1" customWidth="1"/>
    <col min="14376" max="14376" width="7.109375" style="2938" customWidth="1"/>
    <col min="14377" max="14377" width="18.44140625" style="2938" customWidth="1"/>
    <col min="14378" max="14380" width="0" style="2938" hidden="1" customWidth="1"/>
    <col min="14381" max="14381" width="9" style="2938" customWidth="1"/>
    <col min="14382" max="14592" width="8.88671875" style="2938"/>
    <col min="14593" max="14593" width="25.21875" style="2938" customWidth="1"/>
    <col min="14594" max="14594" width="7.109375" style="2938" customWidth="1"/>
    <col min="14595" max="14595" width="15.88671875" style="2938" customWidth="1"/>
    <col min="14596" max="14596" width="7.109375" style="2938" customWidth="1"/>
    <col min="14597" max="14597" width="5.21875" style="2938" customWidth="1"/>
    <col min="14598" max="14598" width="25.21875" style="2938" customWidth="1"/>
    <col min="14599" max="14600" width="9" style="2938" customWidth="1"/>
    <col min="14601" max="14601" width="33.6640625" style="2938" customWidth="1"/>
    <col min="14602" max="14603" width="15.88671875" style="2938" customWidth="1"/>
    <col min="14604" max="14604" width="16.6640625" style="2938" customWidth="1"/>
    <col min="14605" max="14605" width="9" style="2938" customWidth="1"/>
    <col min="14606" max="14606" width="13.44140625" style="2938" customWidth="1"/>
    <col min="14607" max="14607" width="9" style="2938" customWidth="1"/>
    <col min="14608" max="14608" width="11.33203125" style="2938" customWidth="1"/>
    <col min="14609" max="14610" width="17.77734375" style="2938" customWidth="1"/>
    <col min="14611" max="14611" width="14.77734375" style="2938" customWidth="1"/>
    <col min="14612" max="14613" width="12.88671875" style="2938" customWidth="1"/>
    <col min="14614" max="14614" width="0" style="2938" hidden="1" customWidth="1"/>
    <col min="14615" max="14615" width="9" style="2938" customWidth="1"/>
    <col min="14616" max="14619" width="10.21875" style="2938" customWidth="1"/>
    <col min="14620" max="14620" width="24.88671875" style="2938" customWidth="1"/>
    <col min="14621" max="14621" width="9" style="2938" customWidth="1"/>
    <col min="14622" max="14622" width="33.6640625" style="2938" customWidth="1"/>
    <col min="14623" max="14624" width="0" style="2938" hidden="1" customWidth="1"/>
    <col min="14625" max="14625" width="12.109375" style="2938" customWidth="1"/>
    <col min="14626" max="14626" width="0" style="2938" hidden="1" customWidth="1"/>
    <col min="14627" max="14627" width="18.21875" style="2938" customWidth="1"/>
    <col min="14628" max="14628" width="0" style="2938" hidden="1" customWidth="1"/>
    <col min="14629" max="14629" width="16.33203125" style="2938" customWidth="1"/>
    <col min="14630" max="14631" width="0" style="2938" hidden="1" customWidth="1"/>
    <col min="14632" max="14632" width="7.109375" style="2938" customWidth="1"/>
    <col min="14633" max="14633" width="18.44140625" style="2938" customWidth="1"/>
    <col min="14634" max="14636" width="0" style="2938" hidden="1" customWidth="1"/>
    <col min="14637" max="14637" width="9" style="2938" customWidth="1"/>
    <col min="14638" max="14848" width="8.88671875" style="2938"/>
    <col min="14849" max="14849" width="25.21875" style="2938" customWidth="1"/>
    <col min="14850" max="14850" width="7.109375" style="2938" customWidth="1"/>
    <col min="14851" max="14851" width="15.88671875" style="2938" customWidth="1"/>
    <col min="14852" max="14852" width="7.109375" style="2938" customWidth="1"/>
    <col min="14853" max="14853" width="5.21875" style="2938" customWidth="1"/>
    <col min="14854" max="14854" width="25.21875" style="2938" customWidth="1"/>
    <col min="14855" max="14856" width="9" style="2938" customWidth="1"/>
    <col min="14857" max="14857" width="33.6640625" style="2938" customWidth="1"/>
    <col min="14858" max="14859" width="15.88671875" style="2938" customWidth="1"/>
    <col min="14860" max="14860" width="16.6640625" style="2938" customWidth="1"/>
    <col min="14861" max="14861" width="9" style="2938" customWidth="1"/>
    <col min="14862" max="14862" width="13.44140625" style="2938" customWidth="1"/>
    <col min="14863" max="14863" width="9" style="2938" customWidth="1"/>
    <col min="14864" max="14864" width="11.33203125" style="2938" customWidth="1"/>
    <col min="14865" max="14866" width="17.77734375" style="2938" customWidth="1"/>
    <col min="14867" max="14867" width="14.77734375" style="2938" customWidth="1"/>
    <col min="14868" max="14869" width="12.88671875" style="2938" customWidth="1"/>
    <col min="14870" max="14870" width="0" style="2938" hidden="1" customWidth="1"/>
    <col min="14871" max="14871" width="9" style="2938" customWidth="1"/>
    <col min="14872" max="14875" width="10.21875" style="2938" customWidth="1"/>
    <col min="14876" max="14876" width="24.88671875" style="2938" customWidth="1"/>
    <col min="14877" max="14877" width="9" style="2938" customWidth="1"/>
    <col min="14878" max="14878" width="33.6640625" style="2938" customWidth="1"/>
    <col min="14879" max="14880" width="0" style="2938" hidden="1" customWidth="1"/>
    <col min="14881" max="14881" width="12.109375" style="2938" customWidth="1"/>
    <col min="14882" max="14882" width="0" style="2938" hidden="1" customWidth="1"/>
    <col min="14883" max="14883" width="18.21875" style="2938" customWidth="1"/>
    <col min="14884" max="14884" width="0" style="2938" hidden="1" customWidth="1"/>
    <col min="14885" max="14885" width="16.33203125" style="2938" customWidth="1"/>
    <col min="14886" max="14887" width="0" style="2938" hidden="1" customWidth="1"/>
    <col min="14888" max="14888" width="7.109375" style="2938" customWidth="1"/>
    <col min="14889" max="14889" width="18.44140625" style="2938" customWidth="1"/>
    <col min="14890" max="14892" width="0" style="2938" hidden="1" customWidth="1"/>
    <col min="14893" max="14893" width="9" style="2938" customWidth="1"/>
    <col min="14894" max="15104" width="8.88671875" style="2938"/>
    <col min="15105" max="15105" width="25.21875" style="2938" customWidth="1"/>
    <col min="15106" max="15106" width="7.109375" style="2938" customWidth="1"/>
    <col min="15107" max="15107" width="15.88671875" style="2938" customWidth="1"/>
    <col min="15108" max="15108" width="7.109375" style="2938" customWidth="1"/>
    <col min="15109" max="15109" width="5.21875" style="2938" customWidth="1"/>
    <col min="15110" max="15110" width="25.21875" style="2938" customWidth="1"/>
    <col min="15111" max="15112" width="9" style="2938" customWidth="1"/>
    <col min="15113" max="15113" width="33.6640625" style="2938" customWidth="1"/>
    <col min="15114" max="15115" width="15.88671875" style="2938" customWidth="1"/>
    <col min="15116" max="15116" width="16.6640625" style="2938" customWidth="1"/>
    <col min="15117" max="15117" width="9" style="2938" customWidth="1"/>
    <col min="15118" max="15118" width="13.44140625" style="2938" customWidth="1"/>
    <col min="15119" max="15119" width="9" style="2938" customWidth="1"/>
    <col min="15120" max="15120" width="11.33203125" style="2938" customWidth="1"/>
    <col min="15121" max="15122" width="17.77734375" style="2938" customWidth="1"/>
    <col min="15123" max="15123" width="14.77734375" style="2938" customWidth="1"/>
    <col min="15124" max="15125" width="12.88671875" style="2938" customWidth="1"/>
    <col min="15126" max="15126" width="0" style="2938" hidden="1" customWidth="1"/>
    <col min="15127" max="15127" width="9" style="2938" customWidth="1"/>
    <col min="15128" max="15131" width="10.21875" style="2938" customWidth="1"/>
    <col min="15132" max="15132" width="24.88671875" style="2938" customWidth="1"/>
    <col min="15133" max="15133" width="9" style="2938" customWidth="1"/>
    <col min="15134" max="15134" width="33.6640625" style="2938" customWidth="1"/>
    <col min="15135" max="15136" width="0" style="2938" hidden="1" customWidth="1"/>
    <col min="15137" max="15137" width="12.109375" style="2938" customWidth="1"/>
    <col min="15138" max="15138" width="0" style="2938" hidden="1" customWidth="1"/>
    <col min="15139" max="15139" width="18.21875" style="2938" customWidth="1"/>
    <col min="15140" max="15140" width="0" style="2938" hidden="1" customWidth="1"/>
    <col min="15141" max="15141" width="16.33203125" style="2938" customWidth="1"/>
    <col min="15142" max="15143" width="0" style="2938" hidden="1" customWidth="1"/>
    <col min="15144" max="15144" width="7.109375" style="2938" customWidth="1"/>
    <col min="15145" max="15145" width="18.44140625" style="2938" customWidth="1"/>
    <col min="15146" max="15148" width="0" style="2938" hidden="1" customWidth="1"/>
    <col min="15149" max="15149" width="9" style="2938" customWidth="1"/>
    <col min="15150" max="15360" width="8.88671875" style="2938"/>
    <col min="15361" max="15361" width="25.21875" style="2938" customWidth="1"/>
    <col min="15362" max="15362" width="7.109375" style="2938" customWidth="1"/>
    <col min="15363" max="15363" width="15.88671875" style="2938" customWidth="1"/>
    <col min="15364" max="15364" width="7.109375" style="2938" customWidth="1"/>
    <col min="15365" max="15365" width="5.21875" style="2938" customWidth="1"/>
    <col min="15366" max="15366" width="25.21875" style="2938" customWidth="1"/>
    <col min="15367" max="15368" width="9" style="2938" customWidth="1"/>
    <col min="15369" max="15369" width="33.6640625" style="2938" customWidth="1"/>
    <col min="15370" max="15371" width="15.88671875" style="2938" customWidth="1"/>
    <col min="15372" max="15372" width="16.6640625" style="2938" customWidth="1"/>
    <col min="15373" max="15373" width="9" style="2938" customWidth="1"/>
    <col min="15374" max="15374" width="13.44140625" style="2938" customWidth="1"/>
    <col min="15375" max="15375" width="9" style="2938" customWidth="1"/>
    <col min="15376" max="15376" width="11.33203125" style="2938" customWidth="1"/>
    <col min="15377" max="15378" width="17.77734375" style="2938" customWidth="1"/>
    <col min="15379" max="15379" width="14.77734375" style="2938" customWidth="1"/>
    <col min="15380" max="15381" width="12.88671875" style="2938" customWidth="1"/>
    <col min="15382" max="15382" width="0" style="2938" hidden="1" customWidth="1"/>
    <col min="15383" max="15383" width="9" style="2938" customWidth="1"/>
    <col min="15384" max="15387" width="10.21875" style="2938" customWidth="1"/>
    <col min="15388" max="15388" width="24.88671875" style="2938" customWidth="1"/>
    <col min="15389" max="15389" width="9" style="2938" customWidth="1"/>
    <col min="15390" max="15390" width="33.6640625" style="2938" customWidth="1"/>
    <col min="15391" max="15392" width="0" style="2938" hidden="1" customWidth="1"/>
    <col min="15393" max="15393" width="12.109375" style="2938" customWidth="1"/>
    <col min="15394" max="15394" width="0" style="2938" hidden="1" customWidth="1"/>
    <col min="15395" max="15395" width="18.21875" style="2938" customWidth="1"/>
    <col min="15396" max="15396" width="0" style="2938" hidden="1" customWidth="1"/>
    <col min="15397" max="15397" width="16.33203125" style="2938" customWidth="1"/>
    <col min="15398" max="15399" width="0" style="2938" hidden="1" customWidth="1"/>
    <col min="15400" max="15400" width="7.109375" style="2938" customWidth="1"/>
    <col min="15401" max="15401" width="18.44140625" style="2938" customWidth="1"/>
    <col min="15402" max="15404" width="0" style="2938" hidden="1" customWidth="1"/>
    <col min="15405" max="15405" width="9" style="2938" customWidth="1"/>
    <col min="15406" max="15616" width="8.88671875" style="2938"/>
    <col min="15617" max="15617" width="25.21875" style="2938" customWidth="1"/>
    <col min="15618" max="15618" width="7.109375" style="2938" customWidth="1"/>
    <col min="15619" max="15619" width="15.88671875" style="2938" customWidth="1"/>
    <col min="15620" max="15620" width="7.109375" style="2938" customWidth="1"/>
    <col min="15621" max="15621" width="5.21875" style="2938" customWidth="1"/>
    <col min="15622" max="15622" width="25.21875" style="2938" customWidth="1"/>
    <col min="15623" max="15624" width="9" style="2938" customWidth="1"/>
    <col min="15625" max="15625" width="33.6640625" style="2938" customWidth="1"/>
    <col min="15626" max="15627" width="15.88671875" style="2938" customWidth="1"/>
    <col min="15628" max="15628" width="16.6640625" style="2938" customWidth="1"/>
    <col min="15629" max="15629" width="9" style="2938" customWidth="1"/>
    <col min="15630" max="15630" width="13.44140625" style="2938" customWidth="1"/>
    <col min="15631" max="15631" width="9" style="2938" customWidth="1"/>
    <col min="15632" max="15632" width="11.33203125" style="2938" customWidth="1"/>
    <col min="15633" max="15634" width="17.77734375" style="2938" customWidth="1"/>
    <col min="15635" max="15635" width="14.77734375" style="2938" customWidth="1"/>
    <col min="15636" max="15637" width="12.88671875" style="2938" customWidth="1"/>
    <col min="15638" max="15638" width="0" style="2938" hidden="1" customWidth="1"/>
    <col min="15639" max="15639" width="9" style="2938" customWidth="1"/>
    <col min="15640" max="15643" width="10.21875" style="2938" customWidth="1"/>
    <col min="15644" max="15644" width="24.88671875" style="2938" customWidth="1"/>
    <col min="15645" max="15645" width="9" style="2938" customWidth="1"/>
    <col min="15646" max="15646" width="33.6640625" style="2938" customWidth="1"/>
    <col min="15647" max="15648" width="0" style="2938" hidden="1" customWidth="1"/>
    <col min="15649" max="15649" width="12.109375" style="2938" customWidth="1"/>
    <col min="15650" max="15650" width="0" style="2938" hidden="1" customWidth="1"/>
    <col min="15651" max="15651" width="18.21875" style="2938" customWidth="1"/>
    <col min="15652" max="15652" width="0" style="2938" hidden="1" customWidth="1"/>
    <col min="15653" max="15653" width="16.33203125" style="2938" customWidth="1"/>
    <col min="15654" max="15655" width="0" style="2938" hidden="1" customWidth="1"/>
    <col min="15656" max="15656" width="7.109375" style="2938" customWidth="1"/>
    <col min="15657" max="15657" width="18.44140625" style="2938" customWidth="1"/>
    <col min="15658" max="15660" width="0" style="2938" hidden="1" customWidth="1"/>
    <col min="15661" max="15661" width="9" style="2938" customWidth="1"/>
    <col min="15662" max="15872" width="8.88671875" style="2938"/>
    <col min="15873" max="15873" width="25.21875" style="2938" customWidth="1"/>
    <col min="15874" max="15874" width="7.109375" style="2938" customWidth="1"/>
    <col min="15875" max="15875" width="15.88671875" style="2938" customWidth="1"/>
    <col min="15876" max="15876" width="7.109375" style="2938" customWidth="1"/>
    <col min="15877" max="15877" width="5.21875" style="2938" customWidth="1"/>
    <col min="15878" max="15878" width="25.21875" style="2938" customWidth="1"/>
    <col min="15879" max="15880" width="9" style="2938" customWidth="1"/>
    <col min="15881" max="15881" width="33.6640625" style="2938" customWidth="1"/>
    <col min="15882" max="15883" width="15.88671875" style="2938" customWidth="1"/>
    <col min="15884" max="15884" width="16.6640625" style="2938" customWidth="1"/>
    <col min="15885" max="15885" width="9" style="2938" customWidth="1"/>
    <col min="15886" max="15886" width="13.44140625" style="2938" customWidth="1"/>
    <col min="15887" max="15887" width="9" style="2938" customWidth="1"/>
    <col min="15888" max="15888" width="11.33203125" style="2938" customWidth="1"/>
    <col min="15889" max="15890" width="17.77734375" style="2938" customWidth="1"/>
    <col min="15891" max="15891" width="14.77734375" style="2938" customWidth="1"/>
    <col min="15892" max="15893" width="12.88671875" style="2938" customWidth="1"/>
    <col min="15894" max="15894" width="0" style="2938" hidden="1" customWidth="1"/>
    <col min="15895" max="15895" width="9" style="2938" customWidth="1"/>
    <col min="15896" max="15899" width="10.21875" style="2938" customWidth="1"/>
    <col min="15900" max="15900" width="24.88671875" style="2938" customWidth="1"/>
    <col min="15901" max="15901" width="9" style="2938" customWidth="1"/>
    <col min="15902" max="15902" width="33.6640625" style="2938" customWidth="1"/>
    <col min="15903" max="15904" width="0" style="2938" hidden="1" customWidth="1"/>
    <col min="15905" max="15905" width="12.109375" style="2938" customWidth="1"/>
    <col min="15906" max="15906" width="0" style="2938" hidden="1" customWidth="1"/>
    <col min="15907" max="15907" width="18.21875" style="2938" customWidth="1"/>
    <col min="15908" max="15908" width="0" style="2938" hidden="1" customWidth="1"/>
    <col min="15909" max="15909" width="16.33203125" style="2938" customWidth="1"/>
    <col min="15910" max="15911" width="0" style="2938" hidden="1" customWidth="1"/>
    <col min="15912" max="15912" width="7.109375" style="2938" customWidth="1"/>
    <col min="15913" max="15913" width="18.44140625" style="2938" customWidth="1"/>
    <col min="15914" max="15916" width="0" style="2938" hidden="1" customWidth="1"/>
    <col min="15917" max="15917" width="9" style="2938" customWidth="1"/>
    <col min="15918" max="16128" width="8.88671875" style="2938"/>
    <col min="16129" max="16129" width="25.21875" style="2938" customWidth="1"/>
    <col min="16130" max="16130" width="7.109375" style="2938" customWidth="1"/>
    <col min="16131" max="16131" width="15.88671875" style="2938" customWidth="1"/>
    <col min="16132" max="16132" width="7.109375" style="2938" customWidth="1"/>
    <col min="16133" max="16133" width="5.21875" style="2938" customWidth="1"/>
    <col min="16134" max="16134" width="25.21875" style="2938" customWidth="1"/>
    <col min="16135" max="16136" width="9" style="2938" customWidth="1"/>
    <col min="16137" max="16137" width="33.6640625" style="2938" customWidth="1"/>
    <col min="16138" max="16139" width="15.88671875" style="2938" customWidth="1"/>
    <col min="16140" max="16140" width="16.6640625" style="2938" customWidth="1"/>
    <col min="16141" max="16141" width="9" style="2938" customWidth="1"/>
    <col min="16142" max="16142" width="13.44140625" style="2938" customWidth="1"/>
    <col min="16143" max="16143" width="9" style="2938" customWidth="1"/>
    <col min="16144" max="16144" width="11.33203125" style="2938" customWidth="1"/>
    <col min="16145" max="16146" width="17.77734375" style="2938" customWidth="1"/>
    <col min="16147" max="16147" width="14.77734375" style="2938" customWidth="1"/>
    <col min="16148" max="16149" width="12.88671875" style="2938" customWidth="1"/>
    <col min="16150" max="16150" width="0" style="2938" hidden="1" customWidth="1"/>
    <col min="16151" max="16151" width="9" style="2938" customWidth="1"/>
    <col min="16152" max="16155" width="10.21875" style="2938" customWidth="1"/>
    <col min="16156" max="16156" width="24.88671875" style="2938" customWidth="1"/>
    <col min="16157" max="16157" width="9" style="2938" customWidth="1"/>
    <col min="16158" max="16158" width="33.6640625" style="2938" customWidth="1"/>
    <col min="16159" max="16160" width="0" style="2938" hidden="1" customWidth="1"/>
    <col min="16161" max="16161" width="12.109375" style="2938" customWidth="1"/>
    <col min="16162" max="16162" width="0" style="2938" hidden="1" customWidth="1"/>
    <col min="16163" max="16163" width="18.21875" style="2938" customWidth="1"/>
    <col min="16164" max="16164" width="0" style="2938" hidden="1" customWidth="1"/>
    <col min="16165" max="16165" width="16.33203125" style="2938" customWidth="1"/>
    <col min="16166" max="16167" width="0" style="2938" hidden="1" customWidth="1"/>
    <col min="16168" max="16168" width="7.109375" style="2938" customWidth="1"/>
    <col min="16169" max="16169" width="18.44140625" style="2938" customWidth="1"/>
    <col min="16170" max="16172" width="0" style="2938" hidden="1" customWidth="1"/>
    <col min="16173" max="16173" width="9" style="2938" customWidth="1"/>
    <col min="16174" max="16384" width="8.88671875" style="2938"/>
  </cols>
  <sheetData>
    <row r="1" spans="1:45">
      <c r="A1" s="2938" t="s">
        <v>3021</v>
      </c>
      <c r="B1" s="2938" t="s">
        <v>3022</v>
      </c>
      <c r="C1" s="2938" t="s">
        <v>3023</v>
      </c>
      <c r="D1" s="2938" t="s">
        <v>3024</v>
      </c>
      <c r="E1" s="2938" t="s">
        <v>3025</v>
      </c>
      <c r="F1" s="2938" t="s">
        <v>3026</v>
      </c>
      <c r="G1" s="2938" t="s">
        <v>3027</v>
      </c>
      <c r="H1" s="2938" t="s">
        <v>3028</v>
      </c>
      <c r="I1" s="2938" t="s">
        <v>3029</v>
      </c>
      <c r="J1" s="2938" t="s">
        <v>3030</v>
      </c>
      <c r="K1" s="2938" t="s">
        <v>3031</v>
      </c>
      <c r="L1" s="2938" t="s">
        <v>1994</v>
      </c>
      <c r="M1" s="2938" t="s">
        <v>3032</v>
      </c>
      <c r="N1" s="2938" t="s">
        <v>3033</v>
      </c>
      <c r="O1" s="2938" t="s">
        <v>3034</v>
      </c>
      <c r="P1" s="2938" t="s">
        <v>3035</v>
      </c>
      <c r="Q1" s="2938" t="s">
        <v>3036</v>
      </c>
      <c r="R1" s="2938" t="s">
        <v>3037</v>
      </c>
      <c r="S1" s="2938" t="s">
        <v>3038</v>
      </c>
      <c r="T1" s="2938" t="s">
        <v>3039</v>
      </c>
      <c r="U1" s="2938" t="s">
        <v>3040</v>
      </c>
      <c r="V1" s="2938" t="s">
        <v>3041</v>
      </c>
      <c r="W1" s="2938" t="s">
        <v>3042</v>
      </c>
      <c r="X1" s="2938" t="s">
        <v>3043</v>
      </c>
      <c r="Y1" s="2938" t="s">
        <v>3044</v>
      </c>
      <c r="Z1" s="2938" t="s">
        <v>3045</v>
      </c>
      <c r="AA1" s="2938" t="s">
        <v>3046</v>
      </c>
      <c r="AB1" s="2938" t="s">
        <v>3047</v>
      </c>
      <c r="AC1" s="2938" t="s">
        <v>3048</v>
      </c>
      <c r="AD1" s="2938" t="s">
        <v>3049</v>
      </c>
      <c r="AE1" s="2938" t="s">
        <v>3050</v>
      </c>
      <c r="AF1" s="2938" t="s">
        <v>3051</v>
      </c>
      <c r="AG1" s="2938" t="s">
        <v>3052</v>
      </c>
      <c r="AH1" s="2938" t="s">
        <v>3053</v>
      </c>
      <c r="AI1" s="2938" t="s">
        <v>3054</v>
      </c>
      <c r="AJ1" s="2938" t="s">
        <v>3055</v>
      </c>
      <c r="AK1" s="2938" t="s">
        <v>3056</v>
      </c>
      <c r="AL1" s="2938" t="s">
        <v>3057</v>
      </c>
      <c r="AM1" s="2938" t="s">
        <v>3058</v>
      </c>
      <c r="AN1" s="2938" t="s">
        <v>3059</v>
      </c>
      <c r="AO1" s="2938" t="s">
        <v>3060</v>
      </c>
      <c r="AP1" s="2938" t="s">
        <v>3061</v>
      </c>
      <c r="AQ1" s="2938" t="s">
        <v>3062</v>
      </c>
      <c r="AR1" s="2938" t="s">
        <v>3063</v>
      </c>
      <c r="AS1" s="2938" t="s">
        <v>3267</v>
      </c>
    </row>
    <row r="2" spans="1:45">
      <c r="A2" s="2938" t="s">
        <v>3268</v>
      </c>
      <c r="B2" s="2938" t="s">
        <v>3065</v>
      </c>
      <c r="C2" s="2938" t="s">
        <v>3269</v>
      </c>
      <c r="D2" s="2938" t="s">
        <v>2991</v>
      </c>
      <c r="E2" s="2938" t="s">
        <v>2780</v>
      </c>
      <c r="F2" s="2938" t="s">
        <v>3268</v>
      </c>
      <c r="G2" s="2938" t="s">
        <v>3067</v>
      </c>
      <c r="H2" s="2938" t="s">
        <v>3270</v>
      </c>
      <c r="I2" s="2938" t="s">
        <v>3271</v>
      </c>
      <c r="J2" s="2938">
        <v>22678</v>
      </c>
      <c r="K2" s="2938">
        <v>45356</v>
      </c>
      <c r="L2" s="2938" t="s">
        <v>3070</v>
      </c>
      <c r="M2" s="2938" t="s">
        <v>2780</v>
      </c>
      <c r="N2" s="2938" t="s">
        <v>3272</v>
      </c>
      <c r="O2" s="2938" t="s">
        <v>2780</v>
      </c>
      <c r="P2" s="2938" t="s">
        <v>2780</v>
      </c>
      <c r="Q2" s="2938" t="s">
        <v>2780</v>
      </c>
      <c r="R2" s="2938" t="s">
        <v>2780</v>
      </c>
      <c r="S2" s="2938" t="s">
        <v>2780</v>
      </c>
      <c r="T2" s="2938" t="s">
        <v>2780</v>
      </c>
      <c r="U2" s="2938" t="s">
        <v>2780</v>
      </c>
      <c r="V2" s="2938" t="s">
        <v>2780</v>
      </c>
      <c r="W2" s="2938" t="s">
        <v>3072</v>
      </c>
      <c r="X2" s="2938" t="s">
        <v>3273</v>
      </c>
      <c r="Y2" s="2938" t="s">
        <v>3274</v>
      </c>
      <c r="Z2" s="2938" t="s">
        <v>3275</v>
      </c>
      <c r="AA2" s="2938" t="s">
        <v>3275</v>
      </c>
      <c r="AB2" s="2938" t="s">
        <v>3276</v>
      </c>
      <c r="AC2" s="2938" t="s">
        <v>3077</v>
      </c>
      <c r="AD2" s="2938" t="s">
        <v>3277</v>
      </c>
      <c r="AE2" s="2938">
        <v>4492</v>
      </c>
      <c r="AF2" s="2938">
        <v>22460</v>
      </c>
      <c r="AG2" s="2938">
        <v>22460</v>
      </c>
      <c r="AH2" s="2938">
        <v>660.26</v>
      </c>
      <c r="AI2" s="2938">
        <v>660.26</v>
      </c>
      <c r="AJ2" s="2938">
        <v>4951.93</v>
      </c>
      <c r="AK2" s="2938">
        <v>4951.93</v>
      </c>
      <c r="AL2" s="2938" t="s">
        <v>2780</v>
      </c>
      <c r="AM2" s="2938" t="s">
        <v>2780</v>
      </c>
      <c r="AN2" s="2938">
        <v>0</v>
      </c>
      <c r="AO2" s="2938" t="s">
        <v>3079</v>
      </c>
      <c r="AP2" s="2938" t="s">
        <v>2780</v>
      </c>
      <c r="AQ2" s="2938" t="s">
        <v>2780</v>
      </c>
      <c r="AR2" s="2938" t="s">
        <v>2780</v>
      </c>
      <c r="AS2" s="2938" t="s">
        <v>3278</v>
      </c>
    </row>
    <row r="3" spans="1:45">
      <c r="A3" s="2938" t="s">
        <v>3279</v>
      </c>
      <c r="B3" s="2938" t="s">
        <v>3065</v>
      </c>
      <c r="C3" s="2938" t="s">
        <v>3269</v>
      </c>
      <c r="D3" s="2938" t="s">
        <v>2991</v>
      </c>
      <c r="E3" s="2938" t="s">
        <v>2780</v>
      </c>
      <c r="F3" s="2938" t="s">
        <v>3279</v>
      </c>
      <c r="G3" s="2938" t="s">
        <v>3067</v>
      </c>
      <c r="H3" s="2938" t="s">
        <v>3280</v>
      </c>
      <c r="I3" s="2938" t="s">
        <v>3271</v>
      </c>
      <c r="J3" s="2938">
        <v>31530</v>
      </c>
      <c r="K3" s="2938">
        <v>56754</v>
      </c>
      <c r="L3" s="2938" t="s">
        <v>3281</v>
      </c>
      <c r="M3" s="2938" t="s">
        <v>2780</v>
      </c>
      <c r="N3" s="2938" t="s">
        <v>3071</v>
      </c>
      <c r="O3" s="2938" t="s">
        <v>2780</v>
      </c>
      <c r="P3" s="2938" t="s">
        <v>2780</v>
      </c>
      <c r="Q3" s="2938" t="s">
        <v>2780</v>
      </c>
      <c r="R3" s="2938" t="s">
        <v>2780</v>
      </c>
      <c r="S3" s="2938" t="s">
        <v>2780</v>
      </c>
      <c r="T3" s="2938" t="s">
        <v>2780</v>
      </c>
      <c r="U3" s="2938" t="s">
        <v>2780</v>
      </c>
      <c r="V3" s="2938" t="s">
        <v>2780</v>
      </c>
      <c r="W3" s="2938" t="s">
        <v>3072</v>
      </c>
      <c r="X3" s="2938" t="s">
        <v>3273</v>
      </c>
      <c r="Y3" s="2938" t="s">
        <v>3274</v>
      </c>
      <c r="Z3" s="2938" t="s">
        <v>3275</v>
      </c>
      <c r="AA3" s="2938" t="s">
        <v>3275</v>
      </c>
      <c r="AB3" s="2938" t="s">
        <v>3282</v>
      </c>
      <c r="AC3" s="2938" t="s">
        <v>3077</v>
      </c>
      <c r="AD3" s="2938" t="s">
        <v>3084</v>
      </c>
      <c r="AE3" s="2938">
        <v>5316</v>
      </c>
      <c r="AF3" s="2938">
        <v>26580</v>
      </c>
      <c r="AG3" s="2938">
        <v>40580</v>
      </c>
      <c r="AH3" s="2938">
        <v>562</v>
      </c>
      <c r="AI3" s="2938">
        <v>858.02</v>
      </c>
      <c r="AJ3" s="2938">
        <v>4683.3599999999997</v>
      </c>
      <c r="AK3" s="2938">
        <v>7150.15</v>
      </c>
      <c r="AL3" s="2938" t="s">
        <v>2780</v>
      </c>
      <c r="AM3" s="2938" t="s">
        <v>2780</v>
      </c>
      <c r="AN3" s="2938">
        <v>52.67</v>
      </c>
      <c r="AO3" s="2938" t="s">
        <v>3079</v>
      </c>
      <c r="AP3" s="2938" t="s">
        <v>2780</v>
      </c>
      <c r="AQ3" s="2938" t="s">
        <v>2780</v>
      </c>
      <c r="AR3" s="2938" t="s">
        <v>2780</v>
      </c>
      <c r="AS3" s="2938" t="s">
        <v>3278</v>
      </c>
    </row>
    <row r="4" spans="1:45">
      <c r="A4" s="2938" t="s">
        <v>3283</v>
      </c>
      <c r="B4" s="2938" t="s">
        <v>3065</v>
      </c>
      <c r="C4" s="2938" t="s">
        <v>3269</v>
      </c>
      <c r="D4" s="2938" t="s">
        <v>2991</v>
      </c>
      <c r="E4" s="2938" t="s">
        <v>2780</v>
      </c>
      <c r="F4" s="2938" t="s">
        <v>3283</v>
      </c>
      <c r="G4" s="2938" t="s">
        <v>3067</v>
      </c>
      <c r="H4" s="2938" t="s">
        <v>3284</v>
      </c>
      <c r="I4" s="2938" t="s">
        <v>3285</v>
      </c>
      <c r="J4" s="2938">
        <v>71929</v>
      </c>
      <c r="K4" s="2938">
        <v>136665.1</v>
      </c>
      <c r="L4" s="2938" t="s">
        <v>3286</v>
      </c>
      <c r="M4" s="2938" t="s">
        <v>2780</v>
      </c>
      <c r="N4" s="2938" t="s">
        <v>3071</v>
      </c>
      <c r="O4" s="2938" t="s">
        <v>2780</v>
      </c>
      <c r="P4" s="2938" t="s">
        <v>2780</v>
      </c>
      <c r="Q4" s="2938" t="s">
        <v>2780</v>
      </c>
      <c r="R4" s="2938" t="s">
        <v>2780</v>
      </c>
      <c r="S4" s="2938" t="s">
        <v>2780</v>
      </c>
      <c r="T4" s="2938" t="s">
        <v>2780</v>
      </c>
      <c r="U4" s="2938" t="s">
        <v>2780</v>
      </c>
      <c r="V4" s="2938" t="s">
        <v>2780</v>
      </c>
      <c r="W4" s="2938" t="s">
        <v>3072</v>
      </c>
      <c r="X4" s="2938" t="s">
        <v>3273</v>
      </c>
      <c r="Y4" s="2938" t="s">
        <v>3274</v>
      </c>
      <c r="Z4" s="2938" t="s">
        <v>3275</v>
      </c>
      <c r="AA4" s="2938" t="s">
        <v>3275</v>
      </c>
      <c r="AB4" s="2938" t="s">
        <v>3287</v>
      </c>
      <c r="AC4" s="2938" t="s">
        <v>3077</v>
      </c>
      <c r="AD4" s="2938" t="s">
        <v>3084</v>
      </c>
      <c r="AE4" s="2938">
        <v>11006</v>
      </c>
      <c r="AF4" s="2938">
        <v>55030</v>
      </c>
      <c r="AG4" s="2938">
        <v>76130</v>
      </c>
      <c r="AH4" s="2938">
        <v>510.04</v>
      </c>
      <c r="AI4" s="2938">
        <v>705.6</v>
      </c>
      <c r="AJ4" s="2938">
        <v>4026.63</v>
      </c>
      <c r="AK4" s="2938">
        <v>5570.55</v>
      </c>
      <c r="AL4" s="2938" t="s">
        <v>2780</v>
      </c>
      <c r="AM4" s="2938" t="s">
        <v>2780</v>
      </c>
      <c r="AN4" s="2938">
        <v>38.340000000000003</v>
      </c>
      <c r="AO4" s="2938" t="s">
        <v>3288</v>
      </c>
      <c r="AP4" s="2938" t="s">
        <v>2780</v>
      </c>
      <c r="AQ4" s="2938" t="s">
        <v>2780</v>
      </c>
      <c r="AR4" s="2938" t="s">
        <v>2780</v>
      </c>
      <c r="AS4" s="2938" t="s">
        <v>3278</v>
      </c>
    </row>
    <row r="5" spans="1:45">
      <c r="A5" s="2938" t="s">
        <v>3289</v>
      </c>
      <c r="B5" s="2938" t="s">
        <v>3065</v>
      </c>
      <c r="C5" s="2938" t="s">
        <v>3066</v>
      </c>
      <c r="D5" s="2938" t="s">
        <v>2991</v>
      </c>
      <c r="E5" s="2938" t="s">
        <v>2780</v>
      </c>
      <c r="F5" s="2938" t="s">
        <v>3289</v>
      </c>
      <c r="G5" s="2938" t="s">
        <v>3067</v>
      </c>
      <c r="H5" s="2938" t="s">
        <v>3290</v>
      </c>
      <c r="I5" s="2938" t="s">
        <v>3271</v>
      </c>
      <c r="J5" s="2938">
        <v>64563</v>
      </c>
      <c r="K5" s="2938">
        <v>116213.4</v>
      </c>
      <c r="L5" s="2938" t="s">
        <v>3281</v>
      </c>
      <c r="M5" s="2938" t="s">
        <v>2780</v>
      </c>
      <c r="N5" s="2938" t="s">
        <v>3071</v>
      </c>
      <c r="O5" s="2938" t="s">
        <v>2780</v>
      </c>
      <c r="P5" s="2938" t="s">
        <v>3291</v>
      </c>
      <c r="Q5" s="2938" t="s">
        <v>2780</v>
      </c>
      <c r="R5" s="2938" t="s">
        <v>2780</v>
      </c>
      <c r="S5" s="2938" t="s">
        <v>2780</v>
      </c>
      <c r="T5" s="2938" t="s">
        <v>3292</v>
      </c>
      <c r="U5" s="2938" t="s">
        <v>3292</v>
      </c>
      <c r="V5" s="2938" t="s">
        <v>2780</v>
      </c>
      <c r="W5" s="2938" t="s">
        <v>3072</v>
      </c>
      <c r="X5" s="2938" t="s">
        <v>3293</v>
      </c>
      <c r="Y5" s="2938" t="s">
        <v>3294</v>
      </c>
      <c r="Z5" s="2938" t="s">
        <v>3295</v>
      </c>
      <c r="AA5" s="2938" t="s">
        <v>3295</v>
      </c>
      <c r="AB5" s="2938" t="s">
        <v>3296</v>
      </c>
      <c r="AC5" s="2938" t="s">
        <v>3077</v>
      </c>
      <c r="AD5" s="2938" t="s">
        <v>3177</v>
      </c>
      <c r="AE5" s="2938">
        <v>1953</v>
      </c>
      <c r="AF5" s="2938">
        <v>9762</v>
      </c>
      <c r="AG5" s="2938">
        <v>9762</v>
      </c>
      <c r="AH5" s="2938">
        <v>100.8</v>
      </c>
      <c r="AI5" s="2938">
        <v>100.8</v>
      </c>
      <c r="AJ5" s="2938">
        <v>840</v>
      </c>
      <c r="AK5" s="2938">
        <v>840</v>
      </c>
      <c r="AL5" s="2938" t="s">
        <v>2780</v>
      </c>
      <c r="AM5" s="2938" t="s">
        <v>2780</v>
      </c>
      <c r="AN5" s="2938">
        <v>0</v>
      </c>
      <c r="AO5" s="2938" t="s">
        <v>3079</v>
      </c>
      <c r="AP5" s="2938" t="s">
        <v>2780</v>
      </c>
      <c r="AQ5" s="2938" t="s">
        <v>2780</v>
      </c>
      <c r="AR5" s="2938" t="s">
        <v>2780</v>
      </c>
      <c r="AS5" s="2938" t="s">
        <v>3297</v>
      </c>
    </row>
    <row r="6" spans="1:45">
      <c r="A6" s="2938" t="s">
        <v>3289</v>
      </c>
      <c r="B6" s="2938" t="s">
        <v>3065</v>
      </c>
      <c r="C6" s="2938" t="s">
        <v>3066</v>
      </c>
      <c r="D6" s="2938" t="s">
        <v>2991</v>
      </c>
      <c r="E6" s="2938" t="s">
        <v>2780</v>
      </c>
      <c r="F6" s="2938" t="s">
        <v>3289</v>
      </c>
      <c r="G6" s="2938" t="s">
        <v>3067</v>
      </c>
      <c r="H6" s="2938" t="s">
        <v>3298</v>
      </c>
      <c r="I6" s="2938" t="s">
        <v>3271</v>
      </c>
      <c r="J6" s="2938">
        <v>49769</v>
      </c>
      <c r="K6" s="2938">
        <v>89584.2</v>
      </c>
      <c r="L6" s="2938" t="s">
        <v>3281</v>
      </c>
      <c r="M6" s="2938" t="s">
        <v>2780</v>
      </c>
      <c r="N6" s="2938" t="s">
        <v>3071</v>
      </c>
      <c r="O6" s="2938" t="s">
        <v>2780</v>
      </c>
      <c r="P6" s="2938" t="s">
        <v>3291</v>
      </c>
      <c r="Q6" s="2938" t="s">
        <v>2780</v>
      </c>
      <c r="R6" s="2938" t="s">
        <v>2780</v>
      </c>
      <c r="S6" s="2938" t="s">
        <v>2780</v>
      </c>
      <c r="T6" s="2938" t="s">
        <v>3292</v>
      </c>
      <c r="U6" s="2938" t="s">
        <v>3292</v>
      </c>
      <c r="V6" s="2938" t="s">
        <v>2780</v>
      </c>
      <c r="W6" s="2938" t="s">
        <v>3072</v>
      </c>
      <c r="X6" s="2938" t="s">
        <v>3293</v>
      </c>
      <c r="Y6" s="2938" t="s">
        <v>3294</v>
      </c>
      <c r="Z6" s="2938" t="s">
        <v>3295</v>
      </c>
      <c r="AA6" s="2938" t="s">
        <v>3295</v>
      </c>
      <c r="AB6" s="2938" t="s">
        <v>3299</v>
      </c>
      <c r="AC6" s="2938" t="s">
        <v>3077</v>
      </c>
      <c r="AD6" s="2938" t="s">
        <v>3177</v>
      </c>
      <c r="AE6" s="2938">
        <v>1537</v>
      </c>
      <c r="AF6" s="2938">
        <v>7682</v>
      </c>
      <c r="AG6" s="2938">
        <v>7682</v>
      </c>
      <c r="AH6" s="2938">
        <v>102.9</v>
      </c>
      <c r="AI6" s="2938">
        <v>102.9</v>
      </c>
      <c r="AJ6" s="2938">
        <v>857.51</v>
      </c>
      <c r="AK6" s="2938">
        <v>857.51</v>
      </c>
      <c r="AL6" s="2938" t="s">
        <v>2780</v>
      </c>
      <c r="AM6" s="2938" t="s">
        <v>2780</v>
      </c>
      <c r="AN6" s="2938">
        <v>0</v>
      </c>
      <c r="AO6" s="2938" t="s">
        <v>3079</v>
      </c>
      <c r="AP6" s="2938" t="s">
        <v>2780</v>
      </c>
      <c r="AQ6" s="2938" t="s">
        <v>2780</v>
      </c>
      <c r="AR6" s="2938" t="s">
        <v>2780</v>
      </c>
      <c r="AS6" s="2938" t="s">
        <v>3297</v>
      </c>
    </row>
    <row r="7" spans="1:45">
      <c r="A7" s="2938" t="s">
        <v>3289</v>
      </c>
      <c r="B7" s="2938" t="s">
        <v>3065</v>
      </c>
      <c r="C7" s="2938" t="s">
        <v>3066</v>
      </c>
      <c r="D7" s="2938" t="s">
        <v>2991</v>
      </c>
      <c r="E7" s="2938" t="s">
        <v>2780</v>
      </c>
      <c r="F7" s="2938" t="s">
        <v>3289</v>
      </c>
      <c r="G7" s="2938" t="s">
        <v>3067</v>
      </c>
      <c r="H7" s="2938" t="s">
        <v>3300</v>
      </c>
      <c r="I7" s="2938" t="s">
        <v>3271</v>
      </c>
      <c r="J7" s="2938">
        <v>37669</v>
      </c>
      <c r="K7" s="2938">
        <v>67804.2</v>
      </c>
      <c r="L7" s="2938" t="s">
        <v>3281</v>
      </c>
      <c r="M7" s="2938" t="s">
        <v>2780</v>
      </c>
      <c r="N7" s="2938" t="s">
        <v>3071</v>
      </c>
      <c r="O7" s="2938" t="s">
        <v>2780</v>
      </c>
      <c r="P7" s="2938" t="s">
        <v>3291</v>
      </c>
      <c r="Q7" s="2938" t="s">
        <v>2780</v>
      </c>
      <c r="R7" s="2938" t="s">
        <v>2780</v>
      </c>
      <c r="S7" s="2938" t="s">
        <v>2780</v>
      </c>
      <c r="T7" s="2938" t="s">
        <v>3292</v>
      </c>
      <c r="U7" s="2938" t="s">
        <v>3292</v>
      </c>
      <c r="V7" s="2938" t="s">
        <v>2780</v>
      </c>
      <c r="W7" s="2938" t="s">
        <v>3072</v>
      </c>
      <c r="X7" s="2938" t="s">
        <v>3293</v>
      </c>
      <c r="Y7" s="2938" t="s">
        <v>3294</v>
      </c>
      <c r="Z7" s="2938" t="s">
        <v>3295</v>
      </c>
      <c r="AA7" s="2938" t="s">
        <v>3295</v>
      </c>
      <c r="AB7" s="2938" t="s">
        <v>3301</v>
      </c>
      <c r="AC7" s="2938" t="s">
        <v>3077</v>
      </c>
      <c r="AD7" s="2938" t="s">
        <v>3177</v>
      </c>
      <c r="AE7" s="2938">
        <v>1163</v>
      </c>
      <c r="AF7" s="2938">
        <v>5815</v>
      </c>
      <c r="AG7" s="2938">
        <v>5815</v>
      </c>
      <c r="AH7" s="2938">
        <v>102.91</v>
      </c>
      <c r="AI7" s="2938">
        <v>102.91</v>
      </c>
      <c r="AJ7" s="2938">
        <v>857.61</v>
      </c>
      <c r="AK7" s="2938">
        <v>857.62</v>
      </c>
      <c r="AL7" s="2938" t="s">
        <v>2780</v>
      </c>
      <c r="AM7" s="2938" t="s">
        <v>2780</v>
      </c>
      <c r="AN7" s="2938">
        <v>0</v>
      </c>
      <c r="AO7" s="2938" t="s">
        <v>3079</v>
      </c>
      <c r="AP7" s="2938" t="s">
        <v>2780</v>
      </c>
      <c r="AQ7" s="2938" t="s">
        <v>2780</v>
      </c>
      <c r="AR7" s="2938" t="s">
        <v>2780</v>
      </c>
      <c r="AS7" s="2938" t="s">
        <v>3297</v>
      </c>
    </row>
    <row r="8" spans="1:45" s="3190" customFormat="1" ht="13.2">
      <c r="A8" s="3190" t="s">
        <v>3320</v>
      </c>
      <c r="B8" s="3190" t="s">
        <v>3065</v>
      </c>
      <c r="C8" s="3190" t="s">
        <v>3066</v>
      </c>
      <c r="D8" s="3190" t="s">
        <v>2991</v>
      </c>
      <c r="E8" s="3190" t="s">
        <v>2780</v>
      </c>
      <c r="F8" s="3190" t="s">
        <v>3302</v>
      </c>
      <c r="G8" s="3190" t="s">
        <v>3067</v>
      </c>
      <c r="H8" s="3190" t="s">
        <v>3303</v>
      </c>
      <c r="I8" s="3190" t="s">
        <v>3304</v>
      </c>
      <c r="J8" s="3190">
        <v>49244</v>
      </c>
      <c r="K8" s="3190">
        <v>123110</v>
      </c>
      <c r="L8" s="3190" t="s">
        <v>3305</v>
      </c>
      <c r="M8" s="3190" t="s">
        <v>2780</v>
      </c>
      <c r="N8" s="3190" t="s">
        <v>3306</v>
      </c>
      <c r="O8" s="3190" t="s">
        <v>2780</v>
      </c>
      <c r="P8" s="3190" t="s">
        <v>2780</v>
      </c>
      <c r="Q8" s="3190" t="s">
        <v>2780</v>
      </c>
      <c r="R8" s="3190" t="s">
        <v>2780</v>
      </c>
      <c r="S8" s="3190" t="s">
        <v>2780</v>
      </c>
      <c r="T8" s="3190" t="s">
        <v>2780</v>
      </c>
      <c r="U8" s="3190" t="s">
        <v>2780</v>
      </c>
      <c r="V8" s="3190" t="s">
        <v>2780</v>
      </c>
      <c r="W8" s="3190" t="s">
        <v>3072</v>
      </c>
      <c r="X8" s="3190" t="s">
        <v>3307</v>
      </c>
      <c r="Y8" s="3190" t="s">
        <v>3308</v>
      </c>
      <c r="Z8" s="3190" t="s">
        <v>3309</v>
      </c>
      <c r="AA8" s="3190" t="s">
        <v>3309</v>
      </c>
      <c r="AB8" s="3190" t="s">
        <v>3310</v>
      </c>
      <c r="AC8" s="3190" t="s">
        <v>3077</v>
      </c>
      <c r="AD8" s="3190" t="s">
        <v>3084</v>
      </c>
      <c r="AE8" s="3190">
        <v>5910</v>
      </c>
      <c r="AF8" s="3190">
        <v>29547</v>
      </c>
      <c r="AG8" s="3190">
        <v>40647</v>
      </c>
      <c r="AH8" s="3190">
        <v>400.01</v>
      </c>
      <c r="AI8" s="3190">
        <v>550.28</v>
      </c>
      <c r="AJ8" s="3190">
        <v>2400.04</v>
      </c>
      <c r="AK8" s="3190">
        <v>3301.67</v>
      </c>
      <c r="AL8" s="3190" t="s">
        <v>2780</v>
      </c>
      <c r="AM8" s="3190" t="s">
        <v>2780</v>
      </c>
      <c r="AN8" s="3190">
        <v>37.57</v>
      </c>
      <c r="AO8" s="3190" t="s">
        <v>3079</v>
      </c>
      <c r="AP8" s="3190" t="s">
        <v>2780</v>
      </c>
      <c r="AQ8" s="3190" t="s">
        <v>2780</v>
      </c>
      <c r="AR8" s="3190" t="s">
        <v>2780</v>
      </c>
      <c r="AS8" s="3190" t="s">
        <v>3278</v>
      </c>
    </row>
    <row r="9" spans="1:45">
      <c r="A9" s="2938" t="s">
        <v>3103</v>
      </c>
      <c r="B9" s="2938" t="s">
        <v>3065</v>
      </c>
      <c r="C9" s="2938" t="s">
        <v>3066</v>
      </c>
      <c r="D9" s="2938" t="s">
        <v>2991</v>
      </c>
      <c r="E9" s="2938" t="s">
        <v>2780</v>
      </c>
      <c r="F9" s="2938" t="s">
        <v>3103</v>
      </c>
      <c r="G9" s="2938" t="s">
        <v>3067</v>
      </c>
      <c r="H9" s="2938" t="s">
        <v>3311</v>
      </c>
      <c r="I9" s="2938" t="s">
        <v>3304</v>
      </c>
      <c r="J9" s="2938">
        <v>25605</v>
      </c>
      <c r="K9" s="2938">
        <v>48649.5</v>
      </c>
      <c r="L9" s="2938" t="s">
        <v>3312</v>
      </c>
      <c r="M9" s="2938" t="s">
        <v>2780</v>
      </c>
      <c r="N9" s="2938" t="s">
        <v>3071</v>
      </c>
      <c r="O9" s="2938" t="s">
        <v>2780</v>
      </c>
      <c r="P9" s="2938" t="s">
        <v>2780</v>
      </c>
      <c r="Q9" s="2938" t="s">
        <v>2780</v>
      </c>
      <c r="R9" s="2938" t="s">
        <v>2780</v>
      </c>
      <c r="S9" s="2938" t="s">
        <v>2780</v>
      </c>
      <c r="T9" s="2938" t="s">
        <v>2780</v>
      </c>
      <c r="U9" s="2938" t="s">
        <v>2780</v>
      </c>
      <c r="V9" s="2938" t="s">
        <v>2780</v>
      </c>
      <c r="W9" s="2938" t="s">
        <v>3072</v>
      </c>
      <c r="X9" s="2938" t="s">
        <v>3307</v>
      </c>
      <c r="Y9" s="2938" t="s">
        <v>3308</v>
      </c>
      <c r="Z9" s="2938" t="s">
        <v>3309</v>
      </c>
      <c r="AA9" s="2938" t="s">
        <v>3309</v>
      </c>
      <c r="AB9" s="2938" t="s">
        <v>3313</v>
      </c>
      <c r="AC9" s="2938" t="s">
        <v>3077</v>
      </c>
      <c r="AD9" s="2938" t="s">
        <v>3084</v>
      </c>
      <c r="AE9" s="2938">
        <v>2919</v>
      </c>
      <c r="AF9" s="2938">
        <v>14595</v>
      </c>
      <c r="AG9" s="2938">
        <v>23595</v>
      </c>
      <c r="AH9" s="2938">
        <v>380</v>
      </c>
      <c r="AI9" s="2938">
        <v>614.33000000000004</v>
      </c>
      <c r="AJ9" s="2938">
        <v>3000.03</v>
      </c>
      <c r="AK9" s="2938">
        <v>4850</v>
      </c>
      <c r="AL9" s="2938" t="s">
        <v>2780</v>
      </c>
      <c r="AM9" s="2938" t="s">
        <v>2780</v>
      </c>
      <c r="AN9" s="2938">
        <v>61.66</v>
      </c>
      <c r="AO9" s="2938" t="s">
        <v>3079</v>
      </c>
      <c r="AP9" s="2938" t="s">
        <v>2780</v>
      </c>
      <c r="AQ9" s="2938" t="s">
        <v>2780</v>
      </c>
      <c r="AR9" s="2938" t="s">
        <v>2780</v>
      </c>
      <c r="AS9" s="2938" t="s">
        <v>3278</v>
      </c>
    </row>
    <row r="10" spans="1:45">
      <c r="A10" s="2938" t="s">
        <v>3064</v>
      </c>
      <c r="B10" s="2938" t="s">
        <v>3065</v>
      </c>
      <c r="C10" s="2938" t="s">
        <v>3066</v>
      </c>
      <c r="D10" s="2938" t="s">
        <v>2991</v>
      </c>
      <c r="E10" s="2938" t="s">
        <v>2780</v>
      </c>
      <c r="F10" s="2938" t="s">
        <v>3064</v>
      </c>
      <c r="G10" s="2938" t="s">
        <v>3067</v>
      </c>
      <c r="H10" s="2938" t="s">
        <v>3068</v>
      </c>
      <c r="I10" s="2938" t="s">
        <v>3069</v>
      </c>
      <c r="J10" s="2938">
        <v>41505</v>
      </c>
      <c r="K10" s="2938">
        <v>83010</v>
      </c>
      <c r="L10" s="2938" t="s">
        <v>3070</v>
      </c>
      <c r="M10" s="2938" t="s">
        <v>2780</v>
      </c>
      <c r="N10" s="2938" t="s">
        <v>3071</v>
      </c>
      <c r="O10" s="2938" t="s">
        <v>2780</v>
      </c>
      <c r="P10" s="2938" t="s">
        <v>2780</v>
      </c>
      <c r="Q10" s="2938" t="s">
        <v>2780</v>
      </c>
      <c r="R10" s="2938" t="s">
        <v>2780</v>
      </c>
      <c r="S10" s="2938" t="s">
        <v>2780</v>
      </c>
      <c r="T10" s="2938" t="s">
        <v>2780</v>
      </c>
      <c r="U10" s="2938" t="s">
        <v>2780</v>
      </c>
      <c r="V10" s="2938" t="s">
        <v>2780</v>
      </c>
      <c r="W10" s="2938" t="s">
        <v>3122</v>
      </c>
      <c r="X10" s="2938" t="s">
        <v>3073</v>
      </c>
      <c r="Y10" s="2938" t="s">
        <v>3074</v>
      </c>
      <c r="Z10" s="2938" t="s">
        <v>3075</v>
      </c>
      <c r="AA10" s="2938" t="s">
        <v>3075</v>
      </c>
      <c r="AB10" s="2938" t="s">
        <v>3076</v>
      </c>
      <c r="AC10" s="2938" t="s">
        <v>3077</v>
      </c>
      <c r="AD10" s="2938" t="s">
        <v>3078</v>
      </c>
      <c r="AE10" s="2938">
        <v>6226</v>
      </c>
      <c r="AF10" s="2938">
        <v>31130</v>
      </c>
      <c r="AG10" s="2938">
        <v>47630</v>
      </c>
      <c r="AH10" s="2938">
        <v>500.02</v>
      </c>
      <c r="AI10" s="2938">
        <v>765.05</v>
      </c>
      <c r="AJ10" s="2938">
        <v>3750.15</v>
      </c>
      <c r="AK10" s="2938">
        <v>5737.85</v>
      </c>
      <c r="AL10" s="2938" t="s">
        <v>2780</v>
      </c>
      <c r="AM10" s="2938" t="s">
        <v>2780</v>
      </c>
      <c r="AN10" s="2938">
        <v>53</v>
      </c>
      <c r="AO10" s="2938" t="s">
        <v>3079</v>
      </c>
      <c r="AP10" s="2938" t="s">
        <v>2780</v>
      </c>
      <c r="AQ10" s="2938" t="s">
        <v>2780</v>
      </c>
      <c r="AR10" s="2938" t="s">
        <v>2780</v>
      </c>
      <c r="AS10" s="2938" t="s">
        <v>3278</v>
      </c>
    </row>
    <row r="11" spans="1:45">
      <c r="A11" s="2938" t="s">
        <v>3080</v>
      </c>
      <c r="B11" s="2938" t="s">
        <v>3065</v>
      </c>
      <c r="C11" s="2938" t="s">
        <v>3066</v>
      </c>
      <c r="D11" s="2938" t="s">
        <v>2991</v>
      </c>
      <c r="E11" s="2938" t="s">
        <v>2780</v>
      </c>
      <c r="F11" s="2938" t="s">
        <v>3080</v>
      </c>
      <c r="G11" s="2938" t="s">
        <v>3067</v>
      </c>
      <c r="H11" s="2938" t="s">
        <v>3081</v>
      </c>
      <c r="I11" s="2938" t="s">
        <v>3069</v>
      </c>
      <c r="J11" s="2938">
        <v>4857</v>
      </c>
      <c r="K11" s="2938">
        <v>10685.4</v>
      </c>
      <c r="L11" s="2938" t="s">
        <v>3082</v>
      </c>
      <c r="M11" s="2938" t="s">
        <v>2780</v>
      </c>
      <c r="N11" s="2938" t="s">
        <v>3071</v>
      </c>
      <c r="O11" s="2938" t="s">
        <v>2780</v>
      </c>
      <c r="P11" s="2938" t="s">
        <v>2780</v>
      </c>
      <c r="Q11" s="2938" t="s">
        <v>2780</v>
      </c>
      <c r="R11" s="2938" t="s">
        <v>2780</v>
      </c>
      <c r="S11" s="2938" t="s">
        <v>2780</v>
      </c>
      <c r="T11" s="2938" t="s">
        <v>2780</v>
      </c>
      <c r="U11" s="2938" t="s">
        <v>2780</v>
      </c>
      <c r="V11" s="2938" t="s">
        <v>2780</v>
      </c>
      <c r="W11" s="2938" t="s">
        <v>3122</v>
      </c>
      <c r="X11" s="2938" t="s">
        <v>3073</v>
      </c>
      <c r="Y11" s="2938" t="s">
        <v>3074</v>
      </c>
      <c r="Z11" s="2938" t="s">
        <v>3075</v>
      </c>
      <c r="AA11" s="2938" t="s">
        <v>3075</v>
      </c>
      <c r="AB11" s="2938" t="s">
        <v>3083</v>
      </c>
      <c r="AC11" s="2938" t="s">
        <v>3077</v>
      </c>
      <c r="AD11" s="2938" t="s">
        <v>3084</v>
      </c>
      <c r="AE11" s="2938">
        <v>524</v>
      </c>
      <c r="AF11" s="2938">
        <v>2620</v>
      </c>
      <c r="AG11" s="2938">
        <v>2620</v>
      </c>
      <c r="AH11" s="2938">
        <v>359.62</v>
      </c>
      <c r="AI11" s="2938">
        <v>359.62</v>
      </c>
      <c r="AJ11" s="2938">
        <v>2451.94</v>
      </c>
      <c r="AK11" s="2938">
        <v>2451.94</v>
      </c>
      <c r="AL11" s="2938" t="s">
        <v>2780</v>
      </c>
      <c r="AM11" s="2938" t="s">
        <v>2780</v>
      </c>
      <c r="AN11" s="2938">
        <v>0</v>
      </c>
      <c r="AO11" s="2938" t="s">
        <v>3079</v>
      </c>
      <c r="AP11" s="2938" t="s">
        <v>2780</v>
      </c>
      <c r="AQ11" s="2938" t="s">
        <v>2780</v>
      </c>
      <c r="AR11" s="2938" t="s">
        <v>2780</v>
      </c>
      <c r="AS11" s="2938" t="s">
        <v>3278</v>
      </c>
    </row>
    <row r="12" spans="1:45">
      <c r="A12" s="2938" t="s">
        <v>3085</v>
      </c>
      <c r="B12" s="2938" t="s">
        <v>3065</v>
      </c>
      <c r="C12" s="2938" t="s">
        <v>3066</v>
      </c>
      <c r="D12" s="2938" t="s">
        <v>2991</v>
      </c>
      <c r="E12" s="2938" t="s">
        <v>2780</v>
      </c>
      <c r="F12" s="2938" t="s">
        <v>3085</v>
      </c>
      <c r="G12" s="2938" t="s">
        <v>3067</v>
      </c>
      <c r="H12" s="2938" t="s">
        <v>3086</v>
      </c>
      <c r="I12" s="2938" t="s">
        <v>3069</v>
      </c>
      <c r="J12" s="2938">
        <v>22487</v>
      </c>
      <c r="K12" s="2938">
        <v>49471.4</v>
      </c>
      <c r="L12" s="2938" t="s">
        <v>3082</v>
      </c>
      <c r="M12" s="2938" t="s">
        <v>2780</v>
      </c>
      <c r="N12" s="2938" t="s">
        <v>3071</v>
      </c>
      <c r="O12" s="2938" t="s">
        <v>2780</v>
      </c>
      <c r="P12" s="2938" t="s">
        <v>2780</v>
      </c>
      <c r="Q12" s="2938" t="s">
        <v>2780</v>
      </c>
      <c r="R12" s="2938" t="s">
        <v>2780</v>
      </c>
      <c r="S12" s="2938" t="s">
        <v>2780</v>
      </c>
      <c r="T12" s="2938" t="s">
        <v>2780</v>
      </c>
      <c r="U12" s="2938" t="s">
        <v>2780</v>
      </c>
      <c r="V12" s="2938" t="s">
        <v>2780</v>
      </c>
      <c r="W12" s="2938" t="s">
        <v>3122</v>
      </c>
      <c r="X12" s="2938" t="s">
        <v>3073</v>
      </c>
      <c r="Y12" s="2938" t="s">
        <v>3074</v>
      </c>
      <c r="Z12" s="2938" t="s">
        <v>3075</v>
      </c>
      <c r="AA12" s="2938" t="s">
        <v>3075</v>
      </c>
      <c r="AB12" s="2938" t="s">
        <v>3087</v>
      </c>
      <c r="AC12" s="2938" t="s">
        <v>3077</v>
      </c>
      <c r="AD12" s="2938" t="s">
        <v>3088</v>
      </c>
      <c r="AE12" s="2938">
        <v>3240</v>
      </c>
      <c r="AF12" s="2938">
        <v>16200</v>
      </c>
      <c r="AG12" s="2938">
        <v>23600</v>
      </c>
      <c r="AH12" s="2938">
        <v>480.28</v>
      </c>
      <c r="AI12" s="2938">
        <v>699.66</v>
      </c>
      <c r="AJ12" s="2938">
        <v>3274.61</v>
      </c>
      <c r="AK12" s="2938">
        <v>4770.43</v>
      </c>
      <c r="AL12" s="2938" t="s">
        <v>2780</v>
      </c>
      <c r="AM12" s="2938" t="s">
        <v>2780</v>
      </c>
      <c r="AN12" s="2938">
        <v>45.68</v>
      </c>
      <c r="AO12" s="2938" t="s">
        <v>3079</v>
      </c>
      <c r="AP12" s="2938" t="s">
        <v>2780</v>
      </c>
      <c r="AQ12" s="2938" t="s">
        <v>2780</v>
      </c>
      <c r="AR12" s="2938" t="s">
        <v>2780</v>
      </c>
      <c r="AS12" s="2938" t="s">
        <v>3278</v>
      </c>
    </row>
    <row r="13" spans="1:45" s="3190" customFormat="1" ht="13.2">
      <c r="A13" s="3191" t="s">
        <v>3321</v>
      </c>
      <c r="B13" s="3190" t="s">
        <v>3065</v>
      </c>
      <c r="C13" s="3190" t="s">
        <v>3269</v>
      </c>
      <c r="D13" s="3190" t="s">
        <v>2991</v>
      </c>
      <c r="E13" s="3190" t="s">
        <v>2780</v>
      </c>
      <c r="F13" s="3190" t="s">
        <v>3089</v>
      </c>
      <c r="G13" s="3190" t="s">
        <v>3067</v>
      </c>
      <c r="H13" s="3190" t="s">
        <v>3090</v>
      </c>
      <c r="I13" s="3190" t="s">
        <v>3069</v>
      </c>
      <c r="J13" s="3190">
        <v>2524</v>
      </c>
      <c r="K13" s="3190">
        <v>8834</v>
      </c>
      <c r="L13" s="3190" t="s">
        <v>3091</v>
      </c>
      <c r="M13" s="3190" t="s">
        <v>2780</v>
      </c>
      <c r="N13" s="3190" t="s">
        <v>3071</v>
      </c>
      <c r="O13" s="3190" t="s">
        <v>2780</v>
      </c>
      <c r="P13" s="3190" t="s">
        <v>2780</v>
      </c>
      <c r="Q13" s="3190" t="s">
        <v>2780</v>
      </c>
      <c r="R13" s="3190" t="s">
        <v>2780</v>
      </c>
      <c r="S13" s="3190" t="s">
        <v>2780</v>
      </c>
      <c r="T13" s="3190" t="s">
        <v>2780</v>
      </c>
      <c r="U13" s="3190" t="s">
        <v>2780</v>
      </c>
      <c r="V13" s="3190" t="s">
        <v>2780</v>
      </c>
      <c r="W13" s="3190" t="s">
        <v>3122</v>
      </c>
      <c r="X13" s="3190" t="s">
        <v>3092</v>
      </c>
      <c r="Y13" s="3190" t="s">
        <v>3093</v>
      </c>
      <c r="Z13" s="3190" t="s">
        <v>3094</v>
      </c>
      <c r="AA13" s="3190" t="s">
        <v>3094</v>
      </c>
      <c r="AB13" s="3190" t="s">
        <v>3095</v>
      </c>
      <c r="AC13" s="3190" t="s">
        <v>3077</v>
      </c>
      <c r="AD13" s="3190" t="s">
        <v>3096</v>
      </c>
      <c r="AE13" s="3190">
        <v>606</v>
      </c>
      <c r="AF13" s="3190">
        <v>3030</v>
      </c>
      <c r="AG13" s="3190">
        <v>3030</v>
      </c>
      <c r="AH13" s="3190">
        <v>800.32</v>
      </c>
      <c r="AI13" s="3190">
        <v>800.32</v>
      </c>
      <c r="AJ13" s="3190">
        <v>3429.92</v>
      </c>
      <c r="AK13" s="3190">
        <v>3429.92</v>
      </c>
      <c r="AL13" s="3190" t="s">
        <v>2780</v>
      </c>
      <c r="AM13" s="3190" t="s">
        <v>2780</v>
      </c>
      <c r="AN13" s="3190">
        <v>0</v>
      </c>
      <c r="AO13" s="3190" t="s">
        <v>3314</v>
      </c>
      <c r="AP13" s="3190" t="s">
        <v>2780</v>
      </c>
      <c r="AQ13" s="3190" t="s">
        <v>2780</v>
      </c>
      <c r="AR13" s="3190" t="s">
        <v>2780</v>
      </c>
      <c r="AS13" s="3190" t="s">
        <v>3278</v>
      </c>
    </row>
    <row r="14" spans="1:45" s="3233" customFormat="1" ht="13.2">
      <c r="A14" s="3232" t="s">
        <v>3322</v>
      </c>
      <c r="B14" s="3233" t="s">
        <v>3065</v>
      </c>
      <c r="C14" s="3233" t="s">
        <v>3269</v>
      </c>
      <c r="D14" s="3233" t="s">
        <v>2991</v>
      </c>
      <c r="E14" s="3233" t="s">
        <v>2780</v>
      </c>
      <c r="F14" s="3233" t="s">
        <v>3097</v>
      </c>
      <c r="G14" s="3233" t="s">
        <v>3067</v>
      </c>
      <c r="H14" s="3233" t="s">
        <v>3098</v>
      </c>
      <c r="I14" s="3233" t="s">
        <v>3069</v>
      </c>
      <c r="J14" s="3233">
        <v>793</v>
      </c>
      <c r="K14" s="3233">
        <v>1982.5</v>
      </c>
      <c r="L14" s="3233" t="s">
        <v>3099</v>
      </c>
      <c r="M14" s="3233" t="s">
        <v>2780</v>
      </c>
      <c r="N14" s="3233" t="s">
        <v>3100</v>
      </c>
      <c r="O14" s="3233" t="s">
        <v>2780</v>
      </c>
      <c r="P14" s="3233" t="s">
        <v>2780</v>
      </c>
      <c r="Q14" s="3233" t="s">
        <v>2780</v>
      </c>
      <c r="R14" s="3233" t="s">
        <v>2780</v>
      </c>
      <c r="S14" s="3233" t="s">
        <v>2780</v>
      </c>
      <c r="T14" s="3233" t="s">
        <v>2780</v>
      </c>
      <c r="U14" s="3233" t="s">
        <v>2780</v>
      </c>
      <c r="V14" s="3233" t="s">
        <v>2780</v>
      </c>
      <c r="W14" s="3233" t="s">
        <v>3122</v>
      </c>
      <c r="X14" s="3233" t="s">
        <v>3092</v>
      </c>
      <c r="Y14" s="3233" t="s">
        <v>3093</v>
      </c>
      <c r="Z14" s="3233" t="s">
        <v>3094</v>
      </c>
      <c r="AA14" s="3233" t="s">
        <v>3094</v>
      </c>
      <c r="AB14" s="3233" t="s">
        <v>3101</v>
      </c>
      <c r="AC14" s="3233" t="s">
        <v>3077</v>
      </c>
      <c r="AD14" s="3233" t="s">
        <v>3102</v>
      </c>
      <c r="AE14" s="3233">
        <v>134</v>
      </c>
      <c r="AF14" s="3233">
        <v>670</v>
      </c>
      <c r="AG14" s="3233">
        <v>670</v>
      </c>
      <c r="AH14" s="3233">
        <v>563.26</v>
      </c>
      <c r="AI14" s="3233">
        <v>563.26</v>
      </c>
      <c r="AJ14" s="3233">
        <v>3379.57</v>
      </c>
      <c r="AK14" s="3233">
        <v>3379.57</v>
      </c>
      <c r="AL14" s="3233" t="s">
        <v>2780</v>
      </c>
      <c r="AM14" s="3233" t="s">
        <v>2780</v>
      </c>
      <c r="AN14" s="3233">
        <v>0</v>
      </c>
      <c r="AO14" s="3233" t="s">
        <v>3314</v>
      </c>
      <c r="AP14" s="3233" t="s">
        <v>2780</v>
      </c>
      <c r="AQ14" s="3233" t="s">
        <v>2780</v>
      </c>
      <c r="AR14" s="3233" t="s">
        <v>2780</v>
      </c>
      <c r="AS14" s="3233" t="s">
        <v>3278</v>
      </c>
    </row>
    <row r="15" spans="1:45">
      <c r="A15" s="2938" t="s">
        <v>3103</v>
      </c>
      <c r="B15" s="2938" t="s">
        <v>3065</v>
      </c>
      <c r="C15" s="2938" t="s">
        <v>3066</v>
      </c>
      <c r="D15" s="2938" t="s">
        <v>2991</v>
      </c>
      <c r="E15" s="2938" t="s">
        <v>2780</v>
      </c>
      <c r="F15" s="2938" t="s">
        <v>3103</v>
      </c>
      <c r="G15" s="2938" t="s">
        <v>3067</v>
      </c>
      <c r="H15" s="2938" t="s">
        <v>3104</v>
      </c>
      <c r="I15" s="2938" t="s">
        <v>3069</v>
      </c>
      <c r="J15" s="2938">
        <v>13765</v>
      </c>
      <c r="K15" s="2938">
        <v>27530</v>
      </c>
      <c r="L15" s="2938" t="s">
        <v>3070</v>
      </c>
      <c r="M15" s="2938" t="s">
        <v>2780</v>
      </c>
      <c r="N15" s="2938" t="s">
        <v>3105</v>
      </c>
      <c r="O15" s="2938" t="s">
        <v>2780</v>
      </c>
      <c r="P15" s="2938" t="s">
        <v>2780</v>
      </c>
      <c r="Q15" s="2938" t="s">
        <v>2780</v>
      </c>
      <c r="R15" s="2938" t="s">
        <v>2780</v>
      </c>
      <c r="S15" s="2938" t="s">
        <v>2780</v>
      </c>
      <c r="T15" s="2938" t="s">
        <v>2780</v>
      </c>
      <c r="U15" s="2938" t="s">
        <v>2780</v>
      </c>
      <c r="V15" s="2938" t="s">
        <v>2780</v>
      </c>
      <c r="W15" s="2938" t="s">
        <v>3122</v>
      </c>
      <c r="X15" s="2938" t="s">
        <v>3092</v>
      </c>
      <c r="Y15" s="2938" t="s">
        <v>3093</v>
      </c>
      <c r="Z15" s="2938" t="s">
        <v>3094</v>
      </c>
      <c r="AA15" s="2938" t="s">
        <v>3094</v>
      </c>
      <c r="AB15" s="2938" t="s">
        <v>3106</v>
      </c>
      <c r="AC15" s="2938" t="s">
        <v>3077</v>
      </c>
      <c r="AD15" s="2938" t="s">
        <v>3107</v>
      </c>
      <c r="AE15" s="2938">
        <v>496</v>
      </c>
      <c r="AF15" s="2938">
        <v>2478</v>
      </c>
      <c r="AG15" s="2938">
        <v>2478</v>
      </c>
      <c r="AH15" s="2938">
        <v>120.01</v>
      </c>
      <c r="AI15" s="2938">
        <v>120.01</v>
      </c>
      <c r="AJ15" s="2938">
        <v>900.1</v>
      </c>
      <c r="AK15" s="2938">
        <v>900.11</v>
      </c>
      <c r="AL15" s="2938" t="s">
        <v>2780</v>
      </c>
      <c r="AM15" s="2938" t="s">
        <v>2780</v>
      </c>
      <c r="AN15" s="2938">
        <v>0</v>
      </c>
      <c r="AO15" s="2938" t="s">
        <v>3079</v>
      </c>
      <c r="AP15" s="2938" t="s">
        <v>2780</v>
      </c>
      <c r="AQ15" s="2938" t="s">
        <v>2780</v>
      </c>
      <c r="AR15" s="2938" t="s">
        <v>2780</v>
      </c>
      <c r="AS15" s="2938" t="s">
        <v>3278</v>
      </c>
    </row>
    <row r="16" spans="1:45" s="3231" customFormat="1">
      <c r="A16" s="3231" t="s">
        <v>3097</v>
      </c>
      <c r="B16" s="3231" t="s">
        <v>3065</v>
      </c>
      <c r="C16" s="3231" t="s">
        <v>3269</v>
      </c>
      <c r="D16" s="3231" t="s">
        <v>2991</v>
      </c>
      <c r="E16" s="3231" t="s">
        <v>2780</v>
      </c>
      <c r="F16" s="3231" t="s">
        <v>3097</v>
      </c>
      <c r="G16" s="3231" t="s">
        <v>3067</v>
      </c>
      <c r="H16" s="3231" t="s">
        <v>3108</v>
      </c>
      <c r="I16" s="3231" t="s">
        <v>3069</v>
      </c>
      <c r="J16" s="3231">
        <v>10799</v>
      </c>
      <c r="K16" s="3231">
        <v>26997.5</v>
      </c>
      <c r="L16" s="3231" t="s">
        <v>3099</v>
      </c>
      <c r="M16" s="3231" t="s">
        <v>2780</v>
      </c>
      <c r="N16" s="3231" t="s">
        <v>3100</v>
      </c>
      <c r="O16" s="3231" t="s">
        <v>2780</v>
      </c>
      <c r="P16" s="3231" t="s">
        <v>2780</v>
      </c>
      <c r="Q16" s="3231" t="s">
        <v>2780</v>
      </c>
      <c r="R16" s="3231" t="s">
        <v>2780</v>
      </c>
      <c r="S16" s="3231" t="s">
        <v>2780</v>
      </c>
      <c r="T16" s="3231" t="s">
        <v>2780</v>
      </c>
      <c r="U16" s="3231" t="s">
        <v>2780</v>
      </c>
      <c r="V16" s="3231" t="s">
        <v>2780</v>
      </c>
      <c r="W16" s="3231" t="s">
        <v>3122</v>
      </c>
      <c r="X16" s="3231" t="s">
        <v>3092</v>
      </c>
      <c r="Y16" s="3231" t="s">
        <v>3093</v>
      </c>
      <c r="Z16" s="3231" t="s">
        <v>3094</v>
      </c>
      <c r="AA16" s="3231" t="s">
        <v>3094</v>
      </c>
      <c r="AB16" s="3231" t="s">
        <v>3109</v>
      </c>
      <c r="AC16" s="3231" t="s">
        <v>3077</v>
      </c>
      <c r="AD16" s="3231" t="s">
        <v>3102</v>
      </c>
      <c r="AE16" s="3231">
        <v>1816</v>
      </c>
      <c r="AF16" s="3231">
        <v>9080</v>
      </c>
      <c r="AG16" s="3231">
        <v>9080</v>
      </c>
      <c r="AH16" s="3231">
        <v>560.54999999999995</v>
      </c>
      <c r="AI16" s="3231">
        <v>560.54999999999995</v>
      </c>
      <c r="AJ16" s="3231">
        <v>3363.27</v>
      </c>
      <c r="AK16" s="3231">
        <v>3363.26</v>
      </c>
      <c r="AL16" s="3231" t="s">
        <v>2780</v>
      </c>
      <c r="AM16" s="3231" t="s">
        <v>2780</v>
      </c>
      <c r="AN16" s="3231">
        <v>0</v>
      </c>
      <c r="AO16" s="3231" t="s">
        <v>888</v>
      </c>
      <c r="AP16" s="3231" t="s">
        <v>2780</v>
      </c>
      <c r="AQ16" s="3231" t="s">
        <v>2780</v>
      </c>
      <c r="AR16" s="3231" t="s">
        <v>2780</v>
      </c>
      <c r="AS16" s="3231" t="s">
        <v>3278</v>
      </c>
    </row>
    <row r="17" spans="1:45">
      <c r="A17" s="2938" t="s">
        <v>3110</v>
      </c>
      <c r="B17" s="2938" t="s">
        <v>3065</v>
      </c>
      <c r="C17" s="2938" t="s">
        <v>3066</v>
      </c>
      <c r="D17" s="2938" t="s">
        <v>2991</v>
      </c>
      <c r="E17" s="2938" t="s">
        <v>2780</v>
      </c>
      <c r="F17" s="2938" t="s">
        <v>3110</v>
      </c>
      <c r="G17" s="2938" t="s">
        <v>3067</v>
      </c>
      <c r="H17" s="2938" t="s">
        <v>3111</v>
      </c>
      <c r="I17" s="2938" t="s">
        <v>3069</v>
      </c>
      <c r="J17" s="2938">
        <v>69847</v>
      </c>
      <c r="K17" s="2938">
        <v>153663.4</v>
      </c>
      <c r="L17" s="2938" t="s">
        <v>3082</v>
      </c>
      <c r="M17" s="2938" t="s">
        <v>2780</v>
      </c>
      <c r="N17" s="2938" t="s">
        <v>3071</v>
      </c>
      <c r="O17" s="2938" t="s">
        <v>2780</v>
      </c>
      <c r="P17" s="2938" t="s">
        <v>2780</v>
      </c>
      <c r="Q17" s="2938" t="s">
        <v>2780</v>
      </c>
      <c r="R17" s="2938" t="s">
        <v>2780</v>
      </c>
      <c r="S17" s="2938" t="s">
        <v>2780</v>
      </c>
      <c r="T17" s="2938" t="s">
        <v>2780</v>
      </c>
      <c r="U17" s="2938" t="s">
        <v>2780</v>
      </c>
      <c r="V17" s="2938" t="s">
        <v>2780</v>
      </c>
      <c r="W17" s="2938" t="s">
        <v>3122</v>
      </c>
      <c r="X17" s="2938" t="s">
        <v>3092</v>
      </c>
      <c r="Y17" s="2938" t="s">
        <v>3093</v>
      </c>
      <c r="Z17" s="2938" t="s">
        <v>3094</v>
      </c>
      <c r="AA17" s="2938" t="s">
        <v>3094</v>
      </c>
      <c r="AB17" s="2938" t="s">
        <v>3112</v>
      </c>
      <c r="AC17" s="2938" t="s">
        <v>3077</v>
      </c>
      <c r="AD17" s="2938" t="s">
        <v>3084</v>
      </c>
      <c r="AE17" s="2938">
        <v>8382</v>
      </c>
      <c r="AF17" s="2938">
        <v>41910</v>
      </c>
      <c r="AG17" s="2938">
        <v>41910</v>
      </c>
      <c r="AH17" s="2938">
        <v>400.02</v>
      </c>
      <c r="AI17" s="2938">
        <v>400.02</v>
      </c>
      <c r="AJ17" s="2938">
        <v>2727.38</v>
      </c>
      <c r="AK17" s="2938">
        <v>2727.38</v>
      </c>
      <c r="AL17" s="2938" t="s">
        <v>2780</v>
      </c>
      <c r="AM17" s="2938" t="s">
        <v>2780</v>
      </c>
      <c r="AN17" s="2938">
        <v>0</v>
      </c>
      <c r="AO17" s="2938" t="s">
        <v>3079</v>
      </c>
      <c r="AP17" s="2938" t="s">
        <v>2780</v>
      </c>
      <c r="AQ17" s="2938" t="s">
        <v>2780</v>
      </c>
      <c r="AR17" s="2938" t="s">
        <v>2780</v>
      </c>
      <c r="AS17" s="2938" t="s">
        <v>3278</v>
      </c>
    </row>
    <row r="18" spans="1:45">
      <c r="A18" s="2938" t="s">
        <v>3113</v>
      </c>
      <c r="B18" s="2938" t="s">
        <v>3065</v>
      </c>
      <c r="C18" s="2938" t="s">
        <v>3066</v>
      </c>
      <c r="D18" s="2938" t="s">
        <v>2991</v>
      </c>
      <c r="E18" s="2938" t="s">
        <v>2780</v>
      </c>
      <c r="F18" s="2938" t="s">
        <v>3113</v>
      </c>
      <c r="G18" s="2938" t="s">
        <v>3067</v>
      </c>
      <c r="H18" s="2938" t="s">
        <v>3114</v>
      </c>
      <c r="I18" s="2938" t="s">
        <v>3069</v>
      </c>
      <c r="J18" s="2938">
        <v>24054</v>
      </c>
      <c r="K18" s="2938">
        <v>36081</v>
      </c>
      <c r="L18" s="2938" t="s">
        <v>3115</v>
      </c>
      <c r="M18" s="2938" t="s">
        <v>2780</v>
      </c>
      <c r="N18" s="2938" t="s">
        <v>3071</v>
      </c>
      <c r="O18" s="2938" t="s">
        <v>2780</v>
      </c>
      <c r="P18" s="2938" t="s">
        <v>2780</v>
      </c>
      <c r="Q18" s="2938" t="s">
        <v>2780</v>
      </c>
      <c r="R18" s="2938" t="s">
        <v>2780</v>
      </c>
      <c r="S18" s="2938" t="s">
        <v>2780</v>
      </c>
      <c r="T18" s="2938" t="s">
        <v>2780</v>
      </c>
      <c r="U18" s="2938" t="s">
        <v>2780</v>
      </c>
      <c r="V18" s="2938" t="s">
        <v>2780</v>
      </c>
      <c r="W18" s="2938" t="s">
        <v>3122</v>
      </c>
      <c r="X18" s="2938" t="s">
        <v>3092</v>
      </c>
      <c r="Y18" s="2938" t="s">
        <v>3093</v>
      </c>
      <c r="Z18" s="2938" t="s">
        <v>3094</v>
      </c>
      <c r="AA18" s="2938" t="s">
        <v>3094</v>
      </c>
      <c r="AB18" s="2938" t="s">
        <v>3116</v>
      </c>
      <c r="AC18" s="2938" t="s">
        <v>3077</v>
      </c>
      <c r="AD18" s="2938" t="s">
        <v>3117</v>
      </c>
      <c r="AE18" s="2938">
        <v>2744</v>
      </c>
      <c r="AF18" s="2938">
        <v>13720</v>
      </c>
      <c r="AG18" s="2938">
        <v>13920</v>
      </c>
      <c r="AH18" s="2938">
        <v>380.26</v>
      </c>
      <c r="AI18" s="2938">
        <v>385.8</v>
      </c>
      <c r="AJ18" s="2938">
        <v>3802.55</v>
      </c>
      <c r="AK18" s="2938">
        <v>3857.98</v>
      </c>
      <c r="AL18" s="2938" t="s">
        <v>2780</v>
      </c>
      <c r="AM18" s="2938" t="s">
        <v>2780</v>
      </c>
      <c r="AN18" s="2938">
        <v>1.46</v>
      </c>
      <c r="AO18" s="2938" t="s">
        <v>3079</v>
      </c>
      <c r="AP18" s="2938" t="s">
        <v>2780</v>
      </c>
      <c r="AQ18" s="2938" t="s">
        <v>2780</v>
      </c>
      <c r="AR18" s="2938" t="s">
        <v>2780</v>
      </c>
      <c r="AS18" s="2938" t="s">
        <v>3278</v>
      </c>
    </row>
    <row r="19" spans="1:45">
      <c r="A19" s="2938" t="s">
        <v>3118</v>
      </c>
      <c r="B19" s="2938" t="s">
        <v>3065</v>
      </c>
      <c r="C19" s="2938" t="s">
        <v>3066</v>
      </c>
      <c r="D19" s="2938" t="s">
        <v>2991</v>
      </c>
      <c r="E19" s="2938" t="s">
        <v>2780</v>
      </c>
      <c r="F19" s="2938" t="s">
        <v>3118</v>
      </c>
      <c r="G19" s="2938" t="s">
        <v>3067</v>
      </c>
      <c r="H19" s="2938" t="s">
        <v>3119</v>
      </c>
      <c r="I19" s="2938" t="s">
        <v>3069</v>
      </c>
      <c r="J19" s="2938">
        <v>2615</v>
      </c>
      <c r="K19" s="2938">
        <v>6537.5</v>
      </c>
      <c r="L19" s="2938" t="s">
        <v>3120</v>
      </c>
      <c r="M19" s="2938" t="s">
        <v>2780</v>
      </c>
      <c r="N19" s="2938" t="s">
        <v>3121</v>
      </c>
      <c r="O19" s="2938" t="s">
        <v>2780</v>
      </c>
      <c r="P19" s="2938" t="s">
        <v>2780</v>
      </c>
      <c r="Q19" s="2938" t="s">
        <v>2780</v>
      </c>
      <c r="R19" s="2938" t="s">
        <v>2780</v>
      </c>
      <c r="S19" s="2938" t="s">
        <v>2780</v>
      </c>
      <c r="T19" s="2938" t="s">
        <v>2780</v>
      </c>
      <c r="U19" s="2938" t="s">
        <v>2780</v>
      </c>
      <c r="V19" s="2938" t="s">
        <v>2780</v>
      </c>
      <c r="W19" s="2938" t="s">
        <v>3122</v>
      </c>
      <c r="X19" s="2938" t="s">
        <v>3123</v>
      </c>
      <c r="Y19" s="2938" t="s">
        <v>3124</v>
      </c>
      <c r="Z19" s="2938" t="s">
        <v>3125</v>
      </c>
      <c r="AA19" s="2938" t="s">
        <v>3125</v>
      </c>
      <c r="AB19" s="2938" t="s">
        <v>3126</v>
      </c>
      <c r="AC19" s="2938" t="s">
        <v>3077</v>
      </c>
      <c r="AD19" s="2938" t="s">
        <v>3127</v>
      </c>
      <c r="AE19" s="2938">
        <v>354</v>
      </c>
      <c r="AF19" s="2938">
        <v>1180</v>
      </c>
      <c r="AG19" s="2938">
        <v>1180</v>
      </c>
      <c r="AH19" s="2938">
        <v>300.83</v>
      </c>
      <c r="AI19" s="2938">
        <v>300.83</v>
      </c>
      <c r="AJ19" s="2938">
        <v>1804.97</v>
      </c>
      <c r="AK19" s="2938">
        <v>1804.97</v>
      </c>
      <c r="AL19" s="2938" t="s">
        <v>2780</v>
      </c>
      <c r="AM19" s="2938" t="s">
        <v>2780</v>
      </c>
      <c r="AN19" s="2938">
        <v>0</v>
      </c>
      <c r="AO19" s="2938" t="s">
        <v>3079</v>
      </c>
      <c r="AP19" s="2938" t="s">
        <v>2780</v>
      </c>
      <c r="AQ19" s="2938" t="s">
        <v>2780</v>
      </c>
      <c r="AR19" s="2938" t="s">
        <v>2780</v>
      </c>
      <c r="AS19" s="2938" t="s">
        <v>3278</v>
      </c>
    </row>
    <row r="20" spans="1:45">
      <c r="A20" s="2938" t="s">
        <v>3128</v>
      </c>
      <c r="B20" s="2938" t="s">
        <v>3065</v>
      </c>
      <c r="C20" s="2938" t="s">
        <v>3066</v>
      </c>
      <c r="D20" s="2938" t="s">
        <v>2991</v>
      </c>
      <c r="E20" s="2938" t="s">
        <v>2780</v>
      </c>
      <c r="F20" s="2938" t="s">
        <v>3128</v>
      </c>
      <c r="G20" s="2938" t="s">
        <v>3067</v>
      </c>
      <c r="H20" s="2938" t="s">
        <v>3129</v>
      </c>
      <c r="I20" s="2938" t="s">
        <v>3069</v>
      </c>
      <c r="J20" s="2938">
        <v>30365</v>
      </c>
      <c r="K20" s="2938">
        <v>39474.5</v>
      </c>
      <c r="L20" s="2938" t="s">
        <v>3130</v>
      </c>
      <c r="M20" s="2938" t="s">
        <v>2780</v>
      </c>
      <c r="N20" s="2938" t="s">
        <v>3131</v>
      </c>
      <c r="O20" s="2938" t="s">
        <v>2780</v>
      </c>
      <c r="P20" s="2938" t="s">
        <v>2780</v>
      </c>
      <c r="Q20" s="2938" t="s">
        <v>2780</v>
      </c>
      <c r="R20" s="2938" t="s">
        <v>2780</v>
      </c>
      <c r="S20" s="2938" t="s">
        <v>2780</v>
      </c>
      <c r="T20" s="2938" t="s">
        <v>2780</v>
      </c>
      <c r="U20" s="2938" t="s">
        <v>2780</v>
      </c>
      <c r="V20" s="2938" t="s">
        <v>2780</v>
      </c>
      <c r="W20" s="2938" t="s">
        <v>3122</v>
      </c>
      <c r="X20" s="2938" t="s">
        <v>3123</v>
      </c>
      <c r="Y20" s="2938" t="s">
        <v>3124</v>
      </c>
      <c r="Z20" s="2938" t="s">
        <v>3125</v>
      </c>
      <c r="AA20" s="2938" t="s">
        <v>3125</v>
      </c>
      <c r="AB20" s="2938" t="s">
        <v>3126</v>
      </c>
      <c r="AC20" s="2938" t="s">
        <v>3077</v>
      </c>
      <c r="AD20" s="2938" t="s">
        <v>3132</v>
      </c>
      <c r="AE20" s="2938">
        <v>684</v>
      </c>
      <c r="AF20" s="2938">
        <v>2280</v>
      </c>
      <c r="AG20" s="2938">
        <v>2280</v>
      </c>
      <c r="AH20" s="2938">
        <v>50.06</v>
      </c>
      <c r="AI20" s="2938">
        <v>50.06</v>
      </c>
      <c r="AJ20" s="2938">
        <v>577.58000000000004</v>
      </c>
      <c r="AK20" s="2938">
        <v>577.59</v>
      </c>
      <c r="AL20" s="2938" t="s">
        <v>2780</v>
      </c>
      <c r="AM20" s="2938" t="s">
        <v>2780</v>
      </c>
      <c r="AN20" s="2938">
        <v>0</v>
      </c>
      <c r="AO20" s="2938" t="s">
        <v>3079</v>
      </c>
      <c r="AP20" s="2938" t="s">
        <v>2780</v>
      </c>
      <c r="AQ20" s="2938" t="s">
        <v>2780</v>
      </c>
      <c r="AR20" s="2938" t="s">
        <v>2780</v>
      </c>
      <c r="AS20" s="2938" t="s">
        <v>3297</v>
      </c>
    </row>
    <row r="21" spans="1:45">
      <c r="A21" s="2938" t="s">
        <v>3128</v>
      </c>
      <c r="B21" s="2938" t="s">
        <v>3065</v>
      </c>
      <c r="C21" s="2938" t="s">
        <v>3066</v>
      </c>
      <c r="D21" s="2938" t="s">
        <v>2991</v>
      </c>
      <c r="E21" s="2938" t="s">
        <v>2780</v>
      </c>
      <c r="F21" s="2938" t="s">
        <v>3128</v>
      </c>
      <c r="G21" s="2938" t="s">
        <v>3067</v>
      </c>
      <c r="H21" s="2938" t="s">
        <v>3133</v>
      </c>
      <c r="I21" s="2938" t="s">
        <v>3069</v>
      </c>
      <c r="J21" s="2938">
        <v>29560</v>
      </c>
      <c r="K21" s="2938">
        <v>38428</v>
      </c>
      <c r="L21" s="2938" t="s">
        <v>3130</v>
      </c>
      <c r="M21" s="2938" t="s">
        <v>2780</v>
      </c>
      <c r="N21" s="2938" t="s">
        <v>3131</v>
      </c>
      <c r="O21" s="2938" t="s">
        <v>2780</v>
      </c>
      <c r="P21" s="2938" t="s">
        <v>2780</v>
      </c>
      <c r="Q21" s="2938" t="s">
        <v>2780</v>
      </c>
      <c r="R21" s="2938" t="s">
        <v>2780</v>
      </c>
      <c r="S21" s="2938" t="s">
        <v>2780</v>
      </c>
      <c r="T21" s="2938" t="s">
        <v>2780</v>
      </c>
      <c r="U21" s="2938" t="s">
        <v>2780</v>
      </c>
      <c r="V21" s="2938" t="s">
        <v>2780</v>
      </c>
      <c r="W21" s="2938" t="s">
        <v>3122</v>
      </c>
      <c r="X21" s="2938" t="s">
        <v>3123</v>
      </c>
      <c r="Y21" s="2938" t="s">
        <v>3124</v>
      </c>
      <c r="Z21" s="2938" t="s">
        <v>3125</v>
      </c>
      <c r="AA21" s="2938" t="s">
        <v>3125</v>
      </c>
      <c r="AB21" s="2938" t="s">
        <v>3126</v>
      </c>
      <c r="AC21" s="2938" t="s">
        <v>3077</v>
      </c>
      <c r="AD21" s="2938" t="s">
        <v>3132</v>
      </c>
      <c r="AE21" s="2938">
        <v>666</v>
      </c>
      <c r="AF21" s="2938">
        <v>2220</v>
      </c>
      <c r="AG21" s="2938">
        <v>2220</v>
      </c>
      <c r="AH21" s="2938">
        <v>50.07</v>
      </c>
      <c r="AI21" s="2938">
        <v>50.07</v>
      </c>
      <c r="AJ21" s="2938">
        <v>577.70000000000005</v>
      </c>
      <c r="AK21" s="2938">
        <v>577.70000000000005</v>
      </c>
      <c r="AL21" s="2938" t="s">
        <v>2780</v>
      </c>
      <c r="AM21" s="2938" t="s">
        <v>2780</v>
      </c>
      <c r="AN21" s="2938">
        <v>0</v>
      </c>
      <c r="AO21" s="2938" t="s">
        <v>3079</v>
      </c>
      <c r="AP21" s="2938" t="s">
        <v>2780</v>
      </c>
      <c r="AQ21" s="2938" t="s">
        <v>2780</v>
      </c>
      <c r="AR21" s="2938" t="s">
        <v>2780</v>
      </c>
      <c r="AS21" s="2938" t="s">
        <v>3297</v>
      </c>
    </row>
    <row r="22" spans="1:45">
      <c r="A22" s="2938" t="s">
        <v>3134</v>
      </c>
      <c r="B22" s="2938" t="s">
        <v>3065</v>
      </c>
      <c r="C22" s="2938" t="s">
        <v>3066</v>
      </c>
      <c r="D22" s="2938" t="s">
        <v>2991</v>
      </c>
      <c r="E22" s="2938" t="s">
        <v>2780</v>
      </c>
      <c r="F22" s="2938" t="s">
        <v>3134</v>
      </c>
      <c r="G22" s="2938" t="s">
        <v>3067</v>
      </c>
      <c r="H22" s="2938" t="s">
        <v>3135</v>
      </c>
      <c r="I22" s="2938" t="s">
        <v>3069</v>
      </c>
      <c r="J22" s="2938">
        <v>44892</v>
      </c>
      <c r="K22" s="2938">
        <v>80805.600000000006</v>
      </c>
      <c r="L22" s="2938" t="s">
        <v>3136</v>
      </c>
      <c r="M22" s="2938" t="s">
        <v>2780</v>
      </c>
      <c r="N22" s="2938" t="s">
        <v>3121</v>
      </c>
      <c r="O22" s="2938" t="s">
        <v>2780</v>
      </c>
      <c r="P22" s="2938" t="s">
        <v>2780</v>
      </c>
      <c r="Q22" s="2938" t="s">
        <v>2780</v>
      </c>
      <c r="R22" s="2938" t="s">
        <v>2780</v>
      </c>
      <c r="S22" s="2938" t="s">
        <v>2780</v>
      </c>
      <c r="T22" s="2938" t="s">
        <v>2780</v>
      </c>
      <c r="U22" s="2938" t="s">
        <v>2780</v>
      </c>
      <c r="V22" s="2938" t="s">
        <v>2780</v>
      </c>
      <c r="W22" s="2938" t="s">
        <v>3122</v>
      </c>
      <c r="X22" s="2938" t="s">
        <v>3123</v>
      </c>
      <c r="Y22" s="2938" t="s">
        <v>3124</v>
      </c>
      <c r="Z22" s="2938" t="s">
        <v>3125</v>
      </c>
      <c r="AA22" s="2938" t="s">
        <v>3125</v>
      </c>
      <c r="AB22" s="2938" t="s">
        <v>3126</v>
      </c>
      <c r="AC22" s="2938" t="s">
        <v>3077</v>
      </c>
      <c r="AD22" s="2938" t="s">
        <v>3127</v>
      </c>
      <c r="AE22" s="2938">
        <v>1617</v>
      </c>
      <c r="AF22" s="2938">
        <v>5390</v>
      </c>
      <c r="AG22" s="2938">
        <v>5390</v>
      </c>
      <c r="AH22" s="2938">
        <v>80.040000000000006</v>
      </c>
      <c r="AI22" s="2938">
        <v>80.040000000000006</v>
      </c>
      <c r="AJ22" s="2938">
        <v>667.03</v>
      </c>
      <c r="AK22" s="2938">
        <v>667.02</v>
      </c>
      <c r="AL22" s="2938" t="s">
        <v>2780</v>
      </c>
      <c r="AM22" s="2938" t="s">
        <v>2780</v>
      </c>
      <c r="AN22" s="2938">
        <v>0</v>
      </c>
      <c r="AO22" s="2938" t="s">
        <v>3079</v>
      </c>
      <c r="AP22" s="2938" t="s">
        <v>2780</v>
      </c>
      <c r="AQ22" s="2938" t="s">
        <v>2780</v>
      </c>
      <c r="AR22" s="2938" t="s">
        <v>2780</v>
      </c>
      <c r="AS22" s="2938" t="s">
        <v>3297</v>
      </c>
    </row>
    <row r="23" spans="1:45">
      <c r="A23" s="2938" t="s">
        <v>3137</v>
      </c>
      <c r="B23" s="2938" t="s">
        <v>3065</v>
      </c>
      <c r="C23" s="2938" t="s">
        <v>3066</v>
      </c>
      <c r="D23" s="2938" t="s">
        <v>2991</v>
      </c>
      <c r="E23" s="2938" t="s">
        <v>2780</v>
      </c>
      <c r="F23" s="2938" t="s">
        <v>3137</v>
      </c>
      <c r="G23" s="2938" t="s">
        <v>3067</v>
      </c>
      <c r="H23" s="2938" t="s">
        <v>3138</v>
      </c>
      <c r="I23" s="2938" t="s">
        <v>3069</v>
      </c>
      <c r="J23" s="2938">
        <v>9505</v>
      </c>
      <c r="K23" s="2938">
        <v>23762.5</v>
      </c>
      <c r="L23" s="2938" t="s">
        <v>3120</v>
      </c>
      <c r="M23" s="2938" t="s">
        <v>2780</v>
      </c>
      <c r="N23" s="2938" t="s">
        <v>3121</v>
      </c>
      <c r="O23" s="2938" t="s">
        <v>2780</v>
      </c>
      <c r="P23" s="2938" t="s">
        <v>2780</v>
      </c>
      <c r="Q23" s="2938" t="s">
        <v>2780</v>
      </c>
      <c r="R23" s="2938" t="s">
        <v>2780</v>
      </c>
      <c r="S23" s="2938" t="s">
        <v>2780</v>
      </c>
      <c r="T23" s="2938" t="s">
        <v>2780</v>
      </c>
      <c r="U23" s="2938" t="s">
        <v>2780</v>
      </c>
      <c r="V23" s="2938" t="s">
        <v>2780</v>
      </c>
      <c r="W23" s="2938" t="s">
        <v>3122</v>
      </c>
      <c r="X23" s="2938" t="s">
        <v>3123</v>
      </c>
      <c r="Y23" s="2938" t="s">
        <v>3124</v>
      </c>
      <c r="Z23" s="2938" t="s">
        <v>3125</v>
      </c>
      <c r="AA23" s="2938" t="s">
        <v>3125</v>
      </c>
      <c r="AB23" s="2938" t="s">
        <v>3126</v>
      </c>
      <c r="AC23" s="2938" t="s">
        <v>3077</v>
      </c>
      <c r="AD23" s="2938" t="s">
        <v>3139</v>
      </c>
      <c r="AE23" s="2938">
        <v>642</v>
      </c>
      <c r="AF23" s="2938">
        <v>2140</v>
      </c>
      <c r="AG23" s="2938">
        <v>2140</v>
      </c>
      <c r="AH23" s="2938">
        <v>150.1</v>
      </c>
      <c r="AI23" s="2938">
        <v>150.1</v>
      </c>
      <c r="AJ23" s="2938">
        <v>900.57</v>
      </c>
      <c r="AK23" s="2938">
        <v>900.58</v>
      </c>
      <c r="AL23" s="2938" t="s">
        <v>2780</v>
      </c>
      <c r="AM23" s="2938" t="s">
        <v>2780</v>
      </c>
      <c r="AN23" s="2938">
        <v>0</v>
      </c>
      <c r="AO23" s="2938" t="s">
        <v>3079</v>
      </c>
      <c r="AP23" s="2938" t="s">
        <v>2780</v>
      </c>
      <c r="AQ23" s="2938" t="s">
        <v>2780</v>
      </c>
      <c r="AR23" s="2938" t="s">
        <v>2780</v>
      </c>
      <c r="AS23" s="2938" t="s">
        <v>3278</v>
      </c>
    </row>
    <row r="24" spans="1:45">
      <c r="A24" s="2938" t="s">
        <v>2993</v>
      </c>
      <c r="B24" s="2938" t="s">
        <v>3065</v>
      </c>
      <c r="C24" s="2938" t="s">
        <v>3066</v>
      </c>
      <c r="D24" s="2938" t="s">
        <v>2991</v>
      </c>
      <c r="E24" s="2938" t="s">
        <v>2780</v>
      </c>
      <c r="F24" s="2938" t="s">
        <v>2993</v>
      </c>
      <c r="G24" s="2938" t="s">
        <v>3067</v>
      </c>
      <c r="H24" s="2938" t="s">
        <v>3140</v>
      </c>
      <c r="I24" s="2938" t="s">
        <v>3069</v>
      </c>
      <c r="J24" s="2938">
        <v>29970</v>
      </c>
      <c r="K24" s="2938">
        <v>89910</v>
      </c>
      <c r="L24" s="2938" t="s">
        <v>3141</v>
      </c>
      <c r="M24" s="2938" t="s">
        <v>2780</v>
      </c>
      <c r="N24" s="2938" t="s">
        <v>3142</v>
      </c>
      <c r="O24" s="2938" t="s">
        <v>2780</v>
      </c>
      <c r="P24" s="2938" t="s">
        <v>2780</v>
      </c>
      <c r="Q24" s="2938" t="s">
        <v>2780</v>
      </c>
      <c r="R24" s="2938" t="s">
        <v>2780</v>
      </c>
      <c r="S24" s="2938" t="s">
        <v>2780</v>
      </c>
      <c r="T24" s="2938" t="s">
        <v>2780</v>
      </c>
      <c r="U24" s="2938" t="s">
        <v>2780</v>
      </c>
      <c r="V24" s="2938" t="s">
        <v>2780</v>
      </c>
      <c r="W24" s="2938" t="s">
        <v>3122</v>
      </c>
      <c r="X24" s="2938" t="s">
        <v>3123</v>
      </c>
      <c r="Y24" s="2938" t="s">
        <v>3124</v>
      </c>
      <c r="Z24" s="2938" t="s">
        <v>3125</v>
      </c>
      <c r="AA24" s="2938" t="s">
        <v>3125</v>
      </c>
      <c r="AB24" s="2938" t="s">
        <v>3126</v>
      </c>
      <c r="AC24" s="2938" t="s">
        <v>3077</v>
      </c>
      <c r="AD24" s="2938" t="s">
        <v>3127</v>
      </c>
      <c r="AE24" s="2938">
        <v>3372</v>
      </c>
      <c r="AF24" s="2938">
        <v>11240</v>
      </c>
      <c r="AG24" s="2938">
        <v>11240</v>
      </c>
      <c r="AH24" s="2938">
        <v>250.03</v>
      </c>
      <c r="AI24" s="2938">
        <v>250.03</v>
      </c>
      <c r="AJ24" s="2938">
        <v>1250.1300000000001</v>
      </c>
      <c r="AK24" s="2938">
        <v>1250.1400000000001</v>
      </c>
      <c r="AL24" s="2938" t="s">
        <v>2780</v>
      </c>
      <c r="AM24" s="2938" t="s">
        <v>2780</v>
      </c>
      <c r="AN24" s="2938">
        <v>0</v>
      </c>
      <c r="AO24" s="2938" t="s">
        <v>3079</v>
      </c>
      <c r="AP24" s="2938" t="s">
        <v>2780</v>
      </c>
      <c r="AQ24" s="2938" t="s">
        <v>2780</v>
      </c>
      <c r="AR24" s="2938" t="s">
        <v>2780</v>
      </c>
      <c r="AS24" s="2938" t="s">
        <v>3278</v>
      </c>
    </row>
    <row r="25" spans="1:45">
      <c r="A25" s="2938" t="s">
        <v>3143</v>
      </c>
      <c r="B25" s="2938" t="s">
        <v>3065</v>
      </c>
      <c r="C25" s="2938" t="s">
        <v>3066</v>
      </c>
      <c r="D25" s="2938" t="s">
        <v>2991</v>
      </c>
      <c r="E25" s="2938" t="s">
        <v>2780</v>
      </c>
      <c r="F25" s="2938" t="s">
        <v>3143</v>
      </c>
      <c r="G25" s="2938" t="s">
        <v>3067</v>
      </c>
      <c r="H25" s="2938" t="s">
        <v>3144</v>
      </c>
      <c r="I25" s="2938" t="s">
        <v>3069</v>
      </c>
      <c r="J25" s="2938">
        <v>2904</v>
      </c>
      <c r="K25" s="2938">
        <v>7260</v>
      </c>
      <c r="L25" s="2938" t="s">
        <v>3120</v>
      </c>
      <c r="M25" s="2938" t="s">
        <v>2780</v>
      </c>
      <c r="N25" s="2938" t="s">
        <v>3121</v>
      </c>
      <c r="O25" s="2938" t="s">
        <v>2780</v>
      </c>
      <c r="P25" s="2938" t="s">
        <v>2780</v>
      </c>
      <c r="Q25" s="2938" t="s">
        <v>2780</v>
      </c>
      <c r="R25" s="2938" t="s">
        <v>2780</v>
      </c>
      <c r="S25" s="2938" t="s">
        <v>2780</v>
      </c>
      <c r="T25" s="2938" t="s">
        <v>2780</v>
      </c>
      <c r="U25" s="2938" t="s">
        <v>2780</v>
      </c>
      <c r="V25" s="2938" t="s">
        <v>2780</v>
      </c>
      <c r="W25" s="2938" t="s">
        <v>3122</v>
      </c>
      <c r="X25" s="2938" t="s">
        <v>3123</v>
      </c>
      <c r="Y25" s="2938" t="s">
        <v>3124</v>
      </c>
      <c r="Z25" s="2938" t="s">
        <v>3125</v>
      </c>
      <c r="AA25" s="2938" t="s">
        <v>3125</v>
      </c>
      <c r="AB25" s="2938" t="s">
        <v>3126</v>
      </c>
      <c r="AC25" s="2938" t="s">
        <v>3077</v>
      </c>
      <c r="AD25" s="2938" t="s">
        <v>3127</v>
      </c>
      <c r="AE25" s="2938">
        <v>459</v>
      </c>
      <c r="AF25" s="2938">
        <v>1530</v>
      </c>
      <c r="AG25" s="2938">
        <v>1530</v>
      </c>
      <c r="AH25" s="2938">
        <v>351.24</v>
      </c>
      <c r="AI25" s="2938">
        <v>351.24</v>
      </c>
      <c r="AJ25" s="2938">
        <v>2107.4299999999998</v>
      </c>
      <c r="AK25" s="2938">
        <v>2107.44</v>
      </c>
      <c r="AL25" s="2938" t="s">
        <v>2780</v>
      </c>
      <c r="AM25" s="2938" t="s">
        <v>2780</v>
      </c>
      <c r="AN25" s="2938">
        <v>0</v>
      </c>
      <c r="AO25" s="2938" t="s">
        <v>3079</v>
      </c>
      <c r="AP25" s="2938" t="s">
        <v>2780</v>
      </c>
      <c r="AQ25" s="2938" t="s">
        <v>2780</v>
      </c>
      <c r="AR25" s="2938" t="s">
        <v>2780</v>
      </c>
      <c r="AS25" s="2938" t="s">
        <v>3278</v>
      </c>
    </row>
    <row r="26" spans="1:45">
      <c r="A26" s="2938" t="s">
        <v>3145</v>
      </c>
      <c r="B26" s="2938" t="s">
        <v>3065</v>
      </c>
      <c r="C26" s="2938" t="s">
        <v>3066</v>
      </c>
      <c r="D26" s="2938" t="s">
        <v>2991</v>
      </c>
      <c r="E26" s="2938" t="s">
        <v>2780</v>
      </c>
      <c r="F26" s="2938" t="s">
        <v>3145</v>
      </c>
      <c r="G26" s="2938" t="s">
        <v>3067</v>
      </c>
      <c r="H26" s="2938" t="s">
        <v>3146</v>
      </c>
      <c r="I26" s="2938" t="s">
        <v>3066</v>
      </c>
      <c r="J26" s="2938">
        <v>58092</v>
      </c>
      <c r="K26" s="2938">
        <v>127802.4</v>
      </c>
      <c r="L26" s="2938" t="s">
        <v>3147</v>
      </c>
      <c r="M26" s="2938" t="s">
        <v>2780</v>
      </c>
      <c r="N26" s="2938" t="s">
        <v>3148</v>
      </c>
      <c r="O26" s="2938" t="s">
        <v>2780</v>
      </c>
      <c r="P26" s="2938" t="s">
        <v>2780</v>
      </c>
      <c r="Q26" s="2938" t="s">
        <v>2780</v>
      </c>
      <c r="R26" s="2938" t="s">
        <v>2780</v>
      </c>
      <c r="S26" s="2938" t="s">
        <v>2780</v>
      </c>
      <c r="T26" s="2938" t="s">
        <v>2780</v>
      </c>
      <c r="U26" s="2938" t="s">
        <v>2780</v>
      </c>
      <c r="V26" s="2938" t="s">
        <v>2780</v>
      </c>
      <c r="W26" s="2938" t="s">
        <v>3122</v>
      </c>
      <c r="X26" s="2938" t="s">
        <v>3149</v>
      </c>
      <c r="Y26" s="2938" t="s">
        <v>3150</v>
      </c>
      <c r="Z26" s="2938" t="s">
        <v>3151</v>
      </c>
      <c r="AA26" s="2938" t="s">
        <v>3151</v>
      </c>
      <c r="AB26" s="2938" t="s">
        <v>3152</v>
      </c>
      <c r="AC26" s="2938" t="s">
        <v>3077</v>
      </c>
      <c r="AD26" s="2938" t="s">
        <v>3084</v>
      </c>
      <c r="AE26" s="2938">
        <v>9150</v>
      </c>
      <c r="AF26" s="2938">
        <v>30500</v>
      </c>
      <c r="AG26" s="2938">
        <v>31300</v>
      </c>
      <c r="AH26" s="2938">
        <v>350.02</v>
      </c>
      <c r="AI26" s="2938">
        <v>359.2</v>
      </c>
      <c r="AJ26" s="2938">
        <v>2386.4899999999998</v>
      </c>
      <c r="AK26" s="2938">
        <v>2449.09</v>
      </c>
      <c r="AL26" s="2938" t="s">
        <v>2780</v>
      </c>
      <c r="AM26" s="2938" t="s">
        <v>2780</v>
      </c>
      <c r="AN26" s="2938">
        <v>2.62</v>
      </c>
      <c r="AO26" s="2938">
        <v>70</v>
      </c>
      <c r="AP26" s="2938" t="s">
        <v>2780</v>
      </c>
      <c r="AQ26" s="2938" t="s">
        <v>2780</v>
      </c>
      <c r="AR26" s="2938" t="s">
        <v>2780</v>
      </c>
      <c r="AS26" s="2938" t="s">
        <v>3315</v>
      </c>
    </row>
    <row r="27" spans="1:45">
      <c r="A27" s="2938" t="s">
        <v>3153</v>
      </c>
      <c r="B27" s="2938" t="s">
        <v>3065</v>
      </c>
      <c r="C27" s="2938" t="s">
        <v>3066</v>
      </c>
      <c r="D27" s="2938" t="s">
        <v>2991</v>
      </c>
      <c r="E27" s="2938" t="s">
        <v>2780</v>
      </c>
      <c r="F27" s="2938" t="s">
        <v>3153</v>
      </c>
      <c r="G27" s="2938" t="s">
        <v>3067</v>
      </c>
      <c r="H27" s="2938" t="s">
        <v>3154</v>
      </c>
      <c r="I27" s="2938" t="s">
        <v>3066</v>
      </c>
      <c r="J27" s="2938">
        <v>10590</v>
      </c>
      <c r="K27" s="2938">
        <v>37065</v>
      </c>
      <c r="L27" s="2938" t="s">
        <v>3155</v>
      </c>
      <c r="M27" s="2938" t="s">
        <v>2780</v>
      </c>
      <c r="N27" s="2938" t="s">
        <v>3148</v>
      </c>
      <c r="O27" s="2938" t="s">
        <v>2780</v>
      </c>
      <c r="P27" s="2938" t="s">
        <v>2780</v>
      </c>
      <c r="Q27" s="2938" t="s">
        <v>2780</v>
      </c>
      <c r="R27" s="2938" t="s">
        <v>2780</v>
      </c>
      <c r="S27" s="2938" t="s">
        <v>2780</v>
      </c>
      <c r="T27" s="2938" t="s">
        <v>2780</v>
      </c>
      <c r="U27" s="2938" t="s">
        <v>2780</v>
      </c>
      <c r="V27" s="2938" t="s">
        <v>2780</v>
      </c>
      <c r="W27" s="2938" t="s">
        <v>3122</v>
      </c>
      <c r="X27" s="2938" t="s">
        <v>3149</v>
      </c>
      <c r="Y27" s="2938" t="s">
        <v>3150</v>
      </c>
      <c r="Z27" s="2938" t="s">
        <v>3151</v>
      </c>
      <c r="AA27" s="2938" t="s">
        <v>3151</v>
      </c>
      <c r="AB27" s="2938" t="s">
        <v>3152</v>
      </c>
      <c r="AC27" s="2938" t="s">
        <v>3077</v>
      </c>
      <c r="AD27" s="2938" t="s">
        <v>3156</v>
      </c>
      <c r="AE27" s="2938">
        <v>1431</v>
      </c>
      <c r="AF27" s="2938">
        <v>4770</v>
      </c>
      <c r="AG27" s="2938">
        <v>6070</v>
      </c>
      <c r="AH27" s="2938">
        <v>300.27999999999997</v>
      </c>
      <c r="AI27" s="2938">
        <v>382.12</v>
      </c>
      <c r="AJ27" s="2938">
        <v>1286.92</v>
      </c>
      <c r="AK27" s="2938">
        <v>1637.66</v>
      </c>
      <c r="AL27" s="2938" t="s">
        <v>2780</v>
      </c>
      <c r="AM27" s="2938" t="s">
        <v>2780</v>
      </c>
      <c r="AN27" s="2938">
        <v>27.25</v>
      </c>
      <c r="AO27" s="2938">
        <v>70</v>
      </c>
      <c r="AP27" s="2938" t="s">
        <v>2780</v>
      </c>
      <c r="AQ27" s="2938" t="s">
        <v>2780</v>
      </c>
      <c r="AR27" s="2938" t="s">
        <v>2780</v>
      </c>
      <c r="AS27" s="2938" t="s">
        <v>3278</v>
      </c>
    </row>
    <row r="28" spans="1:45">
      <c r="A28" s="2938" t="s">
        <v>3145</v>
      </c>
      <c r="B28" s="2938" t="s">
        <v>3065</v>
      </c>
      <c r="C28" s="2938" t="s">
        <v>3066</v>
      </c>
      <c r="D28" s="2938" t="s">
        <v>2991</v>
      </c>
      <c r="E28" s="2938" t="s">
        <v>2780</v>
      </c>
      <c r="F28" s="2938" t="s">
        <v>3145</v>
      </c>
      <c r="G28" s="2938" t="s">
        <v>3067</v>
      </c>
      <c r="H28" s="2938" t="s">
        <v>3157</v>
      </c>
      <c r="I28" s="2938" t="s">
        <v>3066</v>
      </c>
      <c r="J28" s="2938">
        <v>69062</v>
      </c>
      <c r="K28" s="2938">
        <v>151936.4</v>
      </c>
      <c r="L28" s="2938" t="s">
        <v>3147</v>
      </c>
      <c r="M28" s="2938" t="s">
        <v>2780</v>
      </c>
      <c r="N28" s="2938" t="s">
        <v>3148</v>
      </c>
      <c r="O28" s="2938" t="s">
        <v>2780</v>
      </c>
      <c r="P28" s="2938" t="s">
        <v>2780</v>
      </c>
      <c r="Q28" s="2938" t="s">
        <v>2780</v>
      </c>
      <c r="R28" s="2938" t="s">
        <v>2780</v>
      </c>
      <c r="S28" s="2938" t="s">
        <v>2780</v>
      </c>
      <c r="T28" s="2938" t="s">
        <v>2780</v>
      </c>
      <c r="U28" s="2938" t="s">
        <v>2780</v>
      </c>
      <c r="V28" s="2938" t="s">
        <v>2780</v>
      </c>
      <c r="W28" s="2938" t="s">
        <v>3122</v>
      </c>
      <c r="X28" s="2938" t="s">
        <v>3149</v>
      </c>
      <c r="Y28" s="2938" t="s">
        <v>3150</v>
      </c>
      <c r="Z28" s="2938" t="s">
        <v>3151</v>
      </c>
      <c r="AA28" s="2938" t="s">
        <v>3151</v>
      </c>
      <c r="AB28" s="2938" t="s">
        <v>3152</v>
      </c>
      <c r="AC28" s="2938" t="s">
        <v>3077</v>
      </c>
      <c r="AD28" s="2938" t="s">
        <v>3158</v>
      </c>
      <c r="AE28" s="2938">
        <v>10878</v>
      </c>
      <c r="AF28" s="2938">
        <v>36260</v>
      </c>
      <c r="AG28" s="2938">
        <v>36860</v>
      </c>
      <c r="AH28" s="2938">
        <v>350.02</v>
      </c>
      <c r="AI28" s="2938">
        <v>355.82</v>
      </c>
      <c r="AJ28" s="2938">
        <v>2386.52</v>
      </c>
      <c r="AK28" s="2938">
        <v>2426.0100000000002</v>
      </c>
      <c r="AL28" s="2938" t="s">
        <v>2780</v>
      </c>
      <c r="AM28" s="2938" t="s">
        <v>2780</v>
      </c>
      <c r="AN28" s="2938">
        <v>1.65</v>
      </c>
      <c r="AO28" s="2938">
        <v>70</v>
      </c>
      <c r="AP28" s="2938" t="s">
        <v>2780</v>
      </c>
      <c r="AQ28" s="2938" t="s">
        <v>2780</v>
      </c>
      <c r="AR28" s="2938" t="s">
        <v>2780</v>
      </c>
      <c r="AS28" s="2938" t="s">
        <v>3315</v>
      </c>
    </row>
    <row r="29" spans="1:45">
      <c r="A29" s="2938" t="s">
        <v>3159</v>
      </c>
      <c r="B29" s="2938" t="s">
        <v>3065</v>
      </c>
      <c r="C29" s="2938" t="s">
        <v>3066</v>
      </c>
      <c r="D29" s="2938" t="s">
        <v>2991</v>
      </c>
      <c r="E29" s="2938" t="s">
        <v>2780</v>
      </c>
      <c r="F29" s="2938" t="s">
        <v>3159</v>
      </c>
      <c r="G29" s="2938" t="s">
        <v>3067</v>
      </c>
      <c r="H29" s="2938" t="s">
        <v>3160</v>
      </c>
      <c r="I29" s="2938" t="s">
        <v>3066</v>
      </c>
      <c r="J29" s="2938">
        <v>88498</v>
      </c>
      <c r="K29" s="2938">
        <v>221245</v>
      </c>
      <c r="L29" s="2938" t="s">
        <v>3161</v>
      </c>
      <c r="M29" s="2938" t="s">
        <v>2780</v>
      </c>
      <c r="N29" s="2938" t="s">
        <v>3148</v>
      </c>
      <c r="O29" s="2938" t="s">
        <v>2780</v>
      </c>
      <c r="P29" s="2938" t="s">
        <v>2780</v>
      </c>
      <c r="Q29" s="2938" t="s">
        <v>2780</v>
      </c>
      <c r="R29" s="2938" t="s">
        <v>2780</v>
      </c>
      <c r="S29" s="2938" t="s">
        <v>2780</v>
      </c>
      <c r="T29" s="2938" t="s">
        <v>2780</v>
      </c>
      <c r="U29" s="2938" t="s">
        <v>2780</v>
      </c>
      <c r="V29" s="2938" t="s">
        <v>2780</v>
      </c>
      <c r="W29" s="2938" t="s">
        <v>3122</v>
      </c>
      <c r="X29" s="2938" t="s">
        <v>3149</v>
      </c>
      <c r="Y29" s="2938" t="s">
        <v>3150</v>
      </c>
      <c r="Z29" s="2938" t="s">
        <v>3151</v>
      </c>
      <c r="AA29" s="2938" t="s">
        <v>3151</v>
      </c>
      <c r="AB29" s="2938" t="s">
        <v>3152</v>
      </c>
      <c r="AC29" s="2938" t="s">
        <v>3077</v>
      </c>
      <c r="AD29" s="2938" t="s">
        <v>3162</v>
      </c>
      <c r="AE29" s="2938">
        <v>15930</v>
      </c>
      <c r="AF29" s="2938">
        <v>53100</v>
      </c>
      <c r="AG29" s="2938">
        <v>54700</v>
      </c>
      <c r="AH29" s="2938">
        <v>400.01</v>
      </c>
      <c r="AI29" s="2938">
        <v>412.06</v>
      </c>
      <c r="AJ29" s="2938">
        <v>2400.0500000000002</v>
      </c>
      <c r="AK29" s="2938">
        <v>2472.36</v>
      </c>
      <c r="AL29" s="2938" t="s">
        <v>2780</v>
      </c>
      <c r="AM29" s="2938" t="s">
        <v>2780</v>
      </c>
      <c r="AN29" s="2938">
        <v>3.01</v>
      </c>
      <c r="AO29" s="2938">
        <v>70</v>
      </c>
      <c r="AP29" s="2938" t="s">
        <v>2780</v>
      </c>
      <c r="AQ29" s="2938" t="s">
        <v>2780</v>
      </c>
      <c r="AR29" s="2938" t="s">
        <v>2780</v>
      </c>
      <c r="AS29" s="2938" t="s">
        <v>3278</v>
      </c>
    </row>
    <row r="30" spans="1:45">
      <c r="A30" s="2938" t="s">
        <v>3163</v>
      </c>
      <c r="B30" s="2938" t="s">
        <v>3065</v>
      </c>
      <c r="C30" s="2938" t="s">
        <v>3066</v>
      </c>
      <c r="D30" s="2938" t="s">
        <v>2991</v>
      </c>
      <c r="E30" s="2938" t="s">
        <v>2780</v>
      </c>
      <c r="F30" s="2938" t="s">
        <v>3163</v>
      </c>
      <c r="G30" s="2938" t="s">
        <v>3067</v>
      </c>
      <c r="H30" s="2938" t="s">
        <v>3164</v>
      </c>
      <c r="I30" s="2938" t="s">
        <v>3069</v>
      </c>
      <c r="J30" s="2938">
        <v>37399</v>
      </c>
      <c r="K30" s="2938">
        <v>93497.5</v>
      </c>
      <c r="L30" s="2938" t="s">
        <v>3120</v>
      </c>
      <c r="M30" s="2938" t="s">
        <v>2780</v>
      </c>
      <c r="N30" s="2938" t="s">
        <v>3121</v>
      </c>
      <c r="O30" s="2938" t="s">
        <v>2780</v>
      </c>
      <c r="P30" s="2938" t="s">
        <v>2780</v>
      </c>
      <c r="Q30" s="2938" t="s">
        <v>2780</v>
      </c>
      <c r="R30" s="2938" t="s">
        <v>2780</v>
      </c>
      <c r="S30" s="2938" t="s">
        <v>2780</v>
      </c>
      <c r="T30" s="2938" t="s">
        <v>2780</v>
      </c>
      <c r="U30" s="2938" t="s">
        <v>2780</v>
      </c>
      <c r="V30" s="2938" t="s">
        <v>2780</v>
      </c>
      <c r="W30" s="2938" t="s">
        <v>3122</v>
      </c>
      <c r="X30" s="2938" t="s">
        <v>3165</v>
      </c>
      <c r="Y30" s="2938" t="s">
        <v>3166</v>
      </c>
      <c r="Z30" s="2938" t="s">
        <v>3167</v>
      </c>
      <c r="AA30" s="2938" t="s">
        <v>3167</v>
      </c>
      <c r="AB30" s="2938" t="s">
        <v>3168</v>
      </c>
      <c r="AC30" s="2938" t="s">
        <v>3077</v>
      </c>
      <c r="AD30" s="2938" t="s">
        <v>3169</v>
      </c>
      <c r="AE30" s="2938">
        <v>4041</v>
      </c>
      <c r="AF30" s="2938">
        <v>13470</v>
      </c>
      <c r="AG30" s="2938">
        <v>33770</v>
      </c>
      <c r="AH30" s="2938">
        <v>240.11</v>
      </c>
      <c r="AI30" s="2938">
        <v>601.98</v>
      </c>
      <c r="AJ30" s="2938">
        <v>1440.68</v>
      </c>
      <c r="AK30" s="2938">
        <v>3611.86</v>
      </c>
      <c r="AL30" s="2938" t="s">
        <v>2780</v>
      </c>
      <c r="AM30" s="2938" t="s">
        <v>2780</v>
      </c>
      <c r="AN30" s="2938">
        <v>150.71</v>
      </c>
      <c r="AO30" s="2938" t="s">
        <v>3079</v>
      </c>
      <c r="AP30" s="2938" t="s">
        <v>2780</v>
      </c>
      <c r="AQ30" s="2938" t="s">
        <v>2780</v>
      </c>
      <c r="AR30" s="2938" t="s">
        <v>2780</v>
      </c>
      <c r="AS30" s="2938" t="s">
        <v>3278</v>
      </c>
    </row>
    <row r="31" spans="1:45">
      <c r="A31" s="2938" t="s">
        <v>3170</v>
      </c>
      <c r="B31" s="2938" t="s">
        <v>3065</v>
      </c>
      <c r="C31" s="2938" t="s">
        <v>3066</v>
      </c>
      <c r="D31" s="2938" t="s">
        <v>2991</v>
      </c>
      <c r="E31" s="2938" t="s">
        <v>2780</v>
      </c>
      <c r="F31" s="2938" t="s">
        <v>3170</v>
      </c>
      <c r="G31" s="2938" t="s">
        <v>3067</v>
      </c>
      <c r="H31" s="2938" t="s">
        <v>3171</v>
      </c>
      <c r="I31" s="2938" t="s">
        <v>3069</v>
      </c>
      <c r="J31" s="2938">
        <v>33491</v>
      </c>
      <c r="K31" s="2938">
        <v>83727.5</v>
      </c>
      <c r="L31" s="2938" t="s">
        <v>3120</v>
      </c>
      <c r="M31" s="2938" t="s">
        <v>2780</v>
      </c>
      <c r="N31" s="2938" t="s">
        <v>3121</v>
      </c>
      <c r="O31" s="2938" t="s">
        <v>2780</v>
      </c>
      <c r="P31" s="2938" t="s">
        <v>2780</v>
      </c>
      <c r="Q31" s="2938" t="s">
        <v>2780</v>
      </c>
      <c r="R31" s="2938" t="s">
        <v>2780</v>
      </c>
      <c r="S31" s="2938" t="s">
        <v>2780</v>
      </c>
      <c r="T31" s="2938" t="s">
        <v>2780</v>
      </c>
      <c r="U31" s="2938" t="s">
        <v>2780</v>
      </c>
      <c r="V31" s="2938" t="s">
        <v>2780</v>
      </c>
      <c r="W31" s="2938" t="s">
        <v>3122</v>
      </c>
      <c r="X31" s="2938" t="s">
        <v>3165</v>
      </c>
      <c r="Y31" s="2938" t="s">
        <v>3166</v>
      </c>
      <c r="Z31" s="2938" t="s">
        <v>3167</v>
      </c>
      <c r="AA31" s="2938" t="s">
        <v>3167</v>
      </c>
      <c r="AB31" s="2938" t="s">
        <v>3172</v>
      </c>
      <c r="AC31" s="2938" t="s">
        <v>3077</v>
      </c>
      <c r="AD31" s="2938" t="s">
        <v>3169</v>
      </c>
      <c r="AE31" s="2938">
        <v>3618</v>
      </c>
      <c r="AF31" s="2938">
        <v>12060</v>
      </c>
      <c r="AG31" s="2938">
        <v>42960</v>
      </c>
      <c r="AH31" s="2938">
        <v>240.06</v>
      </c>
      <c r="AI31" s="2938">
        <v>855.16</v>
      </c>
      <c r="AJ31" s="2938">
        <v>1440.38</v>
      </c>
      <c r="AK31" s="2938">
        <v>5130.93</v>
      </c>
      <c r="AL31" s="2938" t="s">
        <v>2780</v>
      </c>
      <c r="AM31" s="2938" t="s">
        <v>2780</v>
      </c>
      <c r="AN31" s="2938">
        <v>256.22000000000003</v>
      </c>
      <c r="AO31" s="2938" t="s">
        <v>3079</v>
      </c>
      <c r="AP31" s="2938" t="s">
        <v>2780</v>
      </c>
      <c r="AQ31" s="2938" t="s">
        <v>2780</v>
      </c>
      <c r="AR31" s="2938" t="s">
        <v>2780</v>
      </c>
      <c r="AS31" s="2938" t="s">
        <v>3278</v>
      </c>
    </row>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7" t="s">
        <v>2000</v>
      </c>
      <c r="B1" s="3237"/>
      <c r="C1" s="3237"/>
      <c r="D1" s="3237"/>
      <c r="E1" s="3237"/>
      <c r="F1" s="3237"/>
      <c r="G1" s="3237"/>
      <c r="H1" s="3237"/>
      <c r="I1" s="3237"/>
      <c r="J1" s="3237"/>
      <c r="K1" s="3237"/>
      <c r="L1" s="3237"/>
      <c r="M1" s="3237"/>
      <c r="N1" s="3237"/>
      <c r="O1" s="3237"/>
      <c r="P1" s="3237"/>
      <c r="Q1" s="3237"/>
      <c r="R1" s="3237"/>
    </row>
    <row r="2" spans="1:18">
      <c r="A2" s="1806" t="s">
        <v>2002</v>
      </c>
      <c r="B2" s="1806"/>
      <c r="C2" s="1806"/>
      <c r="D2" s="1806"/>
      <c r="E2" s="1806"/>
      <c r="F2" s="1806"/>
      <c r="G2" s="1806"/>
      <c r="H2" s="1806"/>
      <c r="I2" s="1807"/>
      <c r="J2" s="1807"/>
      <c r="K2" s="1808" t="str">
        <f>"估价期日："&amp;TEXT(项目基本情况!D3,"yyyy年m月d日;;")</f>
        <v>估价期日：2019年9月10日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8" t="s">
        <v>1991</v>
      </c>
      <c r="B3" s="3238" t="s">
        <v>2693</v>
      </c>
      <c r="C3" s="3239" t="s">
        <v>1992</v>
      </c>
      <c r="D3" s="3238" t="s">
        <v>2697</v>
      </c>
      <c r="E3" s="3241" t="s">
        <v>1993</v>
      </c>
      <c r="F3" s="3241"/>
      <c r="G3" s="3241"/>
      <c r="H3" s="3241" t="s">
        <v>1994</v>
      </c>
      <c r="I3" s="3241"/>
      <c r="J3" s="3241"/>
      <c r="K3" s="3239" t="s">
        <v>1995</v>
      </c>
      <c r="L3" s="3239" t="s">
        <v>1996</v>
      </c>
      <c r="M3" s="3238" t="s">
        <v>2694</v>
      </c>
      <c r="N3" s="3240" t="str">
        <f>"（分摊）"&amp;项目基本情况!B16&amp;"国有建设用地使用权面积/㎡"</f>
        <v>（分摊）出让国有建设用地使用权面积/㎡</v>
      </c>
      <c r="O3" s="3238" t="s">
        <v>2025</v>
      </c>
      <c r="P3" s="3239" t="s">
        <v>2005</v>
      </c>
      <c r="Q3" s="3239" t="s">
        <v>2026</v>
      </c>
      <c r="R3" s="3239" t="s">
        <v>1997</v>
      </c>
    </row>
    <row r="4" spans="1:18" ht="36.75" customHeight="1">
      <c r="A4" s="3238"/>
      <c r="B4" s="3238"/>
      <c r="C4" s="3239"/>
      <c r="D4" s="3238"/>
      <c r="E4" s="2648" t="s">
        <v>2004</v>
      </c>
      <c r="F4" s="2648" t="s">
        <v>2706</v>
      </c>
      <c r="G4" s="2648" t="s">
        <v>1998</v>
      </c>
      <c r="H4" s="2648" t="s">
        <v>1999</v>
      </c>
      <c r="I4" s="2648" t="s">
        <v>2707</v>
      </c>
      <c r="J4" s="2648" t="s">
        <v>1998</v>
      </c>
      <c r="K4" s="3239"/>
      <c r="L4" s="3239"/>
      <c r="M4" s="3238"/>
      <c r="N4" s="3240"/>
      <c r="O4" s="3238"/>
      <c r="P4" s="3239"/>
      <c r="Q4" s="3239"/>
      <c r="R4" s="3239"/>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33335.9</v>
      </c>
      <c r="O5" s="1809">
        <f>项目基本情况!C21</f>
        <v>116675.65000000001</v>
      </c>
      <c r="P5" s="1809">
        <f ca="1">结果表!E42</f>
        <v>11236</v>
      </c>
      <c r="Q5" s="1809">
        <f ca="1">结果表!D42</f>
        <v>3210</v>
      </c>
      <c r="R5" s="1810">
        <f ca="1">结果表!C42</f>
        <v>37455</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11">
        <f ca="1">结果表!O39</f>
        <v>37455</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11" t="str">
        <f>结果表!O40</f>
        <v>——</v>
      </c>
    </row>
    <row r="8" spans="1:18">
      <c r="A8" s="3242" t="str">
        <f>IF(项目基本情况!B9="市场价格","——",项目基本情况!E9)</f>
        <v>——</v>
      </c>
      <c r="B8" s="3243"/>
      <c r="C8" s="3243"/>
      <c r="D8" s="3243"/>
      <c r="E8" s="3243"/>
      <c r="F8" s="3243"/>
      <c r="G8" s="3243"/>
      <c r="H8" s="3243"/>
      <c r="I8" s="3243"/>
      <c r="J8" s="3243"/>
      <c r="K8" s="3243"/>
      <c r="L8" s="3243"/>
      <c r="M8" s="3243"/>
      <c r="N8" s="3243"/>
      <c r="O8" s="3243"/>
      <c r="P8" s="3243"/>
      <c r="Q8" s="3244"/>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46" t="s">
        <v>2027</v>
      </c>
      <c r="B1" s="3246"/>
      <c r="C1" s="3246"/>
      <c r="D1" s="3246"/>
    </row>
    <row r="2" spans="1:4" ht="47.25" customHeight="1">
      <c r="A2" s="3247" t="str">
        <f>"1.权利限制："&amp;项目基本情况!L24&amp;"未设定租赁等其他他项权利。"</f>
        <v>1.权利限制：根据估价对象《不动产权证书》复印件、《国有土地使用权》复印件，截至估价期日，估价对象抵押权未见登记。未设定租赁等其他他项权利。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3.估价规划限制条件：详见《出让合同》。</v>
      </c>
      <c r="B4" s="3246"/>
      <c r="C4" s="3246"/>
      <c r="D4" s="3246"/>
    </row>
    <row r="5" spans="1:4">
      <c r="A5" s="3245" t="s">
        <v>2028</v>
      </c>
      <c r="B5" s="3245"/>
      <c r="C5" s="3245"/>
      <c r="D5" s="3245"/>
    </row>
    <row r="6" spans="1:4">
      <c r="A6" s="3246" t="s">
        <v>2006</v>
      </c>
      <c r="B6" s="3246"/>
      <c r="C6" s="3246"/>
      <c r="D6" s="3246"/>
    </row>
    <row r="7" spans="1:4" ht="33" customHeight="1">
      <c r="A7" s="3246" t="s">
        <v>2537</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（1）根据估价对象《不动产权证书》复印件、《国有土地使用权》复印件，截至估价期日，估价对象抵押权未见登记。</v>
      </c>
      <c r="B11" s="3248"/>
      <c r="C11" s="3248"/>
      <c r="D11" s="3248"/>
    </row>
    <row r="12" spans="1:4" ht="168" customHeight="1">
      <c r="A12" s="3245" t="s">
        <v>2030</v>
      </c>
      <c r="B12" s="3245"/>
      <c r="C12" s="3245"/>
      <c r="D12" s="3245"/>
    </row>
    <row r="13" spans="1:4">
      <c r="A13" s="3249" t="s">
        <v>2708</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2664</v>
      </c>
      <c r="B17" s="3246"/>
      <c r="C17" s="3246"/>
      <c r="D17" s="3246"/>
    </row>
    <row r="18" spans="1:4">
      <c r="A18" s="3246" t="s">
        <v>2656</v>
      </c>
      <c r="B18" s="3246"/>
      <c r="C18" s="3246"/>
      <c r="D18" s="3246"/>
    </row>
    <row r="19" spans="1:4">
      <c r="A19" s="2867" t="s">
        <v>2657</v>
      </c>
      <c r="B19" s="2867" t="s">
        <v>2658</v>
      </c>
      <c r="C19" s="2867" t="s">
        <v>2659</v>
      </c>
      <c r="D19" s="2867" t="s">
        <v>2660</v>
      </c>
    </row>
    <row r="20" spans="1:4">
      <c r="A20" s="2867" t="str">
        <f>项目基本情况!B4</f>
        <v>吴薇</v>
      </c>
      <c r="B20" s="2867">
        <f ca="1">项目基本情况!C4</f>
        <v>2002110125</v>
      </c>
      <c r="C20" s="2869"/>
      <c r="D20" s="1799" t="s">
        <v>2665</v>
      </c>
    </row>
    <row r="21" spans="1:4">
      <c r="A21" s="2867" t="str">
        <f>项目基本情况!D4</f>
        <v>崔锴</v>
      </c>
      <c r="B21" s="2867">
        <f ca="1">项目基本情况!E4</f>
        <v>2010110070</v>
      </c>
      <c r="C21" s="2869"/>
      <c r="D21" s="1799" t="s">
        <v>2666</v>
      </c>
    </row>
    <row r="23" spans="1:4">
      <c r="A23" s="3246" t="s">
        <v>2661</v>
      </c>
      <c r="B23" s="3246"/>
      <c r="C23" s="3246"/>
      <c r="D23" s="3246"/>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57" t="s">
        <v>52</v>
      </c>
      <c r="B15" s="3258" t="s">
        <v>811</v>
      </c>
      <c r="C15" s="3254"/>
    </row>
    <row r="16" spans="1:7" ht="14.4">
      <c r="A16" s="3257"/>
      <c r="B16" s="3255" t="s">
        <v>53</v>
      </c>
      <c r="C16" s="1170" t="s">
        <v>52</v>
      </c>
    </row>
    <row r="17" spans="1:3" ht="14.4">
      <c r="A17" s="3257"/>
      <c r="B17" s="3255"/>
      <c r="C17" s="1170" t="s">
        <v>54</v>
      </c>
    </row>
    <row r="18" spans="1:3" ht="14.4">
      <c r="A18" s="3257"/>
      <c r="B18" s="3255"/>
      <c r="C18" s="1170" t="s">
        <v>55</v>
      </c>
    </row>
    <row r="19" spans="1:3" ht="14.4">
      <c r="A19" s="3257"/>
      <c r="B19" s="3253" t="s">
        <v>56</v>
      </c>
      <c r="C19" s="3254"/>
    </row>
    <row r="20" spans="1:3" ht="14.4">
      <c r="A20" s="1171" t="s">
        <v>57</v>
      </c>
      <c r="B20" s="1172"/>
      <c r="C20" s="1173"/>
    </row>
    <row r="21" spans="1:3" ht="14.4">
      <c r="A21" s="3256" t="s">
        <v>58</v>
      </c>
      <c r="B21" s="3253" t="s">
        <v>59</v>
      </c>
      <c r="C21" s="3254"/>
    </row>
    <row r="22" spans="1:3" ht="14.4">
      <c r="A22" s="3256"/>
      <c r="B22" s="3253" t="s">
        <v>60</v>
      </c>
      <c r="C22" s="3254"/>
    </row>
    <row r="23" spans="1:3" ht="14.4">
      <c r="A23" s="3256"/>
      <c r="B23" s="3253" t="s">
        <v>61</v>
      </c>
      <c r="C23" s="3254"/>
    </row>
    <row r="24" spans="1:3" ht="14.4">
      <c r="A24" s="3256"/>
      <c r="B24" s="3259" t="s">
        <v>62</v>
      </c>
      <c r="C24" s="1174" t="s">
        <v>802</v>
      </c>
    </row>
    <row r="25" spans="1:3" ht="14.4">
      <c r="A25" s="3256"/>
      <c r="B25" s="3260"/>
      <c r="C25" s="1174" t="s">
        <v>803</v>
      </c>
    </row>
    <row r="26" spans="1:3" ht="14.4">
      <c r="A26" s="3256"/>
      <c r="B26" s="3260"/>
      <c r="C26" s="1174" t="s">
        <v>804</v>
      </c>
    </row>
    <row r="27" spans="1:3" ht="14.4">
      <c r="A27" s="3256"/>
      <c r="B27" s="3260"/>
      <c r="C27" s="1174" t="s">
        <v>805</v>
      </c>
    </row>
    <row r="28" spans="1:3" ht="14.4">
      <c r="A28" s="3256"/>
      <c r="B28" s="3260"/>
      <c r="C28" s="1174" t="s">
        <v>806</v>
      </c>
    </row>
    <row r="29" spans="1:3" ht="14.4">
      <c r="A29" s="3256"/>
      <c r="B29" s="3260"/>
      <c r="C29" s="1174" t="s">
        <v>807</v>
      </c>
    </row>
    <row r="30" spans="1:3" ht="14.4">
      <c r="A30" s="3256"/>
      <c r="B30" s="3260"/>
      <c r="C30" s="1174" t="s">
        <v>808</v>
      </c>
    </row>
    <row r="31" spans="1:3" ht="14.4">
      <c r="A31" s="3256"/>
      <c r="B31" s="3260"/>
      <c r="C31" s="1174" t="s">
        <v>809</v>
      </c>
    </row>
    <row r="32" spans="1:3" ht="14.4">
      <c r="A32" s="3256"/>
      <c r="B32" s="3260"/>
      <c r="C32" s="1174" t="s">
        <v>1611</v>
      </c>
    </row>
    <row r="33" spans="1:3" ht="14.4">
      <c r="A33" s="3256"/>
      <c r="B33" s="3250" t="s">
        <v>1617</v>
      </c>
      <c r="C33" s="1174" t="s">
        <v>1612</v>
      </c>
    </row>
    <row r="34" spans="1:3" ht="14.4">
      <c r="A34" s="3256"/>
      <c r="B34" s="3251"/>
      <c r="C34" s="1179" t="s">
        <v>1613</v>
      </c>
    </row>
    <row r="35" spans="1:3" ht="14.4">
      <c r="A35" s="3256"/>
      <c r="B35" s="3251"/>
      <c r="C35" s="1180" t="s">
        <v>1614</v>
      </c>
    </row>
    <row r="36" spans="1:3" ht="14.4">
      <c r="A36" s="3256"/>
      <c r="B36" s="3251"/>
      <c r="C36" s="1180" t="s">
        <v>1615</v>
      </c>
    </row>
    <row r="37" spans="1:3" ht="14.4">
      <c r="A37" s="3256"/>
      <c r="B37" s="3252"/>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43733</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t="str">
        <f ca="1">IF(C10&lt;B2,"已过期",1120060040)</f>
        <v>已过期</v>
      </c>
      <c r="C10" s="3005">
        <v>43483</v>
      </c>
      <c r="D10" s="2342" t="s">
        <v>1882</v>
      </c>
      <c r="E10" s="2342">
        <f ca="1">IF(F10&lt;B2,"已过期",2004110096)</f>
        <v>2004110096</v>
      </c>
      <c r="F10" s="3006">
        <v>47118</v>
      </c>
    </row>
    <row r="11" spans="1:6" ht="20.25" customHeight="1">
      <c r="A11" s="2342" t="s">
        <v>1883</v>
      </c>
      <c r="B11" s="2342" t="str">
        <f ca="1">IF(C11&lt;B2,"已过期",1120100036)</f>
        <v>已过期</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t="str">
        <f ca="1">IF(C14&lt;B2,"已过期",1120130020)</f>
        <v>已过期</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t="str">
        <f ca="1">IF(C23&lt;B2,"已过期",1120130048)</f>
        <v>已过期</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61" t="s">
        <v>1890</v>
      </c>
      <c r="B25" s="3261"/>
      <c r="C25" s="3261"/>
      <c r="D25" s="3261"/>
      <c r="E25" s="3261"/>
      <c r="F25" s="3261"/>
      <c r="G25" s="3261"/>
    </row>
    <row r="26" spans="1:7" ht="20.25" customHeight="1">
      <c r="A26" s="3262" t="s">
        <v>1891</v>
      </c>
      <c r="B26" s="3262"/>
      <c r="C26" s="3262"/>
      <c r="D26" s="3262" t="s">
        <v>1892</v>
      </c>
      <c r="E26" s="3262"/>
      <c r="F26" s="3262"/>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2986</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镇江市丹阳市北二环路（宗地代码321181403212GB00076）1宗城镇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63"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10日，在规划利用条件下、设定土地开发程度为红线外“七通”、宗地内场地平整，设定用途为，剩余土地使用年限为的出让国有建设用地使用权价格。</v>
      </c>
      <c r="D53" s="1766"/>
      <c r="E53" s="1766"/>
    </row>
    <row r="54" spans="1:5">
      <c r="A54" s="3263"/>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3"/>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3"/>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3"/>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年期修正表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土地案例新</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2019-09-25T06:20:23Z</dcterms:modified>
</cp:coreProperties>
</file>