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项目汇总" sheetId="71" r:id="rId13"/>
    <sheet name="数据-汇总表" sheetId="6" r:id="rId14"/>
    <sheet name="数据-取费表" sheetId="1" r:id="rId15"/>
    <sheet name="估价对象房地状况" sheetId="20" state="hidden" r:id="rId16"/>
    <sheet name="系统读取表" sheetId="66" state="hidden" r:id="rId17"/>
    <sheet name="结果表" sheetId="9" r:id="rId18"/>
    <sheet name="剩余法-现房" sheetId="43" state="hidden" r:id="rId19"/>
    <sheet name="比较法-住宅、综合" sheetId="39" r:id="rId20"/>
    <sheet name="高新区土地案例" sheetId="69" r:id="rId21"/>
    <sheet name="剩余法-待开发" sheetId="12"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商业）" sheetId="15" r:id="rId42"/>
    <sheet name="不动产收益法（地下车位）" sheetId="70" r:id="rId43"/>
    <sheet name="Sheet1" sheetId="68" r:id="rId44"/>
  </sheets>
  <definedNames>
    <definedName name="_xlnm._FilterDatabase" localSheetId="22"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9">'比较法-住宅、综合'!$A$1:$K$67,'比较法-住宅、综合'!$A$71:$N$134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42">'不动产收益法（地下车位）'!$A$1:$F$43,'不动产收益法（地下车位）'!$H$3:$M$29,'不动产收益法（地下车位）'!$A$46:$F$70,'不动产收益法（地下车位）'!$I$46:$M$60</definedName>
    <definedName name="_xlnm.Print_Area" localSheetId="41">'不动产收益法（商业）'!$A$1:$F$43,'不动产收益法（商业）'!$H$3:$M$29,'不动产收益法（商业）'!$A$46:$F$70,'不动产收益法（商业）'!$I$46:$M$60</definedName>
    <definedName name="_xlnm.Print_Area" localSheetId="32">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1">'剩余法-待开发'!$A$1:$K$36</definedName>
    <definedName name="_xlnm.Print_Area" localSheetId="18">'剩余法-现房'!$A$1:$K$32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3" i="3" l="1"/>
  <c r="AD13" i="3"/>
  <c r="M13" i="3"/>
  <c r="AF13" i="3"/>
  <c r="AH13" i="3"/>
  <c r="A3" i="3" l="1"/>
  <c r="G9" i="71" l="1"/>
  <c r="G8" i="71"/>
  <c r="G7" i="71"/>
  <c r="G6" i="71"/>
  <c r="G5" i="71"/>
  <c r="G4" i="71"/>
  <c r="G3" i="71"/>
  <c r="G2" i="71"/>
  <c r="P75" i="70"/>
  <c r="Q73" i="70"/>
  <c r="P62" i="70"/>
  <c r="Q60" i="70"/>
  <c r="D60" i="70"/>
  <c r="Q59" i="70"/>
  <c r="K59" i="70"/>
  <c r="F58" i="70"/>
  <c r="Q52" i="70"/>
  <c r="J50" i="70"/>
  <c r="J51" i="70" s="1"/>
  <c r="M47" i="70"/>
  <c r="L46" i="70" s="1"/>
  <c r="F33" i="70"/>
  <c r="F60" i="70" s="1"/>
  <c r="F32" i="70"/>
  <c r="F59" i="70" s="1"/>
  <c r="F31" i="70"/>
  <c r="F28" i="70"/>
  <c r="C28" i="70"/>
  <c r="F23" i="70"/>
  <c r="D24" i="70" s="1"/>
  <c r="D23" i="70"/>
  <c r="D22" i="70"/>
  <c r="F21" i="70"/>
  <c r="F20" i="70"/>
  <c r="M19" i="70"/>
  <c r="M18" i="70"/>
  <c r="F18" i="70"/>
  <c r="M17" i="70"/>
  <c r="F17" i="70"/>
  <c r="F15" i="70"/>
  <c r="G1" i="70"/>
  <c r="F42" i="70"/>
  <c r="M28" i="70"/>
  <c r="M24" i="70"/>
  <c r="L47" i="70"/>
  <c r="F36" i="70"/>
  <c r="F9" i="70"/>
  <c r="F8" i="70"/>
  <c r="M22" i="70"/>
  <c r="F50" i="70" l="1"/>
  <c r="F63" i="70"/>
  <c r="L59" i="70"/>
  <c r="C11" i="21"/>
  <c r="I7" i="21"/>
  <c r="G7" i="21"/>
  <c r="G21" i="6"/>
  <c r="F20" i="6"/>
  <c r="F19" i="6"/>
  <c r="M27" i="70"/>
  <c r="J36" i="70"/>
  <c r="F26" i="70"/>
  <c r="M26" i="70"/>
  <c r="F40" i="70"/>
  <c r="L48" i="70"/>
  <c r="F37" i="70"/>
  <c r="F38" i="70"/>
  <c r="M8" i="70"/>
  <c r="M9" i="70"/>
  <c r="F6" i="70"/>
  <c r="M6" i="70"/>
  <c r="J15" i="70"/>
  <c r="M23" i="70"/>
  <c r="F13" i="70"/>
  <c r="F16" i="70"/>
  <c r="L60" i="70" l="1"/>
  <c r="L56" i="70"/>
  <c r="L57" i="70"/>
  <c r="J59" i="70"/>
  <c r="J53" i="70"/>
  <c r="L58" i="70"/>
  <c r="J60" i="70"/>
  <c r="Q49" i="70" s="1"/>
  <c r="J57" i="70"/>
  <c r="J55" i="70" s="1"/>
  <c r="J58" i="70" s="1"/>
  <c r="Q51" i="70" s="1"/>
  <c r="I54" i="70"/>
  <c r="F65" i="70"/>
  <c r="Q72" i="70"/>
  <c r="F67" i="70"/>
  <c r="F64" i="70"/>
  <c r="C27" i="70"/>
  <c r="Q75" i="70"/>
  <c r="Q62" i="70"/>
  <c r="D77" i="39"/>
  <c r="I9" i="39"/>
  <c r="G9" i="39"/>
  <c r="E9" i="39"/>
  <c r="Q61" i="70" l="1"/>
  <c r="Q74" i="70"/>
  <c r="Q53" i="70"/>
  <c r="F1" i="70"/>
  <c r="Q67" i="70"/>
  <c r="Q58" i="70"/>
  <c r="C77" i="39"/>
  <c r="E73" i="39"/>
  <c r="F73" i="39" s="1"/>
  <c r="G73" i="39" s="1"/>
  <c r="H73" i="39" s="1"/>
  <c r="I73" i="39" s="1"/>
  <c r="J73" i="39" s="1"/>
  <c r="K73" i="39" s="1"/>
  <c r="L73" i="39" s="1"/>
  <c r="M73" i="39" s="1"/>
  <c r="N73" i="39" s="1"/>
  <c r="D73" i="39"/>
  <c r="E21" i="4"/>
  <c r="E22" i="4"/>
  <c r="B7" i="4"/>
  <c r="B5" i="4"/>
  <c r="D3" i="4"/>
  <c r="C16" i="11" l="1"/>
  <c r="C15" i="11"/>
  <c r="C14" i="11"/>
  <c r="C9" i="11"/>
  <c r="C8" i="11"/>
  <c r="K36" i="36" l="1"/>
  <c r="K38" i="35"/>
  <c r="K42" i="37"/>
  <c r="K49" i="34"/>
  <c r="K48" i="33" l="1"/>
  <c r="K48" i="21"/>
  <c r="K44" i="40" l="1"/>
  <c r="K49" i="39"/>
  <c r="E77" i="9"/>
  <c r="F77" i="9"/>
  <c r="AH5" i="59" l="1"/>
  <c r="AG5" i="59"/>
  <c r="AE5" i="59"/>
  <c r="AF5" i="59" s="1"/>
  <c r="AD5" i="59"/>
  <c r="Q5" i="59"/>
  <c r="P5" i="59"/>
  <c r="O5" i="59"/>
  <c r="N5" i="59"/>
  <c r="A21" i="31" l="1"/>
  <c r="C109" i="9" l="1"/>
  <c r="V7" i="59" l="1"/>
  <c r="U7" i="59"/>
  <c r="T7" i="59"/>
  <c r="S7" i="59"/>
  <c r="AH6" i="59" l="1"/>
  <c r="AG6" i="59"/>
  <c r="AE6" i="59"/>
  <c r="AF6" i="59" s="1"/>
  <c r="AD6" i="59"/>
  <c r="Q6" i="59"/>
  <c r="AB5" i="59" s="1"/>
  <c r="P6" i="59"/>
  <c r="AA5" i="59" s="1"/>
  <c r="O6" i="59"/>
  <c r="Y5" i="59" s="1"/>
  <c r="Z5" i="59" s="1"/>
  <c r="N6" i="59"/>
  <c r="X5" i="59" s="1"/>
  <c r="Q8" i="59" l="1"/>
  <c r="AB8" i="59"/>
  <c r="P8" i="59"/>
  <c r="AA8" i="59"/>
  <c r="O8" i="59"/>
  <c r="Y8" i="59"/>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J51" i="15" s="1"/>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s="1"/>
  <c r="P75" i="15"/>
  <c r="Q74" i="44"/>
  <c r="Q61" i="44"/>
  <c r="Q60" i="44"/>
  <c r="Q53" i="44"/>
  <c r="J51" i="44"/>
  <c r="J52" i="44"/>
  <c r="M48" i="44"/>
  <c r="A16" i="55"/>
  <c r="A15" i="55"/>
  <c r="B66" i="63" s="1"/>
  <c r="A14" i="55"/>
  <c r="A10" i="55"/>
  <c r="B61" i="63"/>
  <c r="A9" i="55"/>
  <c r="B60" i="63"/>
  <c r="A8" i="55"/>
  <c r="A6" i="54"/>
  <c r="A8" i="54"/>
  <c r="A7" i="54"/>
  <c r="A28" i="51"/>
  <c r="B21" i="63" s="1"/>
  <c r="A27" i="51"/>
  <c r="B20" i="63" s="1"/>
  <c r="Q17" i="59"/>
  <c r="AB15" i="59"/>
  <c r="O17" i="59"/>
  <c r="Y15" i="59"/>
  <c r="Z15" i="59"/>
  <c r="N18" i="59"/>
  <c r="O18" i="59"/>
  <c r="P18" i="59"/>
  <c r="Q18" i="59"/>
  <c r="N17" i="59"/>
  <c r="X15" i="59"/>
  <c r="P17" i="59"/>
  <c r="B19" i="59"/>
  <c r="C19" i="59"/>
  <c r="D19" i="59"/>
  <c r="E19" i="59"/>
  <c r="F19" i="59"/>
  <c r="K75" i="9"/>
  <c r="K6" i="4"/>
  <c r="O76" i="9" s="1"/>
  <c r="L76"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s="1"/>
  <c r="T15" i="59"/>
  <c r="D15" i="59"/>
  <c r="B76" i="63"/>
  <c r="M5" i="54"/>
  <c r="B41" i="63" s="1"/>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s="1"/>
  <c r="A4" i="55"/>
  <c r="B57" i="63"/>
  <c r="G5" i="54"/>
  <c r="B34" i="63"/>
  <c r="E5" i="54"/>
  <c r="B32" i="63"/>
  <c r="R2" i="54"/>
  <c r="B24" i="63"/>
  <c r="B19" i="63"/>
  <c r="B49" i="50"/>
  <c r="B5" i="63"/>
  <c r="B40" i="50"/>
  <c r="B3" i="63" s="1"/>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31" i="39"/>
  <c r="AA31" i="39"/>
  <c r="G20" i="20"/>
  <c r="B85" i="46"/>
  <c r="C22" i="20"/>
  <c r="B65" i="46"/>
  <c r="S18" i="36"/>
  <c r="S18" i="35"/>
  <c r="S21" i="37"/>
  <c r="S21" i="34"/>
  <c r="S27" i="40"/>
  <c r="S31" i="39"/>
  <c r="C27" i="40"/>
  <c r="C31" i="39"/>
  <c r="B54" i="46"/>
  <c r="B74" i="46"/>
  <c r="E66" i="36"/>
  <c r="H18" i="35"/>
  <c r="J18" i="35"/>
  <c r="H21" i="37"/>
  <c r="J21" i="37"/>
  <c r="E84" i="34"/>
  <c r="F84" i="34"/>
  <c r="G84" i="34"/>
  <c r="J21" i="34"/>
  <c r="H21" i="34"/>
  <c r="F21" i="33"/>
  <c r="H21" i="33"/>
  <c r="J21" i="33"/>
  <c r="H21"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I2" i="46"/>
  <c r="N12" i="46"/>
  <c r="A7" i="46"/>
  <c r="F41" i="4"/>
  <c r="J52" i="40" s="1"/>
  <c r="H61" i="49"/>
  <c r="H39" i="46"/>
  <c r="H38" i="46"/>
  <c r="H37" i="46"/>
  <c r="H36" i="46"/>
  <c r="H35" i="46"/>
  <c r="H34" i="46"/>
  <c r="H33" i="46"/>
  <c r="J20" i="46"/>
  <c r="C18" i="46"/>
  <c r="F15" i="46"/>
  <c r="E15" i="46"/>
  <c r="D15" i="46"/>
  <c r="C15" i="46"/>
  <c r="C10" i="46"/>
  <c r="C11" i="46"/>
  <c r="C9" i="46"/>
  <c r="E19" i="6"/>
  <c r="E32" i="6" s="1"/>
  <c r="E20" i="6"/>
  <c r="E21" i="6"/>
  <c r="K8" i="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s="1"/>
  <c r="Q46" i="39"/>
  <c r="Z46" i="39"/>
  <c r="Q47" i="39"/>
  <c r="Z47" i="39"/>
  <c r="Q40" i="39"/>
  <c r="Z40" i="39"/>
  <c r="Q38" i="39"/>
  <c r="Z38" i="39" s="1"/>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s="1"/>
  <c r="H42" i="21"/>
  <c r="AB42" i="21" s="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7" i="21"/>
  <c r="C58" i="2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J12" i="21"/>
  <c r="H12" i="21"/>
  <c r="U12" i="21" s="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A38" i="21"/>
  <c r="C29" i="39"/>
  <c r="C23" i="39"/>
  <c r="U36"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s="1"/>
  <c r="H28" i="21"/>
  <c r="AB28" i="21" s="1"/>
  <c r="F28" i="21"/>
  <c r="J28" i="21"/>
  <c r="AC28" i="21"/>
  <c r="H30" i="21"/>
  <c r="U30" i="2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c r="J27" i="21"/>
  <c r="W27" i="21"/>
  <c r="F27" i="21"/>
  <c r="AA27" i="2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U46" i="21"/>
  <c r="AC30" i="21"/>
  <c r="W30" i="21"/>
  <c r="AB30" i="21"/>
  <c r="S28" i="21"/>
  <c r="AA28" i="21"/>
  <c r="AB14" i="21"/>
  <c r="W14" i="21"/>
  <c r="AC14" i="21"/>
  <c r="W31" i="34"/>
  <c r="S46" i="33"/>
  <c r="U36" i="37"/>
  <c r="AC13" i="36"/>
  <c r="AB45" i="33"/>
  <c r="AB31" i="33"/>
  <c r="AA27" i="33"/>
  <c r="AB27" i="33"/>
  <c r="S45" i="21"/>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AA36" i="21"/>
  <c r="S39" i="33"/>
  <c r="F43" i="33"/>
  <c r="AA43" i="33"/>
  <c r="AA23" i="37"/>
  <c r="S10" i="35"/>
  <c r="AB44" i="33"/>
  <c r="G107" i="37"/>
  <c r="H107" i="37"/>
  <c r="I107" i="37"/>
  <c r="J107" i="37"/>
  <c r="K107" i="37"/>
  <c r="L107" i="37"/>
  <c r="M107" i="37"/>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AZ322" i="3"/>
  <c r="H13" i="39"/>
  <c r="AB13" i="39" s="1"/>
  <c r="F13" i="39"/>
  <c r="S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U39" i="21"/>
  <c r="J32" i="21"/>
  <c r="AC32" i="21" s="1"/>
  <c r="G13" i="3"/>
  <c r="AC5" i="3"/>
  <c r="H37" i="21"/>
  <c r="U37" i="21" s="1"/>
  <c r="F40" i="21"/>
  <c r="S40" i="21" s="1"/>
  <c r="H40" i="21"/>
  <c r="AB40" i="21" s="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s="1"/>
  <c r="H46" i="39"/>
  <c r="U46" i="39" s="1"/>
  <c r="J46" i="39"/>
  <c r="W46" i="39" s="1"/>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s="1"/>
  <c r="H16" i="39"/>
  <c r="U16" i="39" s="1"/>
  <c r="J16" i="39"/>
  <c r="AC16" i="39" s="1"/>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c r="J25" i="39"/>
  <c r="AC25" i="39"/>
  <c r="F25" i="39"/>
  <c r="AA25" i="39"/>
  <c r="F45" i="39"/>
  <c r="AA45" i="39" s="1"/>
  <c r="H45" i="39"/>
  <c r="U45" i="39" s="1"/>
  <c r="J45" i="39"/>
  <c r="AC45" i="39" s="1"/>
  <c r="F47" i="39"/>
  <c r="AA47" i="39" s="1"/>
  <c r="H47" i="39"/>
  <c r="AB47" i="39" s="1"/>
  <c r="J47" i="39"/>
  <c r="W47" i="39" s="1"/>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13" i="39"/>
  <c r="U16" i="40"/>
  <c r="W34" i="40"/>
  <c r="AB34" i="40"/>
  <c r="AB42" i="40"/>
  <c r="U42" i="40"/>
  <c r="AC16" i="40"/>
  <c r="W32" i="40"/>
  <c r="H25" i="40"/>
  <c r="AB25" i="40"/>
  <c r="F94" i="40"/>
  <c r="G94" i="40"/>
  <c r="U47" i="39"/>
  <c r="J37" i="34"/>
  <c r="AC37" i="34"/>
  <c r="J36" i="33"/>
  <c r="W36" i="33"/>
  <c r="S41" i="40"/>
  <c r="AB23" i="40"/>
  <c r="U27" i="39"/>
  <c r="H23" i="39"/>
  <c r="AB23" i="39"/>
  <c r="J23" i="39"/>
  <c r="AC23" i="39"/>
  <c r="F97" i="39"/>
  <c r="G97"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B11" i="1"/>
  <c r="E11" i="1"/>
  <c r="K11" i="1"/>
  <c r="M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39" i="21"/>
  <c r="W43" i="21"/>
  <c r="AA37" i="21"/>
  <c r="AB37" i="21"/>
  <c r="AB32" i="21"/>
  <c r="W28" i="21"/>
  <c r="AC46" i="21"/>
  <c r="AC26" i="21"/>
  <c r="W13" i="21"/>
  <c r="AC21" i="21"/>
  <c r="W21"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BA16" i="3"/>
  <c r="BA17" i="3"/>
  <c r="AZ17" i="3"/>
  <c r="F3" i="35"/>
  <c r="K1" i="43"/>
  <c r="K1" i="12"/>
  <c r="G1" i="44"/>
  <c r="I4" i="6"/>
  <c r="G3" i="46"/>
  <c r="AZ15" i="3"/>
  <c r="G5" i="3"/>
  <c r="B3" i="3" s="1"/>
  <c r="E411" i="3" s="1"/>
  <c r="BK5" i="3"/>
  <c r="BO5" i="3"/>
  <c r="BP5" i="3"/>
  <c r="BN5" i="3"/>
  <c r="BL18" i="3"/>
  <c r="AZ18" i="3"/>
  <c r="BC5" i="3"/>
  <c r="E8" i="6" s="1"/>
  <c r="BD5" i="3"/>
  <c r="BR5" i="3"/>
  <c r="G28" i="6"/>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B6" i="63"/>
  <c r="B46" i="50"/>
  <c r="B4" i="63" s="1"/>
  <c r="C46" i="36"/>
  <c r="C48" i="35"/>
  <c r="D48" i="35"/>
  <c r="C52" i="37"/>
  <c r="D52" i="37"/>
  <c r="O19" i="46"/>
  <c r="H86" i="46"/>
  <c r="H82" i="46"/>
  <c r="H10" i="48"/>
  <c r="H87" i="46"/>
  <c r="H85" i="46"/>
  <c r="H83" i="46"/>
  <c r="K10" i="1"/>
  <c r="M10" i="1" s="1"/>
  <c r="S11" i="1"/>
  <c r="R11" i="1"/>
  <c r="S13" i="1"/>
  <c r="R13" i="1"/>
  <c r="B6" i="1"/>
  <c r="E6" i="1" s="1"/>
  <c r="B10" i="1"/>
  <c r="E10" i="1"/>
  <c r="S10" i="1"/>
  <c r="B8" i="1"/>
  <c r="E8" i="1"/>
  <c r="B12" i="1"/>
  <c r="E12" i="1"/>
  <c r="S12" i="1"/>
  <c r="K6" i="1"/>
  <c r="M6" i="1" s="1"/>
  <c r="C15" i="43"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5" i="6"/>
  <c r="D12" i="11" s="1"/>
  <c r="C12" i="11" s="1"/>
  <c r="E213" i="3"/>
  <c r="E109" i="3"/>
  <c r="E412" i="3"/>
  <c r="E560" i="3"/>
  <c r="E261" i="3"/>
  <c r="AT6" i="3"/>
  <c r="E203" i="3"/>
  <c r="E172" i="3"/>
  <c r="E417" i="3"/>
  <c r="E196" i="3"/>
  <c r="E259" i="3"/>
  <c r="E308" i="3"/>
  <c r="E416" i="3"/>
  <c r="E96" i="3"/>
  <c r="E160" i="3"/>
  <c r="E242" i="3"/>
  <c r="E133" i="3"/>
  <c r="E87" i="3"/>
  <c r="E458" i="3"/>
  <c r="E29" i="3"/>
  <c r="E256" i="3"/>
  <c r="E306" i="3"/>
  <c r="E508" i="3"/>
  <c r="E180"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AZ16" i="3"/>
  <c r="A9" i="64"/>
  <c r="A9" i="51"/>
  <c r="B9" i="63" s="1"/>
  <c r="G66" i="36"/>
  <c r="J18" i="36"/>
  <c r="AE6" i="1"/>
  <c r="W18" i="36"/>
  <c r="AC18" i="36"/>
  <c r="AG6" i="1"/>
  <c r="L20" i="6"/>
  <c r="S9" i="1"/>
  <c r="R9" i="1"/>
  <c r="C45" i="9"/>
  <c r="H14" i="66"/>
  <c r="B7" i="66" s="1"/>
  <c r="O40" i="9"/>
  <c r="K31" i="9"/>
  <c r="K32" i="9" s="1"/>
  <c r="R7" i="54"/>
  <c r="B52" i="63" s="1"/>
  <c r="N76" i="9"/>
  <c r="C46" i="9"/>
  <c r="K33" i="9" s="1"/>
  <c r="K34" i="9" s="1"/>
  <c r="D58" i="21"/>
  <c r="E58" i="21" s="1"/>
  <c r="D70" i="39"/>
  <c r="C72" i="39"/>
  <c r="D58" i="33"/>
  <c r="E58" i="33"/>
  <c r="F58" i="33" s="1"/>
  <c r="C67" i="40"/>
  <c r="D65" i="40"/>
  <c r="H58" i="46"/>
  <c r="J17" i="46"/>
  <c r="C17" i="46"/>
  <c r="F34" i="46"/>
  <c r="F38" i="46"/>
  <c r="F37" i="46"/>
  <c r="H113" i="46"/>
  <c r="H49" i="46"/>
  <c r="H53" i="46"/>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25" i="12"/>
  <c r="C27" i="43"/>
  <c r="C31" i="43"/>
  <c r="C28" i="15"/>
  <c r="H1" i="65"/>
  <c r="H51" i="46"/>
  <c r="X7" i="46"/>
  <c r="E17" i="46"/>
  <c r="N17" i="46"/>
  <c r="O17" i="46"/>
  <c r="M17" i="46"/>
  <c r="L17" i="46"/>
  <c r="H22" i="46"/>
  <c r="Y11" i="46"/>
  <c r="Y13" i="46" s="1"/>
  <c r="H101" i="46"/>
  <c r="H102" i="46" s="1"/>
  <c r="G22" i="46"/>
  <c r="J22" i="46"/>
  <c r="F101" i="46"/>
  <c r="F109" i="46" s="1"/>
  <c r="D101" i="46"/>
  <c r="D106" i="46" s="1"/>
  <c r="E28" i="6"/>
  <c r="AP7" i="1"/>
  <c r="G13" i="1"/>
  <c r="E52" i="37"/>
  <c r="D46" i="36"/>
  <c r="E48" i="35"/>
  <c r="H70" i="46"/>
  <c r="H73" i="46"/>
  <c r="H50" i="46"/>
  <c r="H48" i="46"/>
  <c r="F35" i="46"/>
  <c r="I17" i="46"/>
  <c r="H63" i="46"/>
  <c r="I101" i="46"/>
  <c r="I102" i="46" s="1"/>
  <c r="M101" i="46"/>
  <c r="N101" i="46"/>
  <c r="N105" i="46" s="1"/>
  <c r="AC11" i="46"/>
  <c r="AC13" i="46" s="1"/>
  <c r="AD11" i="46"/>
  <c r="AD13" i="46" s="1"/>
  <c r="AJ11" i="46"/>
  <c r="AJ13" i="46" s="1"/>
  <c r="H64" i="46"/>
  <c r="H66" i="46"/>
  <c r="D100" i="46"/>
  <c r="F104" i="46"/>
  <c r="H62" i="46"/>
  <c r="AF12" i="46"/>
  <c r="K100" i="46"/>
  <c r="AB12" i="46"/>
  <c r="AJ12" i="46"/>
  <c r="F105" i="46"/>
  <c r="C101" i="46"/>
  <c r="C109" i="46" s="1"/>
  <c r="G101" i="46"/>
  <c r="G103" i="46" s="1"/>
  <c r="J101" i="46"/>
  <c r="J107" i="46" s="1"/>
  <c r="B113" i="46"/>
  <c r="I116" i="46" s="1"/>
  <c r="J116" i="46" s="1"/>
  <c r="K116" i="46" s="1"/>
  <c r="L116" i="46" s="1"/>
  <c r="M116" i="46" s="1"/>
  <c r="N104" i="45"/>
  <c r="L101" i="46"/>
  <c r="L102" i="46" s="1"/>
  <c r="F22" i="46"/>
  <c r="E101" i="46"/>
  <c r="E104" i="46" s="1"/>
  <c r="Z7" i="46"/>
  <c r="K101" i="46"/>
  <c r="K107" i="46" s="1"/>
  <c r="E22" i="46"/>
  <c r="D22" i="46" s="1"/>
  <c r="C21" i="46" s="1"/>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103" i="46"/>
  <c r="H72" i="46"/>
  <c r="H69" i="46"/>
  <c r="H77" i="46"/>
  <c r="H76" i="46"/>
  <c r="H55" i="46"/>
  <c r="H54" i="46"/>
  <c r="H52" i="46"/>
  <c r="H47" i="46"/>
  <c r="AD12" i="46"/>
  <c r="AH12" i="46"/>
  <c r="C12" i="59"/>
  <c r="C11" i="59"/>
  <c r="T11" i="59"/>
  <c r="B12" i="59"/>
  <c r="B11" i="59"/>
  <c r="S11" i="59"/>
  <c r="D12" i="59"/>
  <c r="E65" i="40"/>
  <c r="D67" i="40"/>
  <c r="E70" i="39"/>
  <c r="D72" i="39"/>
  <c r="V11" i="59"/>
  <c r="D11" i="59"/>
  <c r="M106" i="46"/>
  <c r="K14" i="1"/>
  <c r="M14" i="1" s="1"/>
  <c r="F48" i="35"/>
  <c r="E46" i="36"/>
  <c r="F52" i="37"/>
  <c r="K103" i="46"/>
  <c r="K105" i="46"/>
  <c r="E103" i="46"/>
  <c r="L105" i="46"/>
  <c r="C23" i="46"/>
  <c r="I115" i="46"/>
  <c r="J115" i="46" s="1"/>
  <c r="K115" i="46" s="1"/>
  <c r="L115" i="46" s="1"/>
  <c r="M115" i="46" s="1"/>
  <c r="B116" i="46"/>
  <c r="C116" i="46" s="1"/>
  <c r="I117" i="46"/>
  <c r="J117" i="46" s="1"/>
  <c r="K117" i="46" s="1"/>
  <c r="L117" i="46" s="1"/>
  <c r="M117" i="46" s="1"/>
  <c r="G104" i="46"/>
  <c r="K109" i="46"/>
  <c r="C7" i="46"/>
  <c r="F70" i="39"/>
  <c r="E72" i="39"/>
  <c r="F65" i="40"/>
  <c r="E67" i="40"/>
  <c r="D10" i="59"/>
  <c r="D9" i="59"/>
  <c r="G20" i="46"/>
  <c r="E41" i="46"/>
  <c r="C41" i="46"/>
  <c r="G52" i="37"/>
  <c r="G48" i="35"/>
  <c r="F46" i="36"/>
  <c r="G46" i="36"/>
  <c r="H46" i="36" s="1"/>
  <c r="F67" i="40"/>
  <c r="G65" i="40"/>
  <c r="F72" i="39"/>
  <c r="G70" i="39"/>
  <c r="H48" i="35"/>
  <c r="H52" i="37"/>
  <c r="H70" i="39"/>
  <c r="G72" i="39"/>
  <c r="H65" i="40"/>
  <c r="G67" i="40"/>
  <c r="I52" i="37"/>
  <c r="I48" i="35"/>
  <c r="H67" i="40"/>
  <c r="I65" i="40"/>
  <c r="I67" i="40" s="1"/>
  <c r="I70" i="39"/>
  <c r="H72" i="39"/>
  <c r="J48" i="35"/>
  <c r="J52" i="37"/>
  <c r="J65" i="40"/>
  <c r="J70" i="39"/>
  <c r="I72" i="39"/>
  <c r="K48" i="35"/>
  <c r="L48" i="35" s="1"/>
  <c r="K52" i="37"/>
  <c r="J72" i="39"/>
  <c r="K70" i="39"/>
  <c r="K65" i="40"/>
  <c r="J67" i="40"/>
  <c r="L52" i="37"/>
  <c r="L70" i="39"/>
  <c r="K72" i="39"/>
  <c r="K67" i="40"/>
  <c r="L65" i="40"/>
  <c r="M65" i="40" s="1"/>
  <c r="M52" i="37"/>
  <c r="N52" i="37" s="1"/>
  <c r="L67" i="40"/>
  <c r="L72" i="39"/>
  <c r="M70" i="39"/>
  <c r="N70" i="39"/>
  <c r="N72" i="39" s="1"/>
  <c r="M72" i="39"/>
  <c r="L48" i="15"/>
  <c r="F8" i="15"/>
  <c r="F38" i="15"/>
  <c r="J5" i="65"/>
  <c r="M23" i="44"/>
  <c r="F28" i="44"/>
  <c r="J7" i="65"/>
  <c r="M8" i="44"/>
  <c r="E14" i="67"/>
  <c r="F6" i="15"/>
  <c r="N6" i="65"/>
  <c r="B13" i="67"/>
  <c r="F11" i="67"/>
  <c r="F11" i="44"/>
  <c r="E8" i="67"/>
  <c r="F43" i="15"/>
  <c r="F13" i="67"/>
  <c r="I4" i="65"/>
  <c r="E13" i="67"/>
  <c r="F18" i="44"/>
  <c r="N7" i="65"/>
  <c r="B9" i="67"/>
  <c r="F7" i="15"/>
  <c r="B14" i="67"/>
  <c r="F43" i="70"/>
  <c r="C19" i="44"/>
  <c r="L49" i="44"/>
  <c r="E12" i="67"/>
  <c r="B12" i="67"/>
  <c r="F37" i="15"/>
  <c r="F46" i="44"/>
  <c r="F12" i="67"/>
  <c r="E11" i="67"/>
  <c r="F42" i="15"/>
  <c r="F15" i="44"/>
  <c r="M10" i="44"/>
  <c r="B10" i="67"/>
  <c r="F43" i="44"/>
  <c r="M31" i="44"/>
  <c r="F38" i="44"/>
  <c r="N3" i="65"/>
  <c r="F8" i="44"/>
  <c r="J4" i="65"/>
  <c r="F40" i="44"/>
  <c r="F26" i="15"/>
  <c r="F10" i="44"/>
  <c r="E9" i="67"/>
  <c r="B8" i="67"/>
  <c r="AE8" i="1"/>
  <c r="F14" i="67"/>
  <c r="J36" i="15"/>
  <c r="I6" i="65"/>
  <c r="F39" i="44"/>
  <c r="M24" i="44"/>
  <c r="F10" i="67"/>
  <c r="M11" i="44"/>
  <c r="M9" i="15"/>
  <c r="N4" i="65"/>
  <c r="M28" i="15"/>
  <c r="M28" i="44"/>
  <c r="M29" i="70"/>
  <c r="M24" i="15"/>
  <c r="F37" i="44"/>
  <c r="M22" i="15"/>
  <c r="F16" i="15"/>
  <c r="F13" i="15"/>
  <c r="F36" i="15"/>
  <c r="E10" i="67"/>
  <c r="M6" i="15"/>
  <c r="J17" i="44"/>
  <c r="B11" i="67"/>
  <c r="M29" i="15"/>
  <c r="M26" i="44"/>
  <c r="M30" i="44"/>
  <c r="I3" i="65"/>
  <c r="L48" i="44"/>
  <c r="I7" i="65"/>
  <c r="F8" i="67"/>
  <c r="F40" i="15"/>
  <c r="M26" i="15"/>
  <c r="N5" i="65"/>
  <c r="J15" i="15"/>
  <c r="M8" i="15"/>
  <c r="F9" i="15"/>
  <c r="F9" i="44"/>
  <c r="F7" i="70"/>
  <c r="F45" i="44"/>
  <c r="F9" i="67"/>
  <c r="M27" i="15"/>
  <c r="M23" i="15"/>
  <c r="M29" i="44"/>
  <c r="J3" i="65"/>
  <c r="L47" i="15"/>
  <c r="I5" i="65"/>
  <c r="J6" i="65"/>
  <c r="M25" i="44"/>
  <c r="D105" i="46" l="1"/>
  <c r="I103" i="46"/>
  <c r="D103" i="46"/>
  <c r="E29" i="6"/>
  <c r="K15" i="1" s="1"/>
  <c r="E553" i="3"/>
  <c r="E521" i="3"/>
  <c r="E515" i="3"/>
  <c r="E350" i="3"/>
  <c r="E566" i="3"/>
  <c r="E340" i="3"/>
  <c r="E167" i="3"/>
  <c r="E330" i="3"/>
  <c r="E497" i="3"/>
  <c r="E532" i="3"/>
  <c r="E518" i="3"/>
  <c r="E366" i="3"/>
  <c r="E571" i="3"/>
  <c r="E483" i="3"/>
  <c r="E562" i="3"/>
  <c r="E335" i="3"/>
  <c r="E506" i="3"/>
  <c r="E485" i="3"/>
  <c r="E338" i="3"/>
  <c r="E344" i="3"/>
  <c r="E219" i="3"/>
  <c r="E208" i="3"/>
  <c r="E269" i="3"/>
  <c r="E495" i="3"/>
  <c r="E144" i="3"/>
  <c r="E122" i="3"/>
  <c r="E181" i="3"/>
  <c r="E531" i="3"/>
  <c r="T6" i="3"/>
  <c r="E56" i="3"/>
  <c r="E42" i="3"/>
  <c r="E354" i="3"/>
  <c r="E360" i="3"/>
  <c r="E251" i="3"/>
  <c r="E284" i="3"/>
  <c r="E171" i="3"/>
  <c r="E373" i="3"/>
  <c r="E15" i="3"/>
  <c r="E45" i="3"/>
  <c r="E474" i="3"/>
  <c r="E392" i="3"/>
  <c r="E546" i="3"/>
  <c r="E320" i="3"/>
  <c r="E236" i="3"/>
  <c r="E216" i="3"/>
  <c r="AJ6" i="3"/>
  <c r="E183" i="3"/>
  <c r="E50" i="3"/>
  <c r="E396" i="3"/>
  <c r="E569" i="3"/>
  <c r="E286" i="3"/>
  <c r="E353" i="3"/>
  <c r="E325" i="3"/>
  <c r="E456" i="3"/>
  <c r="E489" i="3"/>
  <c r="K6" i="3"/>
  <c r="E334" i="3"/>
  <c r="E538" i="3"/>
  <c r="E499" i="3"/>
  <c r="E530" i="3"/>
  <c r="E355" i="3"/>
  <c r="E176" i="3"/>
  <c r="E128" i="3"/>
  <c r="E234" i="3"/>
  <c r="E239" i="3"/>
  <c r="AI6" i="3"/>
  <c r="E134" i="3"/>
  <c r="E540" i="3"/>
  <c r="E477" i="3"/>
  <c r="E526" i="3"/>
  <c r="E370" i="3"/>
  <c r="E276" i="3"/>
  <c r="E43" i="3"/>
  <c r="E255" i="3"/>
  <c r="E402" i="3"/>
  <c r="E111" i="3"/>
  <c r="E293" i="3"/>
  <c r="E148" i="3"/>
  <c r="E410" i="3"/>
  <c r="E253" i="3"/>
  <c r="E209" i="3"/>
  <c r="D104" i="46"/>
  <c r="H104" i="46"/>
  <c r="H105" i="46"/>
  <c r="N102" i="46"/>
  <c r="I104" i="46"/>
  <c r="D109" i="46"/>
  <c r="H106" i="46"/>
  <c r="D102" i="46"/>
  <c r="H109" i="46"/>
  <c r="H107" i="46"/>
  <c r="D107" i="46"/>
  <c r="I106" i="46"/>
  <c r="K20" i="6"/>
  <c r="K25" i="6"/>
  <c r="M25" i="6" s="1"/>
  <c r="I25" i="6" s="1"/>
  <c r="K19" i="6"/>
  <c r="K24" i="6"/>
  <c r="M24" i="6" s="1"/>
  <c r="I24" i="6" s="1"/>
  <c r="F103" i="46"/>
  <c r="F102" i="46"/>
  <c r="E319" i="3"/>
  <c r="E502" i="3"/>
  <c r="E525" i="3"/>
  <c r="E324" i="3"/>
  <c r="E491" i="3"/>
  <c r="E314" i="3"/>
  <c r="E554" i="3"/>
  <c r="E228" i="3"/>
  <c r="E150" i="3"/>
  <c r="E559" i="3"/>
  <c r="E362" i="3"/>
  <c r="E40" i="3"/>
  <c r="E331" i="3"/>
  <c r="AF6" i="3"/>
  <c r="E440" i="3"/>
  <c r="E290" i="3"/>
  <c r="E72" i="3"/>
  <c r="E281" i="3"/>
  <c r="E345" i="3"/>
  <c r="E198" i="3"/>
  <c r="E513" i="3"/>
  <c r="E51" i="3"/>
  <c r="E65" i="3"/>
  <c r="E466" i="3"/>
  <c r="AR6" i="3"/>
  <c r="Y6" i="3"/>
  <c r="E336" i="3"/>
  <c r="E211" i="3"/>
  <c r="E248" i="3"/>
  <c r="E126" i="3"/>
  <c r="E365" i="3"/>
  <c r="E73" i="3"/>
  <c r="E393" i="3"/>
  <c r="E288" i="3"/>
  <c r="E107" i="3"/>
  <c r="E39" i="3"/>
  <c r="E233" i="3"/>
  <c r="E420" i="3"/>
  <c r="E190" i="3"/>
  <c r="E469" i="3"/>
  <c r="E27" i="3"/>
  <c r="E185" i="3"/>
  <c r="E468" i="3"/>
  <c r="E142" i="3"/>
  <c r="E54" i="3"/>
  <c r="E59" i="3"/>
  <c r="F106" i="46"/>
  <c r="F107" i="46"/>
  <c r="Q16" i="1"/>
  <c r="E271" i="3"/>
  <c r="E379" i="3"/>
  <c r="E188" i="3"/>
  <c r="E555" i="3"/>
  <c r="E24" i="3"/>
  <c r="E300" i="3"/>
  <c r="E287" i="3"/>
  <c r="E191" i="3"/>
  <c r="E76" i="3"/>
  <c r="E529" i="3"/>
  <c r="E386" i="3"/>
  <c r="E120" i="3"/>
  <c r="E66" i="3"/>
  <c r="E433" i="3"/>
  <c r="E302" i="3"/>
  <c r="E229" i="3"/>
  <c r="E123" i="3"/>
  <c r="E61" i="3"/>
  <c r="E419" i="3"/>
  <c r="E235" i="3"/>
  <c r="E224" i="3"/>
  <c r="E285" i="3"/>
  <c r="E505" i="3"/>
  <c r="E162" i="3"/>
  <c r="E121" i="3"/>
  <c r="E197" i="3"/>
  <c r="AG6" i="3"/>
  <c r="AQ6" i="3"/>
  <c r="E74" i="3"/>
  <c r="E58" i="3"/>
  <c r="E105" i="3"/>
  <c r="E453" i="3"/>
  <c r="E448" i="3"/>
  <c r="E400" i="3"/>
  <c r="V6" i="3"/>
  <c r="E517" i="3"/>
  <c r="E309" i="3"/>
  <c r="E347" i="3"/>
  <c r="E369" i="3"/>
  <c r="E220" i="3"/>
  <c r="E243" i="3"/>
  <c r="E279" i="3"/>
  <c r="E264" i="3"/>
  <c r="E480" i="3"/>
  <c r="E154" i="3"/>
  <c r="E145" i="3"/>
  <c r="E543" i="3"/>
  <c r="E88" i="3"/>
  <c r="E465" i="3"/>
  <c r="E486" i="3"/>
  <c r="E372" i="3"/>
  <c r="E214" i="3"/>
  <c r="E116" i="3"/>
  <c r="E67" i="3"/>
  <c r="E429" i="3"/>
  <c r="E467" i="3"/>
  <c r="L6" i="3"/>
  <c r="E275" i="3"/>
  <c r="E303" i="3"/>
  <c r="E507" i="3"/>
  <c r="E37" i="3"/>
  <c r="E189" i="3"/>
  <c r="E533" i="3"/>
  <c r="W6" i="3"/>
  <c r="E405" i="3"/>
  <c r="E53" i="3"/>
  <c r="E313" i="3"/>
  <c r="E151" i="3"/>
  <c r="E38" i="3"/>
  <c r="E70" i="3"/>
  <c r="E431" i="3"/>
  <c r="AP6" i="3"/>
  <c r="E84" i="3"/>
  <c r="E452" i="3"/>
  <c r="E537" i="3"/>
  <c r="E472" i="3"/>
  <c r="E450" i="3"/>
  <c r="E464" i="3"/>
  <c r="AN6" i="3"/>
  <c r="E30" i="6"/>
  <c r="E31" i="6" s="1"/>
  <c r="L19" i="6"/>
  <c r="L27" i="6" s="1"/>
  <c r="M20" i="6"/>
  <c r="I20" i="6" s="1"/>
  <c r="E449" i="3"/>
  <c r="E527" i="3"/>
  <c r="E479" i="3"/>
  <c r="E305" i="3"/>
  <c r="E207" i="3"/>
  <c r="E291" i="3"/>
  <c r="E258" i="3"/>
  <c r="U6" i="3"/>
  <c r="E204" i="3"/>
  <c r="E556" i="3"/>
  <c r="E25" i="3"/>
  <c r="E451" i="3"/>
  <c r="O6" i="3"/>
  <c r="E445" i="3"/>
  <c r="E102" i="3"/>
  <c r="E52" i="3"/>
  <c r="E166" i="3"/>
  <c r="E139" i="3"/>
  <c r="E272" i="3"/>
  <c r="E245" i="3"/>
  <c r="E257" i="3"/>
  <c r="E332" i="3"/>
  <c r="E401" i="3"/>
  <c r="E539" i="3"/>
  <c r="E425" i="3"/>
  <c r="E85" i="3"/>
  <c r="E79" i="3"/>
  <c r="E568" i="3"/>
  <c r="E113" i="3"/>
  <c r="E136" i="3"/>
  <c r="E363" i="3"/>
  <c r="E232" i="3"/>
  <c r="E398" i="3"/>
  <c r="N6" i="3"/>
  <c r="E422" i="3"/>
  <c r="E473" i="3"/>
  <c r="E98" i="3"/>
  <c r="E482" i="3"/>
  <c r="E129" i="3"/>
  <c r="E184" i="3"/>
  <c r="E174" i="3"/>
  <c r="E545" i="3"/>
  <c r="E63" i="3"/>
  <c r="E47" i="3"/>
  <c r="E110" i="3"/>
  <c r="E462" i="3"/>
  <c r="E442" i="3"/>
  <c r="E397" i="3"/>
  <c r="E218" i="3"/>
  <c r="E536" i="3"/>
  <c r="E490" i="3"/>
  <c r="E435" i="3"/>
  <c r="E423" i="3"/>
  <c r="E199" i="3"/>
  <c r="E225" i="3"/>
  <c r="E187" i="3"/>
  <c r="E161" i="3"/>
  <c r="E157" i="3"/>
  <c r="E270" i="3"/>
  <c r="E280" i="3"/>
  <c r="E395" i="3"/>
  <c r="E343" i="3"/>
  <c r="P6" i="3"/>
  <c r="E140" i="3"/>
  <c r="AH6" i="3"/>
  <c r="E64" i="3"/>
  <c r="E125" i="3"/>
  <c r="E21" i="3"/>
  <c r="R6" i="3"/>
  <c r="E294" i="3"/>
  <c r="E387" i="3"/>
  <c r="E376" i="3"/>
  <c r="E534" i="3"/>
  <c r="E202" i="3"/>
  <c r="E44" i="3"/>
  <c r="E414" i="3"/>
  <c r="E238" i="3"/>
  <c r="E92" i="3"/>
  <c r="E408" i="3"/>
  <c r="E418" i="3"/>
  <c r="E471" i="3"/>
  <c r="E41" i="3"/>
  <c r="E250" i="3"/>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F30" i="6"/>
  <c r="BL13" i="3"/>
  <c r="C18" i="9"/>
  <c r="D18" i="9" s="1"/>
  <c r="M44" i="9" s="1"/>
  <c r="U43" i="21"/>
  <c r="F11" i="21"/>
  <c r="H11" i="21"/>
  <c r="F69" i="21"/>
  <c r="G69" i="21" s="1"/>
  <c r="H69" i="21" s="1"/>
  <c r="I69" i="21" s="1"/>
  <c r="J69" i="21" s="1"/>
  <c r="K69" i="21" s="1"/>
  <c r="L69" i="21" s="1"/>
  <c r="M69" i="21" s="1"/>
  <c r="J11" i="21"/>
  <c r="AA40" i="21"/>
  <c r="AC40" i="21"/>
  <c r="U40" i="21"/>
  <c r="F85" i="21"/>
  <c r="G85" i="21" s="1"/>
  <c r="J23" i="21"/>
  <c r="W23" i="21" s="1"/>
  <c r="H23" i="21"/>
  <c r="F23" i="21"/>
  <c r="AC23" i="21"/>
  <c r="S21" i="21"/>
  <c r="F19" i="21"/>
  <c r="AA19" i="21" s="1"/>
  <c r="J19" i="21"/>
  <c r="W19" i="21" s="1"/>
  <c r="F81" i="21"/>
  <c r="G81" i="21" s="1"/>
  <c r="H19" i="21"/>
  <c r="AB19" i="21" s="1"/>
  <c r="S19" i="21"/>
  <c r="F79" i="21"/>
  <c r="G79" i="21" s="1"/>
  <c r="F17" i="21"/>
  <c r="J17" i="21"/>
  <c r="AC17" i="21" s="1"/>
  <c r="H17" i="21"/>
  <c r="AB17" i="21" s="1"/>
  <c r="W17" i="21"/>
  <c r="U17" i="21"/>
  <c r="F77" i="21"/>
  <c r="G77" i="21" s="1"/>
  <c r="J15" i="21"/>
  <c r="F15" i="21"/>
  <c r="S15" i="21" s="1"/>
  <c r="H15" i="21"/>
  <c r="AA15" i="21"/>
  <c r="A30" i="64"/>
  <c r="A30" i="51"/>
  <c r="B22" i="63" s="1"/>
  <c r="J106" i="46"/>
  <c r="M7" i="70"/>
  <c r="J6" i="70" s="1"/>
  <c r="J18" i="70" s="1"/>
  <c r="F49" i="70"/>
  <c r="C48" i="70" s="1"/>
  <c r="C6" i="70"/>
  <c r="F70" i="70"/>
  <c r="K21" i="6"/>
  <c r="M21" i="6" s="1"/>
  <c r="I21" i="6" s="1"/>
  <c r="K23" i="6"/>
  <c r="M23" i="6" s="1"/>
  <c r="I23" i="6" s="1"/>
  <c r="K22" i="6"/>
  <c r="M22" i="6" s="1"/>
  <c r="I22" i="6" s="1"/>
  <c r="K26" i="6"/>
  <c r="M26" i="6" s="1"/>
  <c r="I26" i="6" s="1"/>
  <c r="S26" i="6" s="1"/>
  <c r="M8" i="1"/>
  <c r="U42" i="21"/>
  <c r="F123" i="21"/>
  <c r="G123" i="21" s="1"/>
  <c r="H123" i="21" s="1"/>
  <c r="I123" i="21" s="1"/>
  <c r="J123" i="21" s="1"/>
  <c r="K123" i="21" s="1"/>
  <c r="L123" i="21" s="1"/>
  <c r="M123" i="21" s="1"/>
  <c r="J42" i="21"/>
  <c r="AC42" i="21" s="1"/>
  <c r="F42" i="21"/>
  <c r="AA42" i="21" s="1"/>
  <c r="W42" i="21"/>
  <c r="F34" i="70"/>
  <c r="M20" i="70"/>
  <c r="F34" i="15"/>
  <c r="F61" i="15" s="1"/>
  <c r="G17" i="46"/>
  <c r="C16" i="46" s="1"/>
  <c r="D5" i="46" s="1"/>
  <c r="U9" i="21"/>
  <c r="S42" i="21"/>
  <c r="AB36" i="21"/>
  <c r="U35" i="21"/>
  <c r="S35" i="21"/>
  <c r="AC35" i="21"/>
  <c r="AC34" i="21"/>
  <c r="W32" i="21"/>
  <c r="AB10" i="21"/>
  <c r="W9" i="21"/>
  <c r="W8" i="21"/>
  <c r="AA9" i="21"/>
  <c r="D23" i="15"/>
  <c r="C102" i="46"/>
  <c r="S2" i="46" s="1"/>
  <c r="M19" i="6"/>
  <c r="I19" i="6" s="1"/>
  <c r="S19" i="6" s="1"/>
  <c r="J109" i="46"/>
  <c r="J105" i="46"/>
  <c r="S4" i="46"/>
  <c r="C105" i="46"/>
  <c r="C107" i="46"/>
  <c r="J104" i="46"/>
  <c r="G107" i="46"/>
  <c r="G106" i="46"/>
  <c r="D118" i="46"/>
  <c r="E118" i="46" s="1"/>
  <c r="F118" i="46" s="1"/>
  <c r="B115" i="46"/>
  <c r="C115" i="46" s="1"/>
  <c r="L103" i="46"/>
  <c r="L106" i="46"/>
  <c r="E107" i="46"/>
  <c r="E106" i="46"/>
  <c r="K106" i="46"/>
  <c r="I107" i="46"/>
  <c r="N106" i="46"/>
  <c r="N107" i="46"/>
  <c r="S6" i="1"/>
  <c r="S7" i="1"/>
  <c r="H16" i="1"/>
  <c r="K16" i="1"/>
  <c r="M107" i="46"/>
  <c r="M102" i="46"/>
  <c r="M105" i="46"/>
  <c r="BL5" i="3"/>
  <c r="AZ13" i="3"/>
  <c r="AZ5" i="3" s="1"/>
  <c r="E53" i="40"/>
  <c r="E58" i="39"/>
  <c r="F27" i="6"/>
  <c r="F31" i="6" s="1"/>
  <c r="E14" i="6"/>
  <c r="E61" i="40" s="1"/>
  <c r="E13" i="6"/>
  <c r="E10" i="6"/>
  <c r="E15" i="6"/>
  <c r="E12" i="6"/>
  <c r="E59" i="40" s="1"/>
  <c r="E11" i="6"/>
  <c r="E63" i="39" s="1"/>
  <c r="E66" i="39"/>
  <c r="O14" i="1"/>
  <c r="P14" i="1" s="1"/>
  <c r="E109" i="46"/>
  <c r="G109" i="46"/>
  <c r="G105" i="46"/>
  <c r="G102" i="46"/>
  <c r="B118" i="46"/>
  <c r="C118" i="46" s="1"/>
  <c r="B117" i="46"/>
  <c r="C117"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I105" i="46"/>
  <c r="N103" i="46"/>
  <c r="N109" i="46"/>
  <c r="N104" i="46"/>
  <c r="I109" i="46"/>
  <c r="M104" i="46"/>
  <c r="M109" i="46"/>
  <c r="M103" i="46"/>
  <c r="D21" i="12"/>
  <c r="C21" i="12" s="1"/>
  <c r="S25" i="6"/>
  <c r="S22" i="6"/>
  <c r="S20" i="6"/>
  <c r="O10" i="1"/>
  <c r="P10" i="1" s="1"/>
  <c r="O9" i="1"/>
  <c r="P9" i="1" s="1"/>
  <c r="O8" i="1"/>
  <c r="P8" i="1" s="1"/>
  <c r="O12" i="1"/>
  <c r="P12" i="1" s="1"/>
  <c r="S21" i="6"/>
  <c r="S23" i="6"/>
  <c r="S24" i="6"/>
  <c r="O6" i="1"/>
  <c r="P6" i="1" s="1"/>
  <c r="C15" i="12" s="1"/>
  <c r="M16" i="1"/>
  <c r="O7" i="1"/>
  <c r="P7" i="1" s="1"/>
  <c r="O11" i="1"/>
  <c r="P11" i="1" s="1"/>
  <c r="O13" i="1"/>
  <c r="P13" i="1" s="1"/>
  <c r="C5" i="46"/>
  <c r="AC47" i="39"/>
  <c r="S16" i="39"/>
  <c r="W15" i="39"/>
  <c r="W44" i="21"/>
  <c r="S44" i="21"/>
  <c r="AB44" i="21"/>
  <c r="S46" i="21"/>
  <c r="S6" i="46"/>
  <c r="C106" i="46"/>
  <c r="C103" i="46"/>
  <c r="C104" i="46"/>
  <c r="J103" i="46"/>
  <c r="J102" i="46"/>
  <c r="A18" i="51"/>
  <c r="B14" i="63" s="1"/>
  <c r="L5" i="54"/>
  <c r="B39" i="63" s="1"/>
  <c r="K5" i="54"/>
  <c r="A18" i="64"/>
  <c r="B74" i="63" s="1"/>
  <c r="C53" i="10"/>
  <c r="A25" i="64" s="1"/>
  <c r="T41" i="4"/>
  <c r="A17" i="64" s="1"/>
  <c r="A11" i="55"/>
  <c r="B62" i="63" s="1"/>
  <c r="A25" i="51"/>
  <c r="B18" i="63" s="1"/>
  <c r="A2" i="55"/>
  <c r="B55" i="63" s="1"/>
  <c r="L16" i="4"/>
  <c r="G10" i="1"/>
  <c r="G9" i="1"/>
  <c r="G7" i="1"/>
  <c r="K17" i="4"/>
  <c r="A22" i="51" s="1"/>
  <c r="B16" i="63" s="1"/>
  <c r="G6" i="1"/>
  <c r="AP16" i="1"/>
  <c r="F22" i="11" s="1"/>
  <c r="N4" i="63"/>
  <c r="O41" i="9"/>
  <c r="R8" i="54" s="1"/>
  <c r="B54" i="63" s="1"/>
  <c r="I14" i="66"/>
  <c r="B8" i="66" s="1"/>
  <c r="K76" i="9"/>
  <c r="K77" i="9" s="1"/>
  <c r="K79" i="9" s="1"/>
  <c r="K81" i="9" s="1"/>
  <c r="N65" i="40"/>
  <c r="N67" i="40" s="1"/>
  <c r="M67" i="40"/>
  <c r="M48" i="35"/>
  <c r="N48" i="35" s="1"/>
  <c r="O48" i="35" s="1"/>
  <c r="F9" i="40"/>
  <c r="S9" i="40" s="1"/>
  <c r="J9" i="40"/>
  <c r="AC9" i="40" s="1"/>
  <c r="V44" i="40" s="1"/>
  <c r="I44" i="40" s="1"/>
  <c r="I48" i="40" s="1"/>
  <c r="J48" i="40" s="1"/>
  <c r="H9" i="40"/>
  <c r="U9" i="40" s="1"/>
  <c r="F9" i="39"/>
  <c r="S9" i="39" s="1"/>
  <c r="H9" i="39"/>
  <c r="U9" i="39" s="1"/>
  <c r="J9" i="39"/>
  <c r="W9" i="39" s="1"/>
  <c r="O52" i="37"/>
  <c r="F7" i="37"/>
  <c r="J7" i="37"/>
  <c r="H7" i="37"/>
  <c r="I46" i="36"/>
  <c r="G58" i="33"/>
  <c r="H58" i="33" s="1"/>
  <c r="I58" i="33" s="1"/>
  <c r="J58" i="33" s="1"/>
  <c r="K58" i="33" s="1"/>
  <c r="L58" i="33" s="1"/>
  <c r="M58" i="33" s="1"/>
  <c r="N58" i="33" s="1"/>
  <c r="O58" i="33" s="1"/>
  <c r="F7" i="33"/>
  <c r="F58" i="21"/>
  <c r="G58" i="21" s="1"/>
  <c r="H58" i="21" s="1"/>
  <c r="I58" i="21" s="1"/>
  <c r="J58" i="21" s="1"/>
  <c r="K58" i="21" s="1"/>
  <c r="L58" i="21" s="1"/>
  <c r="M58" i="21" s="1"/>
  <c r="N58" i="21" s="1"/>
  <c r="O58" i="21" s="1"/>
  <c r="H7" i="21"/>
  <c r="F7" i="21"/>
  <c r="D59" i="34"/>
  <c r="E59" i="34" s="1"/>
  <c r="F59" i="34" s="1"/>
  <c r="G59" i="34" s="1"/>
  <c r="H59" i="34" s="1"/>
  <c r="I59" i="34" s="1"/>
  <c r="J59" i="34" s="1"/>
  <c r="K59" i="34" s="1"/>
  <c r="L59" i="34" s="1"/>
  <c r="M59" i="34" s="1"/>
  <c r="N59" i="34" s="1"/>
  <c r="O59" i="34" s="1"/>
  <c r="J7" i="33"/>
  <c r="J7" i="21"/>
  <c r="C18" i="11"/>
  <c r="E12" i="52"/>
  <c r="B15" i="52"/>
  <c r="F31" i="15"/>
  <c r="F33" i="44"/>
  <c r="D6" i="59"/>
  <c r="C5" i="59"/>
  <c r="D5" i="59" s="1"/>
  <c r="E7" i="59"/>
  <c r="E6" i="59" s="1"/>
  <c r="E5" i="59" s="1"/>
  <c r="B7" i="59"/>
  <c r="B6" i="59" s="1"/>
  <c r="B5" i="59" s="1"/>
  <c r="X6" i="59"/>
  <c r="Y6" i="59"/>
  <c r="Z6"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7" i="59"/>
  <c r="AA7" i="59"/>
  <c r="D7" i="59"/>
  <c r="Y7" i="59"/>
  <c r="Z7" i="59" s="1"/>
  <c r="AA9" i="40"/>
  <c r="R44" i="40" s="1"/>
  <c r="R45" i="40" s="1"/>
  <c r="P22" i="46"/>
  <c r="P24" i="46"/>
  <c r="B68" i="40" s="1"/>
  <c r="P23" i="46"/>
  <c r="P25" i="46"/>
  <c r="B73" i="39" s="1"/>
  <c r="P21" i="46"/>
  <c r="AB9" i="40"/>
  <c r="T44" i="40" s="1"/>
  <c r="G44" i="40" s="1"/>
  <c r="W9" i="40"/>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C16" i="70"/>
  <c r="C18" i="44"/>
  <c r="C16" i="15"/>
  <c r="E2" i="65"/>
  <c r="C17" i="15"/>
  <c r="E3" i="65"/>
  <c r="AC19" i="21" l="1"/>
  <c r="U19" i="21"/>
  <c r="H6" i="3"/>
  <c r="AC6" i="3"/>
  <c r="E58" i="40"/>
  <c r="F33" i="12"/>
  <c r="C34" i="12" s="1"/>
  <c r="D33" i="12" s="1"/>
  <c r="F24" i="43"/>
  <c r="C26" i="43" s="1"/>
  <c r="D24" i="43" s="1"/>
  <c r="E16" i="6"/>
  <c r="M43" i="9"/>
  <c r="W11" i="21"/>
  <c r="AC11" i="21"/>
  <c r="U11" i="21"/>
  <c r="AB11" i="21"/>
  <c r="S11" i="21"/>
  <c r="AA11" i="21"/>
  <c r="S23" i="21"/>
  <c r="AA23" i="21"/>
  <c r="U23" i="21"/>
  <c r="AB23" i="21"/>
  <c r="S17" i="21"/>
  <c r="AA17" i="21"/>
  <c r="U15" i="21"/>
  <c r="AB15" i="21"/>
  <c r="AC15" i="21"/>
  <c r="W15" i="21"/>
  <c r="S3" i="46"/>
  <c r="S8" i="1"/>
  <c r="S16" i="1" s="1"/>
  <c r="M27" i="6"/>
  <c r="K27" i="6"/>
  <c r="C33" i="70"/>
  <c r="C32" i="70"/>
  <c r="F61" i="70"/>
  <c r="M11" i="70"/>
  <c r="J10" i="70" s="1"/>
  <c r="J5" i="70" s="1"/>
  <c r="F11" i="70"/>
  <c r="G16" i="1"/>
  <c r="J12" i="40" s="1"/>
  <c r="E64" i="39"/>
  <c r="S5" i="46"/>
  <c r="S7" i="46"/>
  <c r="I27" i="6"/>
  <c r="AY6" i="3"/>
  <c r="E3" i="6"/>
  <c r="E62" i="40"/>
  <c r="E67" i="39"/>
  <c r="E60" i="40"/>
  <c r="E65" i="39"/>
  <c r="O16" i="1"/>
  <c r="L16" i="1"/>
  <c r="C13" i="43"/>
  <c r="N16" i="1"/>
  <c r="C29" i="43" s="1"/>
  <c r="P16" i="1"/>
  <c r="C13" i="12" s="1"/>
  <c r="AB9" i="39"/>
  <c r="AA9" i="39"/>
  <c r="AC9" i="39"/>
  <c r="D113" i="46"/>
  <c r="A17" i="51"/>
  <c r="B13" i="63" s="1"/>
  <c r="B38" i="63"/>
  <c r="A3" i="55"/>
  <c r="B56" i="63" s="1"/>
  <c r="E44" i="40"/>
  <c r="I49" i="40" s="1"/>
  <c r="J49" i="40" s="1"/>
  <c r="AC7" i="21"/>
  <c r="W7" i="21"/>
  <c r="J7" i="34"/>
  <c r="F7" i="34"/>
  <c r="AA7" i="21"/>
  <c r="R48" i="21" s="1"/>
  <c r="S7" i="21"/>
  <c r="H7" i="33"/>
  <c r="J46" i="36"/>
  <c r="U7" i="37"/>
  <c r="AB7" i="37"/>
  <c r="T42" i="37" s="1"/>
  <c r="G42" i="37" s="1"/>
  <c r="AA7" i="37"/>
  <c r="R42" i="37" s="1"/>
  <c r="S7" i="37"/>
  <c r="F7" i="35"/>
  <c r="H7" i="35"/>
  <c r="AC7" i="33"/>
  <c r="V48" i="33" s="1"/>
  <c r="I48" i="33" s="1"/>
  <c r="W7" i="33"/>
  <c r="H7" i="34"/>
  <c r="AB7" i="21"/>
  <c r="U7" i="21"/>
  <c r="AA7" i="33"/>
  <c r="R48" i="33" s="1"/>
  <c r="S7" i="33"/>
  <c r="AC7" i="37"/>
  <c r="V42" i="37" s="1"/>
  <c r="I42" i="37" s="1"/>
  <c r="W7" i="37"/>
  <c r="J7" i="35"/>
  <c r="M19" i="44"/>
  <c r="M20" i="46"/>
  <c r="C19" i="46"/>
  <c r="C34" i="46" s="1"/>
  <c r="G48" i="40"/>
  <c r="H48" i="40" s="1"/>
  <c r="G49" i="40"/>
  <c r="H49" i="40" s="1"/>
  <c r="C44" i="40"/>
  <c r="C45" i="40"/>
  <c r="B40" i="1"/>
  <c r="F24" i="70"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F41" i="70"/>
  <c r="AE7" i="1"/>
  <c r="C17" i="70"/>
  <c r="T48" i="21" l="1"/>
  <c r="G48" i="21" s="1"/>
  <c r="E6" i="3"/>
  <c r="V48" i="21"/>
  <c r="I48" i="21" s="1"/>
  <c r="I52" i="21" s="1"/>
  <c r="J52" i="21" s="1"/>
  <c r="T9" i="1"/>
  <c r="T8" i="1"/>
  <c r="T11" i="1"/>
  <c r="T6" i="1"/>
  <c r="T12" i="1"/>
  <c r="T10" i="1"/>
  <c r="T13" i="1"/>
  <c r="T7" i="1"/>
  <c r="F68" i="70"/>
  <c r="C24" i="70"/>
  <c r="J24" i="70"/>
  <c r="J26" i="70"/>
  <c r="J29" i="70" s="1"/>
  <c r="C52" i="70"/>
  <c r="C47" i="70" s="1"/>
  <c r="C10" i="70"/>
  <c r="C5" i="70" s="1"/>
  <c r="AC12" i="40"/>
  <c r="W12" i="40"/>
  <c r="H12" i="39"/>
  <c r="H12" i="40"/>
  <c r="AB12" i="40" s="1"/>
  <c r="F12" i="39"/>
  <c r="S12" i="39" s="1"/>
  <c r="J12" i="39"/>
  <c r="W12" i="39" s="1"/>
  <c r="F12" i="40"/>
  <c r="AA12" i="40" s="1"/>
  <c r="AC12" i="39"/>
  <c r="E68" i="39"/>
  <c r="U12" i="40"/>
  <c r="E48" i="40"/>
  <c r="F48" i="40" s="1"/>
  <c r="D16" i="43"/>
  <c r="C16" i="43" s="1"/>
  <c r="L38" i="9"/>
  <c r="B14" i="66" s="1"/>
  <c r="B1" i="66" s="1"/>
  <c r="D16" i="12"/>
  <c r="D45" i="9"/>
  <c r="C21" i="4"/>
  <c r="O5" i="54" s="1"/>
  <c r="B45" i="63" s="1"/>
  <c r="S27" i="6"/>
  <c r="D46" i="9"/>
  <c r="E6" i="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82" i="3"/>
  <c r="AY41" i="3"/>
  <c r="AY128" i="3"/>
  <c r="AY504" i="3"/>
  <c r="AY182" i="3"/>
  <c r="AY175" i="3"/>
  <c r="AY264" i="3"/>
  <c r="AY467" i="3"/>
  <c r="AY479" i="3"/>
  <c r="AY139" i="3"/>
  <c r="AY364" i="3"/>
  <c r="AY70" i="3"/>
  <c r="AY238" i="3"/>
  <c r="BK6" i="3"/>
  <c r="AY115" i="3"/>
  <c r="AY435" i="3"/>
  <c r="AY230" i="3"/>
  <c r="AY13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D3" i="6"/>
  <c r="AY37" i="3"/>
  <c r="AY203" i="3"/>
  <c r="AY95" i="3"/>
  <c r="AY83" i="3"/>
  <c r="AY45" i="3"/>
  <c r="AY277" i="3"/>
  <c r="AY384" i="3"/>
  <c r="AY425" i="3"/>
  <c r="AY202" i="3"/>
  <c r="AY286" i="3"/>
  <c r="AY398" i="3"/>
  <c r="AY169" i="3"/>
  <c r="AY348" i="3"/>
  <c r="AY72" i="3"/>
  <c r="AY241" i="3"/>
  <c r="AY30" i="3"/>
  <c r="AY542"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90" i="3"/>
  <c r="AY440" i="3"/>
  <c r="AY235" i="3"/>
  <c r="AY195" i="3"/>
  <c r="AY401" i="3"/>
  <c r="AY495" i="3"/>
  <c r="AY267" i="3"/>
  <c r="AY363" i="3"/>
  <c r="AY545" i="3"/>
  <c r="AY339" i="3"/>
  <c r="AY433" i="3"/>
  <c r="AY547" i="3"/>
  <c r="AY455" i="3"/>
  <c r="AY213"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108" i="3"/>
  <c r="AY240" i="3"/>
  <c r="AY60" i="3"/>
  <c r="AY475" i="3"/>
  <c r="AY40" i="3"/>
  <c r="AY281" i="3"/>
  <c r="AY322" i="3"/>
  <c r="AY395" i="3"/>
  <c r="AY189" i="3"/>
  <c r="AY393" i="3"/>
  <c r="BO6" i="3"/>
  <c r="AY490" i="3"/>
  <c r="AY210" i="3"/>
  <c r="AY297"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E49" i="40"/>
  <c r="F49" i="40" s="1"/>
  <c r="V49" i="39"/>
  <c r="I49" i="39" s="1"/>
  <c r="I53" i="39" s="1"/>
  <c r="J53" i="39" s="1"/>
  <c r="C17" i="12"/>
  <c r="C14" i="12"/>
  <c r="C14" i="43"/>
  <c r="C17" i="43"/>
  <c r="S12" i="40"/>
  <c r="AB7" i="34"/>
  <c r="T49" i="34" s="1"/>
  <c r="G49" i="34" s="1"/>
  <c r="U7" i="34"/>
  <c r="I52" i="33"/>
  <c r="J52" i="33" s="1"/>
  <c r="AA7" i="35"/>
  <c r="R38" i="35" s="1"/>
  <c r="S7" i="35"/>
  <c r="R43" i="37"/>
  <c r="E42" i="37"/>
  <c r="K46" i="36"/>
  <c r="AA7" i="34"/>
  <c r="R49" i="34" s="1"/>
  <c r="S7" i="34"/>
  <c r="AC7" i="35"/>
  <c r="V38" i="35" s="1"/>
  <c r="I38" i="35" s="1"/>
  <c r="W7" i="35"/>
  <c r="I46" i="37"/>
  <c r="J46" i="37" s="1"/>
  <c r="I47" i="37"/>
  <c r="J47" i="37" s="1"/>
  <c r="R49" i="33"/>
  <c r="E48" i="33"/>
  <c r="I53" i="33" s="1"/>
  <c r="J53" i="33" s="1"/>
  <c r="G52" i="21"/>
  <c r="H52" i="21" s="1"/>
  <c r="U7" i="35"/>
  <c r="AB7" i="35"/>
  <c r="T38" i="35" s="1"/>
  <c r="G38" i="35" s="1"/>
  <c r="G46" i="37"/>
  <c r="H46" i="37" s="1"/>
  <c r="G47" i="37"/>
  <c r="H47" i="37" s="1"/>
  <c r="U7" i="33"/>
  <c r="AB7" i="33"/>
  <c r="T48" i="33" s="1"/>
  <c r="G48" i="33" s="1"/>
  <c r="E48" i="21"/>
  <c r="AC7" i="34"/>
  <c r="V49" i="34" s="1"/>
  <c r="I49" i="34" s="1"/>
  <c r="W7" i="34"/>
  <c r="T7" i="46"/>
  <c r="V7" i="46" s="1"/>
  <c r="T4" i="46"/>
  <c r="V4" i="46" s="1"/>
  <c r="T14" i="46"/>
  <c r="V14" i="46" s="1"/>
  <c r="C36" i="46"/>
  <c r="G36" i="46" s="1"/>
  <c r="I36" i="46" s="1"/>
  <c r="C29" i="46"/>
  <c r="C30" i="46" s="1"/>
  <c r="E30" i="46" s="1"/>
  <c r="T3" i="46"/>
  <c r="V3" i="46" s="1"/>
  <c r="C38" i="46"/>
  <c r="E38" i="46" s="1"/>
  <c r="C33" i="46"/>
  <c r="G33" i="46" s="1"/>
  <c r="I33" i="46" s="1"/>
  <c r="T16" i="46"/>
  <c r="V16" i="46" s="1"/>
  <c r="T10" i="46"/>
  <c r="V10" i="46" s="1"/>
  <c r="T8" i="46"/>
  <c r="V8" i="46" s="1"/>
  <c r="C39" i="46"/>
  <c r="E39" i="46" s="1"/>
  <c r="T9" i="46"/>
  <c r="V9" i="46" s="1"/>
  <c r="C35" i="46"/>
  <c r="E35" i="46" s="1"/>
  <c r="T13" i="46"/>
  <c r="V13" i="46" s="1"/>
  <c r="T5" i="46"/>
  <c r="V5" i="46" s="1"/>
  <c r="T11" i="46"/>
  <c r="V11" i="46" s="1"/>
  <c r="C37" i="46"/>
  <c r="E37" i="46" s="1"/>
  <c r="T15" i="46"/>
  <c r="V15" i="46" s="1"/>
  <c r="T2" i="46"/>
  <c r="V2" i="46" s="1"/>
  <c r="T12" i="46"/>
  <c r="V12" i="46" s="1"/>
  <c r="T6" i="46"/>
  <c r="V6" i="46" s="1"/>
  <c r="G38" i="46"/>
  <c r="I38" i="46" s="1"/>
  <c r="B55" i="40"/>
  <c r="F55" i="40" s="1"/>
  <c r="B57" i="40"/>
  <c r="F57" i="40" s="1"/>
  <c r="B56" i="40"/>
  <c r="F56" i="40" s="1"/>
  <c r="B61" i="40"/>
  <c r="F61" i="40" s="1"/>
  <c r="B59" i="40"/>
  <c r="F59" i="40" s="1"/>
  <c r="B62" i="40"/>
  <c r="F62" i="40" s="1"/>
  <c r="B53" i="40"/>
  <c r="F53" i="40" s="1"/>
  <c r="B60" i="40"/>
  <c r="F60" i="40" s="1"/>
  <c r="B58" i="40"/>
  <c r="F58" i="40" s="1"/>
  <c r="B54" i="40"/>
  <c r="F54" i="40"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C14" i="15"/>
  <c r="C14" i="70"/>
  <c r="C16" i="44"/>
  <c r="G53" i="21" l="1"/>
  <c r="H53" i="21" s="1"/>
  <c r="F68" i="15"/>
  <c r="I53" i="21"/>
  <c r="J53" i="21" s="1"/>
  <c r="R49" i="21"/>
  <c r="C48" i="21" s="1"/>
  <c r="C17" i="44"/>
  <c r="C20" i="44"/>
  <c r="C18" i="15"/>
  <c r="C15" i="15"/>
  <c r="C18" i="70"/>
  <c r="C15" i="70"/>
  <c r="T16" i="1"/>
  <c r="G39" i="46"/>
  <c r="I39" i="46" s="1"/>
  <c r="C38" i="70"/>
  <c r="C60" i="70"/>
  <c r="C59" i="70"/>
  <c r="C65" i="70"/>
  <c r="AA12" i="39"/>
  <c r="R49" i="39" s="1"/>
  <c r="AB12" i="39"/>
  <c r="T49" i="39" s="1"/>
  <c r="G49" i="39" s="1"/>
  <c r="G53" i="39" s="1"/>
  <c r="H53" i="39" s="1"/>
  <c r="U12" i="39"/>
  <c r="D22" i="12"/>
  <c r="C22" i="12" s="1"/>
  <c r="C20" i="12" s="1"/>
  <c r="D13" i="11"/>
  <c r="C13" i="11" s="1"/>
  <c r="C7" i="66"/>
  <c r="C8" i="66"/>
  <c r="E63" i="40"/>
  <c r="F63" i="40" s="1"/>
  <c r="B2" i="40" s="1"/>
  <c r="B5" i="40" s="1"/>
  <c r="D19" i="6"/>
  <c r="D25" i="6"/>
  <c r="D23" i="6"/>
  <c r="D28" i="6"/>
  <c r="D8" i="6"/>
  <c r="F45" i="9"/>
  <c r="D24" i="6"/>
  <c r="D22" i="6"/>
  <c r="D9" i="6"/>
  <c r="D29" i="6"/>
  <c r="F46" i="9"/>
  <c r="C22" i="4"/>
  <c r="D21" i="6"/>
  <c r="D10" i="6"/>
  <c r="D14" i="6"/>
  <c r="D20" i="6"/>
  <c r="E45" i="9"/>
  <c r="K38" i="9"/>
  <c r="C14" i="66" s="1"/>
  <c r="B2" i="66" s="1"/>
  <c r="D26" i="6"/>
  <c r="D12" i="6"/>
  <c r="D5" i="6"/>
  <c r="D15" i="6"/>
  <c r="E46" i="9"/>
  <c r="H25" i="6"/>
  <c r="H22" i="6"/>
  <c r="H26" i="6"/>
  <c r="H21" i="6"/>
  <c r="H23" i="6"/>
  <c r="H24" i="6"/>
  <c r="D13" i="6"/>
  <c r="D11" i="6"/>
  <c r="H20" i="6"/>
  <c r="R20" i="6" s="1"/>
  <c r="R7" i="1" s="1"/>
  <c r="H19" i="6"/>
  <c r="D6" i="6"/>
  <c r="D19" i="12"/>
  <c r="C19" i="12" s="1"/>
  <c r="C16" i="12"/>
  <c r="C18" i="12" s="1"/>
  <c r="C18" i="43"/>
  <c r="C19" i="43" s="1"/>
  <c r="C25" i="43" s="1"/>
  <c r="C24" i="43" s="1"/>
  <c r="E33" i="46"/>
  <c r="G35" i="46"/>
  <c r="I35" i="46" s="1"/>
  <c r="G37" i="46"/>
  <c r="I37" i="46" s="1"/>
  <c r="E36" i="46"/>
  <c r="I53" i="34"/>
  <c r="J53" i="34" s="1"/>
  <c r="C49" i="33"/>
  <c r="B3" i="33" s="1"/>
  <c r="B2" i="33" s="1"/>
  <c r="C48" i="33"/>
  <c r="I42" i="35"/>
  <c r="J42" i="35" s="1"/>
  <c r="R50" i="34"/>
  <c r="E49" i="34"/>
  <c r="E47" i="37"/>
  <c r="F47" i="37" s="1"/>
  <c r="E46" i="37"/>
  <c r="F46" i="37" s="1"/>
  <c r="E53" i="21"/>
  <c r="F53" i="21" s="1"/>
  <c r="E52" i="21"/>
  <c r="F52" i="21" s="1"/>
  <c r="G52" i="33"/>
  <c r="H52" i="33" s="1"/>
  <c r="G53" i="33"/>
  <c r="H53" i="33" s="1"/>
  <c r="G42" i="35"/>
  <c r="H42" i="35" s="1"/>
  <c r="G43" i="35"/>
  <c r="H43" i="35" s="1"/>
  <c r="E52" i="33"/>
  <c r="F52" i="33" s="1"/>
  <c r="E53" i="33"/>
  <c r="F53" i="33" s="1"/>
  <c r="L46" i="36"/>
  <c r="C43" i="37"/>
  <c r="B3" i="37" s="1"/>
  <c r="B2" i="37" s="1"/>
  <c r="C42" i="37"/>
  <c r="R39" i="35"/>
  <c r="E38" i="35"/>
  <c r="G53" i="34"/>
  <c r="H53" i="34" s="1"/>
  <c r="G54" i="34"/>
  <c r="H54" i="34" s="1"/>
  <c r="E29" i="46"/>
  <c r="C27" i="46"/>
  <c r="C65" i="15"/>
  <c r="C59" i="15"/>
  <c r="B5" i="11"/>
  <c r="B3" i="11"/>
  <c r="B4" i="11"/>
  <c r="C27" i="12"/>
  <c r="D26" i="12" s="1"/>
  <c r="C32" i="12" s="1"/>
  <c r="D30" i="12" s="1"/>
  <c r="J26" i="15"/>
  <c r="J29" i="15" s="1"/>
  <c r="J24" i="15"/>
  <c r="C38" i="15"/>
  <c r="Q58" i="44"/>
  <c r="Q67" i="44"/>
  <c r="Q49" i="44"/>
  <c r="Q55" i="44" s="1"/>
  <c r="F35" i="15"/>
  <c r="F7" i="67"/>
  <c r="M21" i="15"/>
  <c r="G54" i="39" l="1"/>
  <c r="H54" i="39" s="1"/>
  <c r="R50" i="39"/>
  <c r="C49" i="39" s="1"/>
  <c r="C21" i="44"/>
  <c r="C22" i="44" s="1"/>
  <c r="C49" i="21"/>
  <c r="B3" i="21" s="1"/>
  <c r="B2" i="21" s="1"/>
  <c r="C10" i="12" s="1"/>
  <c r="C19" i="70"/>
  <c r="C20" i="70" s="1"/>
  <c r="C26" i="70" s="1"/>
  <c r="C19" i="15"/>
  <c r="C20" i="15" s="1"/>
  <c r="C23" i="15" s="1"/>
  <c r="C28" i="44"/>
  <c r="H27" i="6"/>
  <c r="J20" i="15"/>
  <c r="F62" i="15"/>
  <c r="C61" i="15" s="1"/>
  <c r="C34" i="15"/>
  <c r="D30" i="6"/>
  <c r="D16" i="6"/>
  <c r="C8" i="12"/>
  <c r="B4" i="40"/>
  <c r="E49" i="39"/>
  <c r="I54" i="39" s="1"/>
  <c r="J54" i="39" s="1"/>
  <c r="B3" i="40"/>
  <c r="R22" i="6"/>
  <c r="C22" i="43"/>
  <c r="C21" i="43" s="1"/>
  <c r="C28" i="43" s="1"/>
  <c r="C30" i="43" s="1"/>
  <c r="C32" i="43" s="1"/>
  <c r="B2" i="43" s="1"/>
  <c r="B4" i="43" s="1"/>
  <c r="C23" i="12"/>
  <c r="R26" i="6"/>
  <c r="R21" i="6"/>
  <c r="R8" i="1" s="1"/>
  <c r="R24" i="6"/>
  <c r="R23" i="6"/>
  <c r="D27" i="6"/>
  <c r="R19" i="6"/>
  <c r="D7" i="66"/>
  <c r="D8" i="66"/>
  <c r="A20" i="64"/>
  <c r="A6" i="51"/>
  <c r="B7" i="63" s="1"/>
  <c r="A20" i="51"/>
  <c r="B15" i="63" s="1"/>
  <c r="A6" i="64"/>
  <c r="N5" i="54"/>
  <c r="B43" i="63" s="1"/>
  <c r="R25" i="6"/>
  <c r="J7" i="36"/>
  <c r="E43" i="35"/>
  <c r="F43" i="35" s="1"/>
  <c r="E42" i="35"/>
  <c r="F42" i="35" s="1"/>
  <c r="E54" i="34"/>
  <c r="F54" i="34" s="1"/>
  <c r="E53" i="34"/>
  <c r="F53" i="34" s="1"/>
  <c r="I43" i="35"/>
  <c r="J43" i="35" s="1"/>
  <c r="I54" i="34"/>
  <c r="J54" i="34" s="1"/>
  <c r="C38" i="35"/>
  <c r="C39" i="35"/>
  <c r="B3" i="35" s="1"/>
  <c r="B2" i="35" s="1"/>
  <c r="M46" i="36"/>
  <c r="N46" i="36" s="1"/>
  <c r="O46" i="36" s="1"/>
  <c r="F7" i="36"/>
  <c r="H7" i="36"/>
  <c r="C50" i="34"/>
  <c r="B3" i="34" s="1"/>
  <c r="B2" i="34" s="1"/>
  <c r="C49" i="34"/>
  <c r="E4" i="67"/>
  <c r="C26" i="46"/>
  <c r="B2" i="46" s="1"/>
  <c r="D77" i="9"/>
  <c r="N75" i="9" s="1"/>
  <c r="M21" i="70"/>
  <c r="E7" i="67"/>
  <c r="F35" i="70"/>
  <c r="B7" i="67"/>
  <c r="E53" i="39" l="1"/>
  <c r="F53" i="39" s="1"/>
  <c r="C50" i="39"/>
  <c r="B60" i="39" s="1"/>
  <c r="F60" i="39" s="1"/>
  <c r="C25" i="44"/>
  <c r="C31" i="44" s="1"/>
  <c r="C26" i="15"/>
  <c r="C29" i="15" s="1"/>
  <c r="D31" i="6"/>
  <c r="I5" i="6" s="1"/>
  <c r="C23" i="70"/>
  <c r="C29" i="70" s="1"/>
  <c r="J20" i="70"/>
  <c r="F62" i="70"/>
  <c r="C61" i="70" s="1"/>
  <c r="C58" i="70" s="1"/>
  <c r="C34" i="70"/>
  <c r="C31" i="70" s="1"/>
  <c r="E54" i="39"/>
  <c r="F54" i="39" s="1"/>
  <c r="B3" i="43"/>
  <c r="B5" i="43"/>
  <c r="R27" i="6"/>
  <c r="R6" i="1"/>
  <c r="R16" i="1" s="1"/>
  <c r="I6" i="6"/>
  <c r="AA7" i="36"/>
  <c r="R36" i="36" s="1"/>
  <c r="S7" i="36"/>
  <c r="AB7" i="36"/>
  <c r="T36" i="36" s="1"/>
  <c r="G36" i="36" s="1"/>
  <c r="U7" i="36"/>
  <c r="W7" i="36"/>
  <c r="AC7" i="36"/>
  <c r="V36" i="36" s="1"/>
  <c r="I36" i="36" s="1"/>
  <c r="E3" i="67"/>
  <c r="C33" i="15"/>
  <c r="C31" i="15" s="1"/>
  <c r="J59" i="15"/>
  <c r="J60" i="15" s="1"/>
  <c r="Q49" i="15" s="1"/>
  <c r="B2" i="67"/>
  <c r="D4" i="46"/>
  <c r="B3" i="46"/>
  <c r="B4" i="46"/>
  <c r="B58" i="39" l="1"/>
  <c r="F58" i="39" s="1"/>
  <c r="B59" i="39"/>
  <c r="F59" i="39" s="1"/>
  <c r="B65" i="39"/>
  <c r="F65" i="39" s="1"/>
  <c r="B62" i="39"/>
  <c r="F62" i="39" s="1"/>
  <c r="B64" i="39"/>
  <c r="F64" i="39" s="1"/>
  <c r="B61" i="39"/>
  <c r="F61" i="39" s="1"/>
  <c r="B63" i="39"/>
  <c r="F63" i="39" s="1"/>
  <c r="B66" i="39"/>
  <c r="F66" i="39" s="1"/>
  <c r="B67" i="39"/>
  <c r="F67" i="39" s="1"/>
  <c r="C15" i="44"/>
  <c r="J21" i="44"/>
  <c r="J19" i="44" s="1"/>
  <c r="C38" i="44"/>
  <c r="J16" i="44"/>
  <c r="J24" i="44" s="1"/>
  <c r="C43" i="44"/>
  <c r="C35" i="44"/>
  <c r="C33" i="44" s="1"/>
  <c r="Q51" i="44"/>
  <c r="Q50" i="15"/>
  <c r="J19" i="15"/>
  <c r="J17" i="15" s="1"/>
  <c r="C13" i="15"/>
  <c r="C37" i="15" s="1"/>
  <c r="C56" i="15"/>
  <c r="C60" i="15" s="1"/>
  <c r="C58" i="15" s="1"/>
  <c r="C36" i="15"/>
  <c r="J14" i="15"/>
  <c r="J22" i="15" s="1"/>
  <c r="Q50" i="70"/>
  <c r="J14" i="70"/>
  <c r="C13" i="70"/>
  <c r="C56" i="70"/>
  <c r="C63" i="70" s="1"/>
  <c r="C36" i="70"/>
  <c r="J19" i="70"/>
  <c r="J17" i="70" s="1"/>
  <c r="G41" i="36"/>
  <c r="H41" i="36" s="1"/>
  <c r="G40" i="36"/>
  <c r="H40" i="36" s="1"/>
  <c r="R37" i="36"/>
  <c r="E36" i="36"/>
  <c r="I40" i="36"/>
  <c r="J40" i="36" s="1"/>
  <c r="I41" i="36"/>
  <c r="J41" i="36" s="1"/>
  <c r="L46" i="15"/>
  <c r="B3" i="67"/>
  <c r="B4" i="67"/>
  <c r="J13" i="15" l="1"/>
  <c r="J23" i="15" s="1"/>
  <c r="J16" i="15" s="1"/>
  <c r="J25" i="15" s="1"/>
  <c r="F68" i="39"/>
  <c r="B2" i="39" s="1"/>
  <c r="B3" i="39" s="1"/>
  <c r="C30" i="15"/>
  <c r="C39" i="15" s="1"/>
  <c r="Q70" i="15" s="1"/>
  <c r="J15" i="44"/>
  <c r="J25" i="44" s="1"/>
  <c r="J18" i="44" s="1"/>
  <c r="J27" i="44" s="1"/>
  <c r="C63" i="15"/>
  <c r="C39" i="44"/>
  <c r="C32" i="44" s="1"/>
  <c r="C42" i="44" s="1"/>
  <c r="Q72" i="44"/>
  <c r="Q71" i="15"/>
  <c r="C55" i="15"/>
  <c r="C64" i="15" s="1"/>
  <c r="J35" i="15"/>
  <c r="Q71" i="70"/>
  <c r="C37" i="70"/>
  <c r="C30" i="70" s="1"/>
  <c r="C39" i="70" s="1"/>
  <c r="J35" i="70"/>
  <c r="C55" i="70"/>
  <c r="C64" i="70" s="1"/>
  <c r="C57" i="70" s="1"/>
  <c r="C66" i="70" s="1"/>
  <c r="C67" i="70" s="1"/>
  <c r="J22" i="70"/>
  <c r="J13" i="70"/>
  <c r="J23" i="70" s="1"/>
  <c r="E40" i="36"/>
  <c r="F40" i="36" s="1"/>
  <c r="E41" i="36"/>
  <c r="F41" i="36" s="1"/>
  <c r="C36" i="36"/>
  <c r="C37" i="36"/>
  <c r="B3" i="36" s="1"/>
  <c r="B2" i="36" s="1"/>
  <c r="C19" i="9"/>
  <c r="C20" i="9"/>
  <c r="L51" i="15"/>
  <c r="L51" i="70"/>
  <c r="B4" i="39" l="1"/>
  <c r="C40" i="15"/>
  <c r="Q57" i="15" s="1"/>
  <c r="B5" i="39"/>
  <c r="L43" i="9"/>
  <c r="Q69" i="15"/>
  <c r="J39" i="15"/>
  <c r="J40" i="15" s="1"/>
  <c r="C57" i="15"/>
  <c r="C66" i="15" s="1"/>
  <c r="C67" i="15" s="1"/>
  <c r="C70" i="15" s="1"/>
  <c r="Q71" i="44"/>
  <c r="Q70" i="44" s="1"/>
  <c r="C44" i="44"/>
  <c r="C45" i="44" s="1"/>
  <c r="L52" i="44" s="1"/>
  <c r="J39" i="70"/>
  <c r="J40" i="70" s="1"/>
  <c r="Q68" i="70"/>
  <c r="J16" i="70"/>
  <c r="J25" i="70" s="1"/>
  <c r="C70" i="70"/>
  <c r="C40" i="70"/>
  <c r="Q70" i="70"/>
  <c r="Q69" i="70" s="1"/>
  <c r="Q48" i="15"/>
  <c r="Q54" i="15" s="1"/>
  <c r="Q68" i="15"/>
  <c r="L57" i="15"/>
  <c r="L60" i="15" s="1"/>
  <c r="Q67" i="15" s="1"/>
  <c r="C21" i="9"/>
  <c r="B2" i="44" l="1"/>
  <c r="B3" i="44" s="1"/>
  <c r="C43" i="15"/>
  <c r="Q66" i="15"/>
  <c r="Q76" i="15" s="1"/>
  <c r="J42" i="15"/>
  <c r="J43" i="15" s="1"/>
  <c r="B2" i="15"/>
  <c r="D10" i="12" s="1"/>
  <c r="C46" i="15"/>
  <c r="Q66" i="70"/>
  <c r="Q76" i="70" s="1"/>
  <c r="C43" i="70"/>
  <c r="B2" i="70"/>
  <c r="Q57" i="70"/>
  <c r="Q63" i="70" s="1"/>
  <c r="Q48" i="70"/>
  <c r="Q54" i="70" s="1"/>
  <c r="J42" i="70"/>
  <c r="J43" i="70" s="1"/>
  <c r="C46" i="70"/>
  <c r="L58" i="44"/>
  <c r="L61" i="44" s="1"/>
  <c r="Q69" i="44"/>
  <c r="Q58" i="15"/>
  <c r="Q63" i="15" s="1"/>
  <c r="B5" i="44" l="1"/>
  <c r="B4" i="44"/>
  <c r="B3" i="15"/>
  <c r="D8" i="12" s="1"/>
  <c r="E10" i="12"/>
  <c r="C6" i="12" s="1"/>
  <c r="B3" i="70"/>
  <c r="E8" i="12" s="1"/>
  <c r="Q68" i="44"/>
  <c r="Q77" i="44" s="1"/>
  <c r="Q59" i="44"/>
  <c r="Q64" i="44" s="1"/>
  <c r="C29" i="12" l="1"/>
  <c r="C24" i="12"/>
  <c r="C35" i="12" l="1"/>
  <c r="C33" i="12" s="1"/>
  <c r="C28" i="12"/>
  <c r="C26" i="12" s="1"/>
  <c r="C31" i="12" s="1"/>
  <c r="C30" i="12" s="1"/>
  <c r="C36" i="12" l="1"/>
  <c r="B2" i="12" s="1"/>
  <c r="D19" i="9"/>
  <c r="D22" i="9" l="1"/>
  <c r="G19" i="9"/>
  <c r="K20" i="9" s="1"/>
  <c r="L44" i="9"/>
  <c r="B4" i="12"/>
  <c r="B3" i="12"/>
  <c r="B5" i="12"/>
  <c r="D21" i="9"/>
  <c r="D20" i="9"/>
  <c r="G20" i="9" l="1"/>
  <c r="G21" i="9"/>
  <c r="C32" i="9"/>
  <c r="G22" i="9"/>
  <c r="N43" i="9"/>
  <c r="O43" i="9" l="1"/>
  <c r="O38" i="9"/>
  <c r="C33" i="9"/>
  <c r="C34" i="9"/>
  <c r="C35" i="9"/>
  <c r="F42" i="9" s="1"/>
  <c r="C42" i="9"/>
  <c r="D42" i="9" l="1"/>
  <c r="Q5" i="54" s="1"/>
  <c r="B47" i="63" s="1"/>
  <c r="N38" i="9"/>
  <c r="K28" i="9" s="1"/>
  <c r="C44" i="9"/>
  <c r="D63" i="9"/>
  <c r="N68" i="9"/>
  <c r="R5" i="54"/>
  <c r="B48" i="63" s="1"/>
  <c r="D14" i="66"/>
  <c r="M38" i="9"/>
  <c r="K27" i="9" s="1"/>
  <c r="E42" i="9"/>
  <c r="P5" i="54" s="1"/>
  <c r="B46" i="63" s="1"/>
  <c r="K26" i="9"/>
  <c r="K25" i="9"/>
  <c r="F14" i="66" l="1"/>
  <c r="B5" i="66"/>
  <c r="E14" i="66"/>
  <c r="C82" i="9"/>
  <c r="C81" i="9" s="1"/>
  <c r="C85" i="9" s="1"/>
  <c r="C86" i="9" s="1"/>
  <c r="D72" i="9" s="1"/>
  <c r="D71" i="9"/>
  <c r="D66" i="9" s="1"/>
  <c r="N72" i="9" s="1"/>
  <c r="C90" i="9"/>
  <c r="C103" i="9"/>
  <c r="C111" i="9"/>
  <c r="C104" i="9" s="1"/>
  <c r="D70" i="9"/>
  <c r="C96" i="9"/>
  <c r="C91" i="9" s="1"/>
  <c r="D73" i="9"/>
  <c r="N73" i="9" s="1"/>
  <c r="D44" i="9"/>
  <c r="N69" i="9"/>
  <c r="O39" i="9"/>
  <c r="G14" i="66"/>
  <c r="B6" i="66" s="1"/>
  <c r="F44" i="9"/>
  <c r="E44" i="9"/>
  <c r="C113" i="9" l="1"/>
  <c r="R6" i="54"/>
  <c r="B50" i="63" s="1"/>
  <c r="K29" i="9"/>
  <c r="K30" i="9" s="1"/>
  <c r="C97" i="9"/>
  <c r="D5" i="66"/>
  <c r="C5" i="66"/>
  <c r="C6" i="66"/>
  <c r="D6" i="66"/>
  <c r="M87" i="9"/>
  <c r="N87" i="9" s="1"/>
  <c r="M86" i="9"/>
  <c r="N86" i="9" s="1"/>
  <c r="M85" i="9"/>
  <c r="N85" i="9" s="1"/>
  <c r="M84" i="9"/>
  <c r="N84" i="9" s="1"/>
  <c r="M83" i="9"/>
  <c r="N83" i="9" s="1"/>
  <c r="M88" i="9"/>
  <c r="N88" i="9" s="1"/>
  <c r="C114" i="9"/>
  <c r="E114" i="9" s="1"/>
  <c r="E115" i="9" s="1"/>
  <c r="N89" i="9" l="1"/>
  <c r="O89" i="9" s="1"/>
  <c r="C115" i="9"/>
  <c r="D76" i="9" s="1"/>
  <c r="D74" i="9" s="1"/>
  <c r="N74" i="9" s="1"/>
  <c r="O77" i="9" s="1"/>
  <c r="C98" i="9"/>
  <c r="E98" i="9" s="1"/>
  <c r="E99" i="9" s="1"/>
  <c r="Q77" i="9" l="1"/>
  <c r="O78" i="9"/>
  <c r="O79" i="9"/>
  <c r="C9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<sst xmlns="http://schemas.openxmlformats.org/spreadsheetml/2006/main" count="9080" uniqueCount="3543">
  <si>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</si>
  <si>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</si>
  <si>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</si>
  <si>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</si>
  <si>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</si>
  <si>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</si>
  <si>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</si>
  <si>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</si>
  <si>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</si>
  <si>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</si>
  <si>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</si>
  <si>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</si>
  <si>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</si>
  <si>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</si>
  <si>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</si>
  <si>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</si>
  <si>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</si>
  <si>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</si>
  <si>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</si>
  <si>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</si>
  <si>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</si>
  <si>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</si>
  <si>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</si>
  <si>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</si>
  <si>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</si>
  <si>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</si>
  <si>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</si>
  <si>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</si>
  <si>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</si>
  <si>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</si>
  <si>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</si>
  <si>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</si>
  <si>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</si>
  <si>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</si>
  <si>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</si>
  <si>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</si>
  <si>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</si>
  <si>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</si>
  <si>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</si>
  <si>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</si>
  <si>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</si>
  <si>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</si>
  <si>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</si>
  <si>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</si>
  <si>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</si>
  <si>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</si>
  <si>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</si>
  <si>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</si>
  <si>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</si>
  <si>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</si>
  <si>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</si>
  <si>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</si>
  <si>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</si>
  <si>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</si>
  <si>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</si>
  <si>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</si>
  <si>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</si>
  <si>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</si>
  <si>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</si>
  <si>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</si>
  <si>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</si>
  <si>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</si>
  <si>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</si>
  <si>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</si>
  <si>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</si>
  <si>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</si>
  <si>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</si>
  <si>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</si>
  <si>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</si>
  <si>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</si>
  <si>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</si>
  <si>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</si>
  <si>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</si>
  <si>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</si>
  <si>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</si>
  <si>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</si>
  <si>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</si>
  <si>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</si>
  <si>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</si>
  <si>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</si>
  <si>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</si>
  <si>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</si>
  <si>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</si>
  <si>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</si>
  <si>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</si>
  <si>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</si>
  <si>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</si>
  <si>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</si>
  <si>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</si>
  <si>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</si>
  <si>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</si>
  <si>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</si>
  <si>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</si>
  <si>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</si>
  <si>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</si>
  <si>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</si>
  <si>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</si>
  <si>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</si>
  <si>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</si>
  <si>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</si>
  <si>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</si>
  <si>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</si>
  <si>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</si>
  <si>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</si>
  <si>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</si>
  <si>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</si>
  <si>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</si>
  <si>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</si>
  <si>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</si>
  <si>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</si>
  <si>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</si>
  <si>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</si>
  <si>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</si>
  <si>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</si>
  <si>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</si>
  <si>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</si>
  <si>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</si>
  <si>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</si>
  <si>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</si>
  <si>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</si>
  <si>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</si>
  <si>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</si>
  <si>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</si>
  <si>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</si>
  <si>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</si>
  <si>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</si>
  <si>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</si>
  <si>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</si>
  <si>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</si>
  <si>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</si>
  <si>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</si>
  <si>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</si>
  <si>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</si>
  <si>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</si>
  <si>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</si>
  <si>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</si>
  <si>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</si>
  <si>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</si>
  <si>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</si>
  <si>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</si>
  <si>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</si>
  <si>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</si>
  <si>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</si>
  <si>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</si>
  <si>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</si>
  <si>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</si>
  <si>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</si>
  <si>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</si>
  <si>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</si>
  <si>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</si>
  <si>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</si>
  <si>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</si>
  <si>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</si>
  <si>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</si>
  <si>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</si>
  <si>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</si>
  <si>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</si>
  <si>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</si>
  <si>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</si>
  <si>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</si>
  <si>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</si>
  <si>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</si>
  <si>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</si>
  <si>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</si>
  <si>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</si>
  <si>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</si>
  <si>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</si>
  <si>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</si>
  <si>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</si>
  <si>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</si>
  <si>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</si>
  <si>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</si>
  <si>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</si>
  <si>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</si>
  <si>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</si>
  <si>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</si>
  <si>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</si>
  <si>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</si>
  <si>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</si>
  <si>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</si>
  <si>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</si>
  <si>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</si>
  <si>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</si>
  <si>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</si>
  <si>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</si>
  <si>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</si>
  <si>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</si>
  <si>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</si>
  <si>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</si>
  <si>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</si>
  <si>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</si>
  <si>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</si>
  <si>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</si>
  <si>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</si>
  <si>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</si>
  <si>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</si>
  <si>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</si>
  <si>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</si>
  <si>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</si>
  <si>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</si>
  <si>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</si>
  <si>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</si>
  <si>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</si>
  <si>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</si>
  <si>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</si>
  <si>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</si>
  <si>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</si>
  <si>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</si>
  <si>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</si>
  <si>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</si>
  <si>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</si>
  <si>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</si>
  <si>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</si>
  <si>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</si>
  <si>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</si>
  <si>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</si>
  <si>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</si>
  <si>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</si>
  <si>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</si>
  <si>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</si>
  <si>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</si>
  <si>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</si>
  <si>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</si>
  <si>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</si>
  <si>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</si>
  <si>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</si>
  <si>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</si>
  <si>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</si>
  <si>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</si>
  <si>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</si>
  <si>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</si>
  <si>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</si>
  <si>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</si>
  <si>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</si>
  <si>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</si>
  <si>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</si>
  <si>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</si>
  <si>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</si>
  <si>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</si>
  <si>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</si>
  <si>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</si>
  <si>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</si>
  <si>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</si>
  <si>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</si>
  <si>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</si>
  <si>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</si>
  <si>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</si>
  <si>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</si>
  <si>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</si>
  <si>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</si>
  <si>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</si>
  <si>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</si>
  <si>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</si>
  <si>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</si>
  <si>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</si>
  <si>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</si>
  <si>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</si>
  <si>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</si>
  <si>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</si>
  <si>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</si>
  <si>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</si>
  <si>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</si>
  <si>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</si>
  <si>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</si>
  <si>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</si>
  <si>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</si>
  <si>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</si>
  <si>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</si>
  <si>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</si>
  <si>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</si>
  <si>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</si>
  <si>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</si>
  <si>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</si>
  <si>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</si>
  <si>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</si>
  <si>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</si>
  <si>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</si>
  <si>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</si>
  <si>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</si>
  <si>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</si>
  <si>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</si>
  <si>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</si>
  <si>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</si>
  <si>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</si>
  <si>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</si>
  <si>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</si>
  <si>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</si>
  <si>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</si>
  <si>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</si>
  <si>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</si>
  <si>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</si>
  <si>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</si>
  <si>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</si>
  <si>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</si>
  <si>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</si>
  <si>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</si>
  <si>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</si>
  <si>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</si>
  <si>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</si>
  <si>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</si>
  <si>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</si>
  <si>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</si>
  <si>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</si>
  <si>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</si>
  <si>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</si>
  <si>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</si>
  <si>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</si>
  <si>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</si>
  <si>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</si>
  <si>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</si>
  <si>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</si>
  <si>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</si>
  <si>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</si>
  <si>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</si>
  <si>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</si>
  <si>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</si>
  <si>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</si>
  <si>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</si>
  <si>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</si>
  <si>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</si>
  <si>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</si>
  <si>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</si>
  <si>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</si>
  <si>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</si>
  <si>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</si>
  <si>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</si>
  <si>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</si>
  <si>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</si>
  <si>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</si>
  <si>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</si>
  <si>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</si>
  <si>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</si>
  <si>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</si>
  <si>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</si>
  <si>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</si>
  <si>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</si>
  <si>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</si>
  <si>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</si>
  <si>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</si>
  <si>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</si>
  <si>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</si>
  <si>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</si>
  <si>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</si>
  <si>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</si>
  <si>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</si>
  <si>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</si>
  <si>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</si>
  <si>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</si>
  <si>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</si>
  <si>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</si>
  <si>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</si>
  <si>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</si>
  <si>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</si>
  <si>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</si>
  <si>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</si>
  <si>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</si>
  <si>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</si>
  <si>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</si>
  <si>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</si>
  <si>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</si>
  <si>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</si>
  <si>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</si>
  <si>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</si>
  <si>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</si>
  <si>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</si>
  <si>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</si>
  <si>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</si>
  <si>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</si>
  <si>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</si>
  <si>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</si>
  <si>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</si>
  <si>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</si>
  <si>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</si>
  <si>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</si>
  <si>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</si>
  <si>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</si>
  <si>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</si>
  <si>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</si>
  <si>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</si>
  <si>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</si>
  <si>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</si>
  <si>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</si>
  <si>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</si>
  <si>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</si>
  <si>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</si>
  <si>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</si>
  <si>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</si>
  <si>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</si>
  <si>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</si>
  <si>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</si>
  <si>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</si>
  <si>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</si>
  <si>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</si>
  <si>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</si>
  <si>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</si>
  <si>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</si>
  <si>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</si>
  <si>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</si>
  <si>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</si>
  <si>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</si>
  <si>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</si>
  <si>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</si>
  <si>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</si>
  <si>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</si>
  <si>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</si>
  <si>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</si>
  <si>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</si>
  <si>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</si>
  <si>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</si>
  <si>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</si>
  <si>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</si>
  <si>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</si>
  <si>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</si>
  <si>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</si>
  <si>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</si>
  <si>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</si>
  <si>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</si>
  <si>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</si>
  <si>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</si>
  <si>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</si>
  <si>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</si>
  <si>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</si>
  <si>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</si>
  <si>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</si>
  <si>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</si>
  <si>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</si>
  <si>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</si>
  <si>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</si>
  <si>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</si>
  <si>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</si>
  <si>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</si>
  <si>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</si>
  <si>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</si>
  <si>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</si>
  <si>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</si>
  <si>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</si>
  <si>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</si>
  <si>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</si>
  <si>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</si>
  <si>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</si>
  <si>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</si>
  <si>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</si>
  <si>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</si>
  <si>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</si>
  <si>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</si>
  <si>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</si>
  <si>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</si>
  <si>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</si>
  <si>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</si>
  <si>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</si>
  <si>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</si>
  <si>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</si>
  <si>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</si>
  <si>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</si>
  <si>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</si>
  <si>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</si>
  <si>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</si>
  <si>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</si>
  <si>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</si>
  <si>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</si>
  <si>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</si>
  <si>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</si>
  <si>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</si>
  <si>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</si>
  <si>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</si>
  <si>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</si>
  <si>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</si>
  <si>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</si>
  <si>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</si>
  <si>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</si>
  <si>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</si>
  <si>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</si>
  <si>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</si>
  <si>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</si>
  <si>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</si>
  <si>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</si>
  <si>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</si>
  <si>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</si>
  <si>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</si>
  <si>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</si>
  <si>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</si>
  <si>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</si>
  <si>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</si>
  <si>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</si>
  <si>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</si>
  <si>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</si>
  <si>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</si>
  <si>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</si>
  <si>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</si>
  <si>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</si>
  <si>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</si>
  <si>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</si>
  <si>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</si>
  <si>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</si>
  <si>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</si>
  <si>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</si>
  <si>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</si>
  <si>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</si>
  <si>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</si>
  <si>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</si>
  <si>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</si>
  <si>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</si>
  <si>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</si>
  <si>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</si>
  <si>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</si>
  <si>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</si>
  <si>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</si>
  <si>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</si>
  <si>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</si>
  <si>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</si>
  <si>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</si>
  <si>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</si>
  <si>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</si>
  <si>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</si>
  <si>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</si>
  <si>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</si>
  <si>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</si>
  <si>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</si>
  <si>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</si>
  <si>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</si>
  <si>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</si>
  <si>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</si>
  <si>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</si>
  <si>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</si>
  <si>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</si>
  <si>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</si>
  <si>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</si>
  <si>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</si>
  <si>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</si>
  <si>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</si>
  <si>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</si>
  <si>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</si>
  <si>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</si>
  <si>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</si>
  <si>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</si>
  <si>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</si>
  <si>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</si>
  <si>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</si>
  <si>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</si>
  <si>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</si>
  <si>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</si>
  <si>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</si>
  <si>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</si>
  <si>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</si>
  <si>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</si>
  <si>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</si>
  <si>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</si>
  <si>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</si>
  <si>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</si>
  <si>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</si>
  <si>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</si>
  <si>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</si>
  <si>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</si>
  <si>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</si>
  <si>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</si>
  <si>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</si>
  <si>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</si>
  <si>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</si>
  <si>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</si>
  <si>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</si>
  <si>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</si>
  <si>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</si>
  <si>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</si>
  <si>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</si>
  <si>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</si>
  <si>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</si>
  <si>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</si>
  <si>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</si>
  <si>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</si>
  <si>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</si>
  <si>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</si>
  <si>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</si>
  <si>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</si>
  <si>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</si>
  <si>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</si>
  <si>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</si>
  <si>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</si>
  <si>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</si>
  <si>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</si>
  <si>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</si>
  <si>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</si>
  <si>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</si>
  <si>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</si>
  <si>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</si>
  <si>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</si>
  <si>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</si>
  <si>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</si>
  <si>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</si>
  <si>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</si>
  <si>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</si>
  <si>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</si>
  <si>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</si>
  <si>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</si>
  <si>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</si>
  <si>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</si>
  <si>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</si>
  <si>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</si>
  <si>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</si>
  <si>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</si>
  <si>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</si>
  <si>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</si>
  <si>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</si>
  <si>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</si>
  <si>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</si>
  <si>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</si>
  <si>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</si>
  <si>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</si>
  <si>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</si>
  <si>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</si>
  <si>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</si>
  <si>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</si>
  <si>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</si>
  <si>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</si>
  <si>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</si>
  <si>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</si>
  <si>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</si>
  <si>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</si>
  <si>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</si>
  <si>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</si>
  <si>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</si>
  <si>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</si>
  <si>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</si>
  <si>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</si>
  <si>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</si>
  <si>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</si>
  <si>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</si>
  <si>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</si>
  <si>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</si>
  <si>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</si>
  <si>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</si>
  <si>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</si>
  <si>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</si>
  <si>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</si>
  <si>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</si>
  <si>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</si>
  <si>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</si>
  <si>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</si>
  <si>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</si>
  <si>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</si>
  <si>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</si>
  <si>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</si>
  <si>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</si>
  <si>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</si>
  <si>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</si>
  <si>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</si>
  <si>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</si>
  <si>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</si>
  <si>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</si>
  <si>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</si>
  <si>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</si>
  <si>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</si>
  <si>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</si>
  <si>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</si>
  <si>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</si>
  <si>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</si>
  <si>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</si>
  <si>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</si>
  <si>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</si>
  <si>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</si>
  <si>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</si>
  <si>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</si>
  <si>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</si>
  <si>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</si>
  <si>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</si>
  <si>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</si>
  <si>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</si>
  <si>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</si>
  <si>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</si>
  <si>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</si>
  <si>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</si>
  <si>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</si>
  <si>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</si>
  <si>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</si>
  <si>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</si>
  <si>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</si>
  <si>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</si>
  <si>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</si>
  <si>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</si>
  <si>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</si>
  <si>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</si>
  <si>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</si>
  <si>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</si>
  <si>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</si>
  <si>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</si>
  <si>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</si>
  <si>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</si>
  <si>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</si>
  <si>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</si>
  <si>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</si>
  <si>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</si>
  <si>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</si>
  <si>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</si>
  <si>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</si>
  <si>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</si>
  <si>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</si>
  <si>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</si>
  <si>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</si>
  <si>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</si>
  <si>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</si>
  <si>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</si>
  <si>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</si>
  <si>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</si>
  <si>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</si>
  <si>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</si>
  <si>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</si>
  <si>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</si>
  <si>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</si>
  <si>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</si>
  <si>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</si>
  <si>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</si>
  <si>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</si>
  <si>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</si>
  <si>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</si>
  <si>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</si>
  <si>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</si>
  <si>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</si>
  <si>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</si>
  <si>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</si>
  <si>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</si>
  <si>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</si>
  <si>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</si>
  <si>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</si>
  <si>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</si>
  <si>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</si>
  <si>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</si>
  <si>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</si>
  <si>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</si>
  <si>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</si>
  <si>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</si>
  <si>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</si>
  <si>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</si>
  <si>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</si>
  <si>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</si>
  <si>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</si>
  <si>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</si>
  <si>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</si>
  <si>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</si>
  <si>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</si>
  <si>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</si>
  <si>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</si>
  <si>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</si>
  <si>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</si>
  <si>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</si>
  <si>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</si>
  <si>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</si>
  <si>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</si>
  <si>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</si>
  <si>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</si>
  <si>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</si>
  <si>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</si>
  <si>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</si>
  <si>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</si>
  <si>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</si>
  <si>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</si>
  <si>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</si>
  <si>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</si>
  <si>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</si>
  <si>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</si>
  <si>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</si>
  <si>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</si>
  <si>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</si>
  <si>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</si>
  <si>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</si>
  <si>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</si>
  <si>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</si>
  <si>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</si>
  <si>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</si>
  <si>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</si>
  <si>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</si>
  <si>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</si>
  <si>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</si>
  <si>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</si>
  <si>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</si>
  <si>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</si>
  <si>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</si>
  <si>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</si>
  <si>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</si>
  <si>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</si>
  <si>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</si>
  <si>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</si>
  <si>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</si>
  <si>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</si>
  <si>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</si>
  <si>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</si>
  <si>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</si>
  <si>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</si>
  <si>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</si>
  <si>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</si>
  <si>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</si>
  <si>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</si>
  <si>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</si>
  <si>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</si>
  <si>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</si>
  <si>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</si>
  <si>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</si>
  <si>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</si>
  <si>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</si>
  <si>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</si>
  <si>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</si>
  <si>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</si>
  <si>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</si>
  <si>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</si>
  <si>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</si>
  <si>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</si>
  <si>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</si>
  <si>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</si>
  <si>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</si>
  <si>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</si>
  <si>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</si>
  <si>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</si>
  <si>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</si>
  <si>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</si>
  <si>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</si>
  <si>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</si>
  <si>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</si>
  <si>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</si>
  <si>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</si>
  <si>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</si>
  <si>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</si>
  <si>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</si>
  <si>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</si>
  <si>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</si>
  <si>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</si>
  <si>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</si>
  <si>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</si>
  <si>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</si>
  <si>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</si>
  <si>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</si>
  <si>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</si>
  <si>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</si>
  <si>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</si>
  <si>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</si>
  <si>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</si>
  <si>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</si>
  <si>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</si>
  <si>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</si>
  <si>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</si>
  <si>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</si>
  <si>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</si>
  <si>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</si>
  <si>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</si>
  <si>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</si>
  <si>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</si>
  <si>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</si>
  <si>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</si>
  <si>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</si>
  <si>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</si>
  <si>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</si>
  <si>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</si>
  <si>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</si>
  <si>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</si>
  <si>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</si>
  <si>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</si>
  <si>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</si>
  <si>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</si>
  <si>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</si>
  <si>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</si>
  <si>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</si>
  <si>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</si>
  <si>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</si>
  <si>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</si>
  <si>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</si>
  <si>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</si>
  <si>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</si>
  <si>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</si>
  <si>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</si>
  <si>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</si>
  <si>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</si>
  <si>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</si>
  <si>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</si>
  <si>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</si>
  <si>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</si>
  <si>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</si>
  <si>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</si>
  <si>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</si>
  <si>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</si>
  <si>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</si>
  <si>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</si>
  <si>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</si>
  <si>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</si>
  <si>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</si>
  <si>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</si>
  <si>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</si>
  <si>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</si>
  <si>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</si>
  <si>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</si>
  <si>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</si>
  <si>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</si>
  <si>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</si>
  <si>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</si>
  <si>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</si>
  <si>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</si>
  <si>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</si>
  <si>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</si>
  <si>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</si>
  <si>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</si>
  <si>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</si>
  <si>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</si>
  <si>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</si>
  <si>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</si>
  <si>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</si>
  <si>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</si>
  <si>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</si>
  <si>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</si>
  <si>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</si>
  <si>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</si>
  <si>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</si>
  <si>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</si>
  <si>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</si>
  <si>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</si>
  <si>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</si>
  <si>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</si>
  <si>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</si>
  <si>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</si>
  <si>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</si>
  <si>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</si>
  <si>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</si>
  <si>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</si>
  <si>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</si>
  <si>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</si>
  <si>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</si>
  <si>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</si>
  <si>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</si>
  <si>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</si>
  <si>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</si>
  <si>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</si>
  <si>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</si>
  <si>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</si>
  <si>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</si>
  <si>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</si>
  <si>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</si>
  <si>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</si>
  <si>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</si>
  <si>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</si>
  <si>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</si>
  <si>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</si>
  <si>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</si>
  <si>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</si>
  <si>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</si>
  <si>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</si>
  <si>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</si>
  <si>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</si>
  <si>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</si>
  <si>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</si>
  <si>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</si>
  <si>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</si>
  <si>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</si>
  <si>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</si>
  <si>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</si>
  <si>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</si>
  <si>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</si>
  <si>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</si>
  <si>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</si>
  <si>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</si>
  <si>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</si>
  <si>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</si>
  <si>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</si>
  <si>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</si>
  <si>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</si>
  <si>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</si>
  <si>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</si>
  <si>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</si>
  <si>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</si>
  <si>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</si>
  <si>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</si>
  <si>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</si>
  <si>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</si>
  <si>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</si>
  <si>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</si>
  <si>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</si>
  <si>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</si>
  <si>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</si>
  <si>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</si>
  <si>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</si>
  <si>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</si>
  <si>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</si>
  <si>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</si>
  <si>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</si>
  <si>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</si>
  <si>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</si>
  <si>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</si>
  <si>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</si>
  <si>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</si>
  <si>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</si>
  <si>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</si>
  <si>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</si>
  <si>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</si>
  <si>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</si>
  <si>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</si>
  <si>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</si>
  <si>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</si>
  <si>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</si>
  <si>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</si>
  <si>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</si>
  <si>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</si>
  <si>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</si>
  <si>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</si>
  <si>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</si>
  <si>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</si>
  <si>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</si>
  <si>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</si>
  <si>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</si>
  <si>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</si>
  <si>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</si>
  <si>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</si>
  <si>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</si>
  <si>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</si>
  <si>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</si>
  <si>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</si>
  <si>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</si>
  <si>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</si>
  <si>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</si>
  <si>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</si>
  <si>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</si>
  <si>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</si>
  <si>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</si>
  <si>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</si>
  <si>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</si>
  <si>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</si>
  <si>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</si>
  <si>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</si>
  <si>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</si>
  <si>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</si>
  <si>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</si>
  <si>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</si>
  <si>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</si>
  <si>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</si>
  <si>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</si>
  <si>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</si>
  <si>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</si>
  <si>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</si>
  <si>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</si>
  <si>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</si>
  <si>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</si>
  <si>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</si>
  <si>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</si>
  <si>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</si>
  <si>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</si>
  <si>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</si>
  <si>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</si>
  <si>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</si>
  <si>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</si>
  <si>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</si>
  <si>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</si>
  <si>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</si>
  <si>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</si>
  <si>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</si>
  <si>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</si>
  <si>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</si>
  <si>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</si>
  <si>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</si>
  <si>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</si>
  <si>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</si>
  <si>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</si>
  <si>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</si>
  <si>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</si>
  <si>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</si>
  <si>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</si>
  <si>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</si>
  <si>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</si>
  <si>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</si>
  <si>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</si>
  <si>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</si>
  <si>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</si>
  <si>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</si>
  <si>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</si>
  <si>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</si>
  <si>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</si>
  <si>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</si>
  <si>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</si>
  <si>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</si>
  <si>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</si>
  <si>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</si>
  <si>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</si>
  <si>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</si>
  <si>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</si>
  <si>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</si>
  <si>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</si>
  <si>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</si>
  <si>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</si>
  <si>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</si>
  <si>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</si>
  <si>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</si>
  <si>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</si>
  <si>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</si>
  <si>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</si>
  <si>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</si>
  <si>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</si>
  <si>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</si>
  <si>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</si>
  <si>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</si>
  <si>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</si>
  <si>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</si>
  <si>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</si>
  <si>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</si>
  <si>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</si>
  <si>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</si>
  <si>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</si>
  <si>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</si>
  <si>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</si>
  <si>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</si>
  <si>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</si>
  <si>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</si>
  <si>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</si>
  <si>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</si>
  <si>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</si>
  <si>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</si>
  <si>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</si>
  <si>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</si>
  <si>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</si>
  <si>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</si>
  <si>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</si>
  <si>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</si>
  <si>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</si>
  <si>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</si>
  <si>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</si>
  <si>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</si>
  <si>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</si>
  <si>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</si>
  <si>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</si>
  <si>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</si>
  <si>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</si>
  <si>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</si>
  <si>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</si>
  <si>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</si>
  <si>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</si>
  <si>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</si>
  <si>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</si>
  <si>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</si>
  <si>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</si>
  <si>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</si>
  <si>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</si>
  <si>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</si>
  <si>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</si>
  <si>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</si>
  <si>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</si>
  <si>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</si>
  <si>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</si>
  <si>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</si>
  <si>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</si>
  <si>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</si>
  <si>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</si>
  <si>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</si>
  <si>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</si>
  <si>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</si>
  <si>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</si>
  <si>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</si>
  <si>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</si>
  <si>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</si>
  <si>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</si>
  <si>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</si>
  <si>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</si>
  <si>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</si>
  <si>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</si>
  <si>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</si>
  <si>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</si>
  <si>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</si>
  <si>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</si>
  <si>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</si>
  <si>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</si>
  <si>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</si>
  <si>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</si>
  <si>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</si>
  <si>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</si>
  <si>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</si>
  <si>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</si>
  <si>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</si>
  <si>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</si>
  <si>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</si>
  <si>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</si>
  <si>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</si>
  <si>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</si>
  <si>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</si>
  <si>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</si>
  <si>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</si>
  <si>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</si>
  <si>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</si>
  <si>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</si>
  <si>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</si>
  <si>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</si>
  <si>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</si>
  <si>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</si>
  <si>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</si>
  <si>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</si>
  <si>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</si>
  <si>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</si>
  <si>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</si>
  <si>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</si>
  <si>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</si>
  <si>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</si>
  <si>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</si>
  <si>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</si>
  <si>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</si>
  <si>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</si>
  <si>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</si>
  <si>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</si>
  <si>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</si>
  <si>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</si>
  <si>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</si>
  <si>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</si>
  <si>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</si>
  <si>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</si>
  <si>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</si>
  <si>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</si>
  <si>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</si>
  <si>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</si>
  <si>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</si>
  <si>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</si>
  <si>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</si>
  <si>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</si>
  <si>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</si>
  <si>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</si>
  <si>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</si>
  <si>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</si>
  <si>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</si>
  <si>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</si>
  <si>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</si>
  <si>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</si>
  <si>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</si>
  <si>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</si>
  <si>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</si>
  <si>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</si>
  <si>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</si>
  <si>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</si>
  <si>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</si>
  <si>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</si>
  <si>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</si>
  <si>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</si>
  <si>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</si>
  <si>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</si>
  <si>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</si>
  <si>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</si>
  <si>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</si>
  <si>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</si>
  <si>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</si>
  <si>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</si>
  <si>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</si>
  <si>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</si>
  <si>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</si>
  <si>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</si>
  <si>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</si>
  <si>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</si>
  <si>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</si>
  <si>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</si>
  <si>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</si>
  <si>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</si>
  <si>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</si>
  <si>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</si>
  <si>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</si>
  <si>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</si>
  <si>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</si>
  <si>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</si>
  <si>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</si>
  <si>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</si>
  <si>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</si>
  <si>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</si>
  <si>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</si>
  <si>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</si>
  <si>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</si>
  <si>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</si>
  <si>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</si>
  <si>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</si>
  <si>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</si>
  <si>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</si>
  <si>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</si>
  <si>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</si>
  <si>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</si>
  <si>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</si>
  <si>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</si>
  <si>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</si>
  <si>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</si>
  <si>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</si>
  <si>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</si>
  <si>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</si>
  <si>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</si>
  <si>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</si>
  <si>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</si>
  <si>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</si>
  <si>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</si>
  <si>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</si>
  <si>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</si>
  <si>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</si>
  <si>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</si>
  <si>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</si>
  <si>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</si>
  <si>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</si>
  <si>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</si>
  <si>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</si>
  <si>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</si>
  <si>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</si>
  <si>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</si>
  <si>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</si>
  <si>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</si>
  <si>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</si>
  <si>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</si>
  <si>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</si>
  <si>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</si>
  <si>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</si>
  <si>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</si>
  <si>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</si>
  <si>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</si>
  <si>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</si>
  <si>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</si>
  <si>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</si>
  <si>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</si>
  <si>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</si>
  <si>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</si>
  <si>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</si>
  <si>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</si>
  <si>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</si>
  <si>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</si>
  <si>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</si>
  <si>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</si>
  <si>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</si>
  <si>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</si>
  <si>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</si>
  <si>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</si>
  <si>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</si>
  <si>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</si>
  <si>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</si>
  <si>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</si>
  <si>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</si>
  <si>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</si>
  <si>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</si>
  <si>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</si>
  <si>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</si>
  <si>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</si>
  <si>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</si>
  <si>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</si>
  <si>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</si>
  <si>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</si>
  <si>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</si>
  <si>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</si>
  <si>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</si>
  <si>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</si>
  <si>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</si>
  <si>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</si>
  <si>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</si>
  <si>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</si>
  <si>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</si>
  <si>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</si>
  <si>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</si>
  <si>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</si>
  <si>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</si>
  <si>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</si>
  <si>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</si>
  <si>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</si>
  <si>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</si>
  <si>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</si>
  <si>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</si>
  <si>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</si>
  <si>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</si>
  <si>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</si>
  <si>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</si>
  <si>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</si>
  <si>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</si>
  <si>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</si>
  <si>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</si>
  <si>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</si>
  <si>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</si>
  <si>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</si>
  <si>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</si>
  <si>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</si>
  <si>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</si>
  <si>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</si>
  <si>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</si>
  <si>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</si>
  <si>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</si>
  <si>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</si>
  <si>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</si>
  <si>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</si>
  <si>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</si>
  <si>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</si>
  <si>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</si>
  <si>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</si>
  <si>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</si>
  <si>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</si>
  <si>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</si>
  <si>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</si>
  <si>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</si>
  <si>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</si>
  <si>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</si>
  <si>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</si>
  <si>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</si>
  <si>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</si>
  <si>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</si>
  <si>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</si>
  <si>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</si>
  <si>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</si>
  <si>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</si>
  <si>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</si>
  <si>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</si>
  <si>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</si>
  <si>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</si>
  <si>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</si>
  <si>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</si>
  <si>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</si>
  <si>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</si>
  <si>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</si>
  <si>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</si>
  <si>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</si>
  <si>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</si>
  <si>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</si>
  <si>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</si>
  <si>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</si>
  <si>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</si>
  <si>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</si>
  <si>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</si>
  <si>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</si>
  <si>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</si>
  <si>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</si>
  <si>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</si>
  <si>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</si>
  <si>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</si>
  <si>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</si>
  <si>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</si>
  <si>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</si>
  <si>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</si>
  <si>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</si>
  <si>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</si>
  <si>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</si>
  <si>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</si>
  <si>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</si>
  <si>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</si>
  <si>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</si>
  <si>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</si>
  <si>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</si>
  <si>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</si>
  <si>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</si>
  <si>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</si>
  <si>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</si>
  <si>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</si>
  <si>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</si>
  <si>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</si>
  <si>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</si>
  <si>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</si>
  <si>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</si>
  <si>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</si>
  <si>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</si>
  <si>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</si>
  <si>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</si>
  <si>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</si>
  <si>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</si>
  <si>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</si>
  <si>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</si>
  <si>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</si>
  <si>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</si>
  <si>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</si>
  <si>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</si>
  <si>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</si>
  <si>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</si>
  <si>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</si>
  <si>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</si>
  <si>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</si>
  <si>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</si>
  <si>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</si>
  <si>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</si>
  <si>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</si>
  <si>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</si>
  <si>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</si>
  <si>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</si>
  <si>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</si>
  <si>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</si>
  <si>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</si>
  <si>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</si>
  <si>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</si>
  <si>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</si>
  <si>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</si>
  <si>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</si>
  <si>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</si>
  <si>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</si>
  <si>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</si>
  <si>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</si>
  <si>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</si>
  <si>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</si>
  <si>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</si>
  <si>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</si>
  <si>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</si>
  <si>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</si>
  <si>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</si>
  <si>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</si>
  <si>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</si>
  <si>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</si>
  <si>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</si>
  <si>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</si>
  <si>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</si>
  <si>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</si>
  <si>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</si>
  <si>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</si>
  <si>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</si>
  <si>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</si>
  <si>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</si>
  <si>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</si>
  <si>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</si>
  <si>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</si>
  <si>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</si>
  <si>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</si>
  <si>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</si>
  <si>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</si>
  <si>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</si>
  <si>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</si>
  <si>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</si>
  <si>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</si>
  <si>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</si>
  <si>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</si>
  <si>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</si>
  <si>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</si>
  <si>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</si>
  <si>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</si>
  <si>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</si>
  <si>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</si>
  <si>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</si>
  <si>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</si>
  <si>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</si>
  <si>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</si>
  <si>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</si>
  <si>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</si>
  <si>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</si>
  <si>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</si>
  <si>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</si>
  <si>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</si>
  <si>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</si>
  <si>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</si>
  <si>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</si>
  <si>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</si>
  <si>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</si>
  <si>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</si>
  <si>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</si>
  <si>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</si>
  <si>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</si>
  <si>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</si>
  <si>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</si>
  <si>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</si>
  <si>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</si>
  <si>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</si>
  <si>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</si>
  <si>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</si>
  <si>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</si>
  <si>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</si>
  <si>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</si>
  <si>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</si>
  <si>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</si>
  <si>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</si>
  <si>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</si>
  <si>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</si>
  <si>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</si>
  <si>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</si>
  <si>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</si>
  <si>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</si>
  <si>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</si>
  <si>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</si>
  <si>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</si>
  <si>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</si>
  <si>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</si>
  <si>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</si>
  <si>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</si>
  <si>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</si>
  <si>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</si>
  <si>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</si>
  <si>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</si>
  <si>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</si>
  <si>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</si>
  <si>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</si>
  <si>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</si>
  <si>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</si>
  <si>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</si>
  <si>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</si>
  <si>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</si>
  <si>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</si>
  <si>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</si>
  <si>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</si>
  <si>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</si>
  <si>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</si>
  <si>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</si>
  <si>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</si>
  <si>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</si>
  <si>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</si>
  <si>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</si>
  <si>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</si>
  <si>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</si>
  <si>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</si>
  <si>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</si>
  <si>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</si>
  <si>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</si>
  <si>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</si>
  <si>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</si>
  <si>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</si>
  <si>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</si>
  <si>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</si>
  <si>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</si>
  <si>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</si>
  <si>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</si>
  <si>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</si>
  <si>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</si>
  <si>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</si>
  <si>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</si>
  <si>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</si>
  <si>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</si>
  <si>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</si>
  <si>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</si>
  <si>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</si>
  <si>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</si>
  <si>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</si>
  <si>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</si>
  <si>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</si>
  <si>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</si>
  <si>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</si>
  <si>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</si>
  <si>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</si>
  <si>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</si>
  <si>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</si>
  <si>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</si>
  <si>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</si>
  <si>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</si>
  <si>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</si>
  <si>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</si>
  <si>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</si>
  <si>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</si>
  <si>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</si>
  <si>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</si>
  <si>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</si>
  <si>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</si>
  <si>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</si>
  <si>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</si>
  <si>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</si>
  <si>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</si>
  <si>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</si>
  <si>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</si>
  <si>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</si>
  <si>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</si>
  <si>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</si>
  <si>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</si>
  <si>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</si>
  <si>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</si>
  <si>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</si>
  <si>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</si>
  <si>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</si>
  <si>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</si>
  <si>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</si>
  <si>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</si>
  <si>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</si>
  <si>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</si>
  <si>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</si>
  <si>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</si>
  <si>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</si>
  <si>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</si>
  <si>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</si>
  <si>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</si>
  <si>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</si>
  <si>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</si>
  <si>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</si>
  <si>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</si>
  <si>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</si>
  <si>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</si>
  <si>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</si>
  <si>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</si>
  <si>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</si>
  <si>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</si>
  <si>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</si>
  <si>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</si>
  <si>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</si>
  <si>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</si>
  <si>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</si>
  <si>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</si>
  <si>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</si>
  <si>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</si>
  <si>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</si>
  <si>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</si>
  <si>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</si>
  <si>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</si>
  <si>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</si>
  <si>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</si>
  <si>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</si>
  <si>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</si>
  <si>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</si>
  <si>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</si>
  <si>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</si>
  <si>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</si>
  <si>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</si>
  <si>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</si>
  <si>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</si>
  <si>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</si>
  <si>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</si>
  <si>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</si>
  <si>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</si>
  <si>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</si>
  <si>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</si>
  <si>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</si>
  <si>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</si>
  <si>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</si>
  <si>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</si>
  <si>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</si>
  <si>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</si>
  <si>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</si>
  <si>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</si>
  <si>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</si>
  <si>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</si>
  <si>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</si>
  <si>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</si>
  <si>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</si>
  <si>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</si>
  <si>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</si>
  <si>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</si>
  <si>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</si>
  <si>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</si>
  <si>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</si>
  <si>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</si>
  <si>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</si>
  <si>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</si>
  <si>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</si>
  <si>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</si>
  <si>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</si>
  <si>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</si>
  <si>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</si>
  <si>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</si>
  <si>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</si>
  <si>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</si>
  <si>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</si>
  <si>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</si>
  <si>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</si>
  <si>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</si>
  <si>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</si>
  <si>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</si>
  <si>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</si>
  <si>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</si>
  <si>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</si>
  <si>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</si>
  <si>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</si>
  <si>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</si>
  <si>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</si>
  <si>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</si>
  <si>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</si>
  <si>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</si>
  <si>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</si>
  <si>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</si>
  <si>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</si>
  <si>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</si>
  <si>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</si>
  <si>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</si>
  <si>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</si>
  <si>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</si>
  <si>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</si>
  <si>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</si>
  <si>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</si>
  <si>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</si>
  <si>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</si>
  <si>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</si>
  <si>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</si>
  <si>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</si>
  <si>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</si>
  <si>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</si>
  <si>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</si>
  <si>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</si>
  <si>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</si>
  <si>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</si>
  <si>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</si>
  <si>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</si>
  <si>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</si>
  <si>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</si>
  <si>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</si>
  <si>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</si>
  <si>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</si>
  <si>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</si>
  <si>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</si>
  <si>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</si>
  <si>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</si>
  <si>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</si>
  <si>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</si>
  <si>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</si>
  <si>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</si>
  <si>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</si>
  <si>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</si>
  <si>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</si>
  <si>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</si>
  <si>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</si>
  <si>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</si>
  <si>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</si>
  <si>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</si>
  <si>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</si>
  <si>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</si>
  <si>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</si>
  <si>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</si>
  <si>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</si>
  <si>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</si>
  <si>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</si>
  <si>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</si>
  <si>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</si>
  <si>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</si>
  <si>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</si>
  <si>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</si>
  <si>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</si>
  <si>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</si>
  <si>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</si>
  <si>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</si>
  <si>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</si>
  <si>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</si>
  <si>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</si>
  <si>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</si>
  <si>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</si>
  <si>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</si>
  <si>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</si>
  <si>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</si>
  <si>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</si>
  <si>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</si>
  <si>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</si>
  <si>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</si>
  <si>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</si>
  <si>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</si>
  <si>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</si>
  <si>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</si>
  <si>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</si>
  <si>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</si>
  <si>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</si>
  <si>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</si>
  <si>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</si>
  <si>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</si>
  <si>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</si>
  <si>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</si>
  <si>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</si>
  <si>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</si>
  <si>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</si>
  <si>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</si>
  <si>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</si>
  <si>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</si>
  <si>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</si>
  <si>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</si>
  <si>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</si>
  <si>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</si>
  <si>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</si>
  <si>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</si>
  <si>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</si>
  <si>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</si>
  <si>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</si>
  <si>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</si>
  <si>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</si>
  <si>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</si>
  <si>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</si>
  <si>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</si>
  <si>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</si>
  <si>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</si>
  <si>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</si>
  <si>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</si>
  <si>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</si>
  <si>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</si>
  <si>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</si>
  <si>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</si>
  <si>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</si>
  <si>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</si>
  <si>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</si>
  <si>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</si>
  <si>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</si>
  <si>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</si>
  <si>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</si>
  <si>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</si>
  <si>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</si>
  <si>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</si>
  <si>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</si>
  <si>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</si>
  <si>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</si>
  <si>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</si>
  <si>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</si>
  <si>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</si>
  <si>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</si>
  <si>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</si>
  <si>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</si>
  <si>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</si>
  <si>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</si>
  <si>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</si>
  <si>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</si>
  <si>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</si>
  <si>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</si>
  <si>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</si>
  <si>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</si>
  <si>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</si>
  <si>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</si>
  <si>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</si>
  <si>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</si>
  <si>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</si>
  <si>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</si>
  <si>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</si>
  <si>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</si>
  <si>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</si>
  <si>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</si>
  <si>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</si>
  <si>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</si>
  <si>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</si>
  <si>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</si>
  <si>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</si>
  <si>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</si>
  <si>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</si>
  <si>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</si>
  <si>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</si>
  <si>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</si>
  <si>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</si>
  <si>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</si>
  <si>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</si>
  <si>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</si>
  <si>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</si>
  <si>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</si>
  <si>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</si>
  <si>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</si>
  <si>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</si>
  <si>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</si>
  <si>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</si>
  <si>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</si>
  <si>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</si>
  <si>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</si>
  <si>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</si>
  <si>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</si>
  <si>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</si>
  <si>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</si>
  <si>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</si>
  <si>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</si>
  <si>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</si>
  <si>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</si>
  <si>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</si>
  <si>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</si>
  <si>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</si>
  <si>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</si>
  <si>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</si>
  <si>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</si>
  <si>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</si>
  <si>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</si>
  <si>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</si>
  <si>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</si>
  <si>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</si>
  <si>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</si>
  <si>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</si>
  <si>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</si>
  <si>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</si>
  <si>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</si>
  <si>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</si>
  <si>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</si>
  <si>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</si>
  <si>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</si>
  <si>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</si>
  <si>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</si>
  <si>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</si>
  <si>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</si>
  <si>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</si>
  <si>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</si>
  <si>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</si>
  <si>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</si>
  <si>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</si>
  <si>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</si>
  <si>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</si>
  <si>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</si>
  <si>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</si>
  <si>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</si>
  <si>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</si>
  <si>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</si>
  <si>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</si>
  <si>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</si>
  <si>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</si>
  <si>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</si>
  <si>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</si>
  <si>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</si>
  <si>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</si>
  <si>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</si>
  <si>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</si>
  <si>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</si>
  <si>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</si>
  <si>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</si>
  <si>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</si>
  <si>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</si>
  <si>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</si>
  <si>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</si>
  <si>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</si>
  <si>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</si>
  <si>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</si>
  <si>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</si>
  <si>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</si>
  <si>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</si>
  <si>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</si>
  <si>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</si>
  <si>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</si>
  <si>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</si>
  <si>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</si>
  <si>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</si>
  <si>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</si>
  <si>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</si>
  <si>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</si>
  <si>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</si>
  <si>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</si>
  <si>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</si>
  <si>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</si>
  <si>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</si>
  <si>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</si>
  <si>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</si>
  <si>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</si>
  <si>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</si>
  <si>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</si>
  <si>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</si>
  <si>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</si>
  <si>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</si>
  <si>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</si>
  <si>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</si>
  <si>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</si>
  <si>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</si>
  <si>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</si>
  <si>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</si>
  <si>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</si>
  <si>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</si>
  <si>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</si>
  <si>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</si>
  <si>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</si>
  <si>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</si>
  <si>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</si>
  <si>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</si>
  <si>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</si>
  <si>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</si>
  <si>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</si>
  <si>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</si>
  <si>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</si>
  <si>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</si>
  <si>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</si>
  <si>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</si>
  <si>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</si>
  <si>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</si>
  <si>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</si>
  <si>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</si>
  <si>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</si>
  <si>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</si>
  <si>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</si>
  <si>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</si>
  <si>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</si>
  <si>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</si>
  <si>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</si>
  <si>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</si>
  <si>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</si>
  <si>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</si>
  <si>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</si>
  <si>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</si>
  <si>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</si>
  <si>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</si>
  <si>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</si>
  <si>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</si>
  <si>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</si>
  <si>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</si>
  <si>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</si>
  <si>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</si>
  <si>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</si>
  <si>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</si>
  <si>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</si>
  <si>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</si>
  <si>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</si>
  <si>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</si>
  <si>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</si>
  <si>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</si>
  <si>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</si>
  <si>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</si>
  <si>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</si>
  <si>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</si>
  <si>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</si>
  <si>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</si>
  <si>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</si>
  <si>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</si>
  <si>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</si>
  <si>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</si>
  <si>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</si>
  <si>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</si>
  <si>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</si>
  <si>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</si>
  <si>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</si>
  <si>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</si>
  <si>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</si>
  <si>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</si>
  <si>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</si>
  <si>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</si>
  <si>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</si>
  <si>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</si>
  <si>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</si>
  <si>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</si>
  <si>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</si>
  <si>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</si>
  <si>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</si>
  <si>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</si>
  <si>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</si>
  <si>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</si>
  <si>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</si>
  <si>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</si>
  <si>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</si>
  <si>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</si>
  <si>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</si>
  <si>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</si>
  <si>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</si>
  <si>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</si>
  <si>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</si>
  <si>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</si>
  <si>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</si>
  <si>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</si>
  <si>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</si>
  <si>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</si>
  <si>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</si>
  <si>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</si>
  <si>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</si>
  <si>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</si>
  <si>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</si>
  <si>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</si>
  <si>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</si>
  <si>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</si>
  <si>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</si>
  <si>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</si>
  <si>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</si>
  <si>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</si>
  <si>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</si>
  <si>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</si>
  <si>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</si>
  <si>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</si>
  <si>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</si>
  <si>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</si>
  <si>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</si>
  <si>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</si>
  <si>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</si>
  <si>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</si>
  <si>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</si>
  <si>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</si>
  <si>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</si>
  <si>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</si>
  <si>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</si>
  <si>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</si>
  <si>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</si>
  <si>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</si>
  <si>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</si>
  <si>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</si>
  <si>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</si>
  <si>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</si>
  <si>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</si>
  <si>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</si>
  <si>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</si>
  <si>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</si>
  <si>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</si>
  <si>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</si>
  <si>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</si>
  <si>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</si>
  <si>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</si>
  <si>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</si>
  <si>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</si>
  <si>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</si>
  <si>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</si>
  <si>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</si>
  <si>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</si>
  <si>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</si>
  <si>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</si>
  <si>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</si>
  <si>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</si>
  <si>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</si>
  <si>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</si>
  <si>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</si>
  <si>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</si>
  <si>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</si>
  <si>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</si>
  <si>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</si>
  <si>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</si>
  <si>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</si>
  <si>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</si>
  <si>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</si>
  <si>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</si>
  <si>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</si>
  <si>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</si>
  <si>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</si>
  <si>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</si>
  <si>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</si>
  <si>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</si>
  <si>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</si>
  <si>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</si>
  <si>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</si>
  <si>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</si>
  <si>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</si>
  <si>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</si>
  <si>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</si>
  <si>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</si>
  <si>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</si>
  <si>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</si>
  <si>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</si>
  <si>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</si>
  <si>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</si>
  <si>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</si>
  <si>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</si>
  <si>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</si>
  <si>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</si>
  <si>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</si>
  <si>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</si>
  <si>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</si>
  <si>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</si>
  <si>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</si>
  <si>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</si>
  <si>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</si>
  <si>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</si>
  <si>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</si>
  <si>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</si>
  <si>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</si>
  <si>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</si>
  <si>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</si>
  <si>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</si>
  <si>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</si>
  <si>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</si>
  <si>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</si>
  <si>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</si>
  <si>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</si>
  <si>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</si>
  <si>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</si>
  <si>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</si>
  <si>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</si>
  <si>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</si>
  <si>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</si>
  <si>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</si>
  <si>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</si>
  <si>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</si>
  <si>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</si>
  <si>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</si>
  <si>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</si>
  <si>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</si>
  <si>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</si>
  <si>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</si>
  <si>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</si>
  <si>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</si>
  <si>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</si>
  <si>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</si>
  <si>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</si>
  <si>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</si>
  <si>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</si>
  <si>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</si>
  <si>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</si>
  <si>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</si>
  <si>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</si>
  <si>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</si>
  <si>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</si>
  <si>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</si>
  <si>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</si>
  <si>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</si>
  <si>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</si>
  <si>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</si>
  <si>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</si>
  <si>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</si>
  <si>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</si>
  <si>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</si>
  <si>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</si>
  <si>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</si>
  <si>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</si>
  <si>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</si>
  <si>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</si>
  <si>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</si>
  <si>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</si>
  <si>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</si>
  <si>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</si>
  <si>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</si>
  <si>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</si>
  <si>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</si>
  <si>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</si>
  <si>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</si>
  <si>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</si>
  <si>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</si>
  <si>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</si>
  <si>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</si>
  <si>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</si>
  <si>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</si>
  <si>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</si>
  <si>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</si>
  <si>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</si>
  <si>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</si>
  <si>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</si>
  <si>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</si>
  <si>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</si>
  <si>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</si>
  <si>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</si>
  <si>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</si>
  <si>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</si>
  <si>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</si>
  <si>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</si>
  <si>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</si>
  <si>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</si>
  <si>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</si>
  <si>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</si>
  <si>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</si>
  <si>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</si>
  <si>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</si>
  <si>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</si>
  <si>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</si>
  <si>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</si>
  <si>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</si>
  <si>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</si>
  <si>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</si>
  <si>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</si>
  <si>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</si>
  <si>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</si>
  <si>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</si>
  <si>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</si>
  <si>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</si>
  <si>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</si>
  <si>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</si>
  <si>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</si>
  <si>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</si>
  <si>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</si>
  <si>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</si>
  <si>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</si>
  <si>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</si>
  <si>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</si>
  <si>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</si>
  <si>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</si>
  <si>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</si>
  <si>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</si>
  <si>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</si>
  <si>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</si>
  <si>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</si>
  <si>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</si>
  <si>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</si>
  <si>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</si>
  <si>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</si>
  <si>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</si>
  <si>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</si>
  <si>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</si>
  <si>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</si>
  <si>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</si>
  <si>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</si>
  <si>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</si>
  <si>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</si>
  <si>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</si>
  <si>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</si>
  <si>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</si>
  <si>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</si>
  <si>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</si>
  <si>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</si>
  <si>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</si>
  <si>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</si>
  <si>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</si>
  <si>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</si>
  <si>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</si>
  <si>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</si>
  <si>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</si>
  <si>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</si>
  <si>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</si>
  <si>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</si>
  <si>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</si>
  <si>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</si>
  <si>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</si>
  <si>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</si>
  <si>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</si>
  <si>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</si>
  <si>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</si>
  <si>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</si>
  <si>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</si>
  <si>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</si>
  <si>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</si>
  <si>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</si>
  <si>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</si>
  <si>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</si>
  <si>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</si>
  <si>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</si>
  <si>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</si>
  <si>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</si>
  <si>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</si>
  <si>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</si>
  <si>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</si>
  <si>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</si>
  <si>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</si>
  <si>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</si>
  <si>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</si>
  <si>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</si>
  <si>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</si>
  <si>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</si>
  <si>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</si>
  <si>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</si>
  <si>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</si>
  <si>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</si>
  <si>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</si>
  <si>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</si>
  <si>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</si>
  <si>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</si>
  <si>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</si>
  <si>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</si>
  <si>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</si>
  <si>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</si>
  <si>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</si>
  <si>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</si>
  <si>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</si>
  <si>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</si>
  <si>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</si>
  <si>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</si>
  <si>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</si>
  <si>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</si>
  <si>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</si>
  <si>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</si>
  <si>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</si>
  <si>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</si>
  <si>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</si>
  <si>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</si>
  <si>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</si>
  <si>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</si>
  <si>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</si>
  <si>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</si>
  <si>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</si>
  <si>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</si>
  <si>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</si>
  <si>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</si>
  <si>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</si>
  <si>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</si>
  <si>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</si>
  <si>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</si>
  <si>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</si>
  <si>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</si>
  <si>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</si>
  <si>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</si>
  <si>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</si>
  <si>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</si>
  <si>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</si>
  <si>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</si>
  <si>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</si>
  <si>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</si>
  <si>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</si>
  <si>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</si>
  <si>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</si>
  <si>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</si>
  <si>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</si>
  <si>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</si>
  <si>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</si>
  <si>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</si>
  <si>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</si>
  <si>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</si>
  <si>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</si>
  <si>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</si>
  <si>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</si>
  <si>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</si>
  <si>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</si>
  <si>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</si>
  <si>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</si>
  <si>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</si>
  <si>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</si>
  <si>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</si>
  <si>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</si>
  <si>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</si>
  <si>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</si>
  <si>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</si>
  <si>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</si>
  <si>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</si>
  <si>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</si>
  <si>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</si>
  <si>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</si>
  <si>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</si>
  <si>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</si>
  <si>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</si>
  <si>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</si>
  <si>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</si>
  <si>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</si>
  <si>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</si>
  <si>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</si>
  <si>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</si>
  <si>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</si>
  <si>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</si>
  <si>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</si>
  <si>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</si>
  <si>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</si>
  <si>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</si>
  <si>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</si>
  <si>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</si>
  <si>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</si>
  <si>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</si>
  <si>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</si>
  <si>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</si>
  <si>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</si>
  <si>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</si>
  <si>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</si>
  <si>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</si>
  <si>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</si>
  <si>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</si>
  <si>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</si>
  <si>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</si>
  <si>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</si>
  <si>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</si>
  <si>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</si>
  <si>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</si>
  <si>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</si>
  <si>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</si>
  <si>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</si>
  <si>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</si>
  <si>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</si>
  <si>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</si>
  <si>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</si>
  <si>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</si>
  <si>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</si>
  <si>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</si>
  <si>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</si>
  <si>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</si>
  <si>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</si>
  <si>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</si>
  <si>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</si>
  <si>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</si>
  <si>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</si>
  <si>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</si>
  <si>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</si>
  <si>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</si>
  <si>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</si>
  <si>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</si>
  <si>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</si>
  <si>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</si>
  <si>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</si>
  <si>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</si>
  <si>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</si>
  <si>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</si>
  <si>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</si>
  <si>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</si>
  <si>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</si>
  <si>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</si>
  <si>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</si>
  <si>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</si>
  <si>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</si>
  <si>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</si>
  <si>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</si>
  <si>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</si>
  <si>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</si>
  <si>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</si>
  <si>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</si>
  <si>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</si>
  <si>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</si>
  <si>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</si>
  <si>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</si>
  <si>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</si>
  <si>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</si>
  <si>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</si>
  <si>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</si>
  <si>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</si>
  <si>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</si>
  <si>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</si>
  <si>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</si>
  <si>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</si>
  <si>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</si>
  <si>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</si>
  <si>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</si>
  <si>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</si>
  <si>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</si>
  <si>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</si>
  <si>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</si>
  <si>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</si>
  <si>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</si>
  <si>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</si>
  <si>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</si>
  <si>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</si>
  <si>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</si>
  <si>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</si>
  <si>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</si>
  <si>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</si>
  <si>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</si>
  <si>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</si>
  <si>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</si>
  <si>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</si>
  <si>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</si>
  <si>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</si>
  <si>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</si>
  <si>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</si>
  <si>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</si>
  <si>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</si>
  <si>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</si>
  <si>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</si>
  <si>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</si>
  <si>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</si>
  <si>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</si>
  <si>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</si>
  <si>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</si>
  <si>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</si>
  <si>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</si>
  <si>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</si>
  <si>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</si>
  <si>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</si>
  <si>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</si>
  <si>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</si>
  <si>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</si>
  <si>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</si>
  <si>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</si>
  <si>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</si>
  <si>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</si>
  <si>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</si>
  <si>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</si>
  <si>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</si>
  <si>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</si>
  <si>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</si>
  <si>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</si>
  <si>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</si>
  <si>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</si>
  <si>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</si>
  <si>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</si>
  <si>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</si>
  <si>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</si>
  <si>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</si>
  <si>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</si>
  <si>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</si>
  <si>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</si>
  <si>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</si>
  <si>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</si>
  <si>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</si>
  <si>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</si>
  <si>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</si>
  <si>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</si>
  <si>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</si>
  <si>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</si>
  <si>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</si>
  <si>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</si>
  <si>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</si>
  <si>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</si>
  <si>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</si>
  <si>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</si>
  <si>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</si>
  <si>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</si>
  <si>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</si>
  <si>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</si>
  <si>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</si>
  <si>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</si>
  <si>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</si>
  <si>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</si>
  <si>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</si>
  <si>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</si>
  <si>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</si>
  <si>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</si>
  <si>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</si>
  <si>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</si>
  <si>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</si>
  <si>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</si>
  <si>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</si>
  <si>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</si>
  <si>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</si>
  <si>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</si>
  <si>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</si>
  <si>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</si>
  <si>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</si>
  <si>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</si>
  <si>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</si>
  <si>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</si>
  <si>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</si>
  <si>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</si>
  <si>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</si>
  <si>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</si>
  <si>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</si>
  <si>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</si>
  <si>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</si>
  <si>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</si>
  <si>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</si>
  <si>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</si>
  <si>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</si>
  <si>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</si>
  <si>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</si>
  <si>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</si>
  <si>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</si>
  <si>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</si>
  <si>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</si>
  <si>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</si>
  <si>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</si>
  <si>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</si>
  <si>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</si>
  <si>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</si>
  <si>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</si>
  <si>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</si>
  <si>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</si>
  <si>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</si>
  <si>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</si>
  <si>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</si>
  <si>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</si>
  <si>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</si>
  <si>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</si>
  <si>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</si>
  <si>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</si>
  <si>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</si>
  <si>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</si>
  <si>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</si>
  <si>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</si>
  <si>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</si>
  <si>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</si>
  <si>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</si>
  <si>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</si>
  <si>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</si>
  <si>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</si>
  <si>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</si>
  <si>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</si>
  <si>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</si>
  <si>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</si>
  <si>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</si>
  <si>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</si>
  <si>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</si>
  <si>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</si>
  <si>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</si>
  <si>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</si>
  <si>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</si>
  <si>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</si>
  <si>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</si>
  <si>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</si>
  <si>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</si>
  <si>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</si>
  <si>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</si>
  <si>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</si>
  <si>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</si>
  <si>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</si>
  <si>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</si>
  <si>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</si>
  <si>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</si>
  <si>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</si>
  <si>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</si>
  <si>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</si>
  <si>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</si>
  <si>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</si>
  <si>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</si>
  <si>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</si>
  <si>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</si>
  <si>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</si>
  <si>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</si>
  <si>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</si>
  <si>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</si>
  <si>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</si>
  <si>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</si>
  <si>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</si>
  <si>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</si>
  <si>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</si>
  <si>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</si>
  <si>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</si>
  <si>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</si>
  <si>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</si>
  <si>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</si>
  <si>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</si>
  <si>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</si>
  <si>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</si>
  <si>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</si>
  <si>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</si>
  <si>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</si>
  <si>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</si>
  <si>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</si>
  <si>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</si>
  <si>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</si>
  <si>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</si>
  <si>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</si>
  <si>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</si>
  <si>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</si>
  <si>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</si>
  <si>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</si>
  <si>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</si>
  <si>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</si>
  <si>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</si>
  <si>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</si>
  <si>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</si>
  <si>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</si>
  <si>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</si>
  <si>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</si>
  <si>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</si>
  <si>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</si>
  <si>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</si>
  <si>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</si>
  <si>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</si>
  <si>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</si>
  <si>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</si>
  <si>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</si>
  <si>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</si>
  <si>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</si>
  <si>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</si>
  <si>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</si>
  <si>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</si>
  <si>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</si>
  <si>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</si>
  <si>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</si>
  <si>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</si>
  <si>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</si>
  <si>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</si>
  <si>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</si>
  <si>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</si>
  <si>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</si>
  <si>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</si>
  <si>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</si>
  <si>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</si>
  <si>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</si>
  <si>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</si>
  <si>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</si>
  <si>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</si>
  <si>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</si>
  <si>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</si>
  <si>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</si>
  <si>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</si>
  <si>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</si>
  <si>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</si>
  <si>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</si>
  <si>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</si>
  <si>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</si>
  <si>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</si>
  <si>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</si>
  <si>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</si>
  <si>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</si>
  <si>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</si>
  <si>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</si>
  <si>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</si>
  <si>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</si>
  <si>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</si>
  <si>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</si>
  <si>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</si>
  <si>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</si>
  <si>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</si>
  <si>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</si>
  <si>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</si>
  <si>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</si>
  <si>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</si>
  <si>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</si>
  <si>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</si>
  <si>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</si>
  <si>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</si>
  <si>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</si>
  <si>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</si>
  <si>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</si>
  <si>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</si>
  <si>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</si>
  <si>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</si>
  <si>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</si>
  <si>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</si>
  <si>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</si>
  <si>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</si>
  <si>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</si>
  <si>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</si>
  <si>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</si>
  <si>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</si>
  <si>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</si>
  <si>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</si>
  <si>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</si>
  <si>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</si>
  <si>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</si>
  <si>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</si>
  <si>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</si>
  <si>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</si>
  <si>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</si>
  <si>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</si>
  <si>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</si>
  <si>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</si>
  <si>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</si>
  <si>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</si>
  <si>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</si>
  <si>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</si>
  <si>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</si>
  <si>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</si>
  <si>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</si>
  <si>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</si>
  <si>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</si>
  <si>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</si>
  <si>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</si>
  <si>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</si>
  <si>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</si>
  <si>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</si>
  <si>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</si>
  <si>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</si>
  <si>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</si>
  <si>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</si>
  <si>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</si>
  <si>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</si>
  <si>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</si>
  <si>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</si>
  <si>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</si>
  <si>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</si>
  <si>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</si>
  <si>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</si>
  <si>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</si>
  <si>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</si>
  <si>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</si>
  <si>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</si>
  <si>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</si>
  <si>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</si>
  <si>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</si>
  <si>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</si>
  <si>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</si>
  <si>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</si>
  <si>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</si>
  <si>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</si>
  <si>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</si>
  <si>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</si>
  <si>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</si>
  <si>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</si>
  <si>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</si>
  <si>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</si>
  <si>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</si>
  <si>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</si>
  <si>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</si>
  <si>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</si>
  <si>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</si>
  <si>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</si>
  <si>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</si>
  <si>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</si>
  <si>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</si>
  <si>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</si>
  <si>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</si>
  <si>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</si>
  <si>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</si>
  <si>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</si>
  <si>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</si>
  <si>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</si>
  <si>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</si>
  <si>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</si>
  <si>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</si>
  <si>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</si>
  <si>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</si>
  <si>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</si>
  <si>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</si>
  <si>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</si>
  <si>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</si>
  <si>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</si>
  <si>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</si>
  <si>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</si>
  <si>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</si>
  <si>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</si>
  <si>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</si>
  <si>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</si>
  <si>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</si>
  <si>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</si>
  <si>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</si>
  <si>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</si>
  <si>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</si>
  <si>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</si>
  <si>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</si>
  <si>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</si>
  <si>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</si>
  <si>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</si>
  <si>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</si>
  <si>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</si>
  <si>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</si>
  <si>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</si>
  <si>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</si>
  <si>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</si>
  <si>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</si>
  <si>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</si>
  <si>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</si>
  <si>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</si>
  <si>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</si>
  <si>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</si>
  <si>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</si>
  <si>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</si>
  <si>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</si>
  <si>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</si>
  <si>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</si>
  <si>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</si>
  <si>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</si>
  <si>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</si>
  <si>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</si>
  <si>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</si>
  <si>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</si>
  <si>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</si>
  <si>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</si>
  <si>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</si>
  <si>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</si>
  <si>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</si>
  <si>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</si>
  <si>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</si>
  <si>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</si>
  <si>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</si>
  <si>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</si>
  <si>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</si>
  <si>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</si>
  <si>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</si>
  <si>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</si>
  <si>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</si>
  <si>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</si>
  <si>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</si>
  <si>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</si>
  <si>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</si>
  <si>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</si>
  <si>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</si>
  <si>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</si>
  <si>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</si>
  <si>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</si>
  <si>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</si>
  <si>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2020-3</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</si>
  <si>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</si>
  <si>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</si>
  <si>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</si>
  <si>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</si>
  <si>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</si>
  <si>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</si>
  <si>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</si>
  <si>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</si>
  <si>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</si>
  <si>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</si>
  <si>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</si>
  <si>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</si>
  <si>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</si>
  <si>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</si>
  <si>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</si>
  <si>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</si>
  <si>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</si>
  <si>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</si>
  <si>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</si>
  <si>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</si>
  <si>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</si>
  <si>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</si>
  <si>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</si>
  <si>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</si>
  <si>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</si>
  <si>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</si>
  <si>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</si>
  <si>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</si>
  <si>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</si>
  <si>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</si>
  <si>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</si>
  <si>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</si>
  <si>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</si>
  <si>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</si>
  <si>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</si>
  <si>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</si>
  <si>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</si>
  <si>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王鹏</t>
  </si>
  <si>
    <t>郑燚</t>
  </si>
  <si>
    <t>中诚信托有限责任公司</t>
    <phoneticPr fontId="7" type="noConversion"/>
  </si>
  <si>
    <t>抵押价格</t>
  </si>
  <si>
    <t>其他：</t>
  </si>
  <si>
    <t>企业</t>
  </si>
  <si>
    <t>一致</t>
  </si>
  <si>
    <t>符合</t>
  </si>
  <si>
    <t>商业</t>
  </si>
  <si>
    <t>郑州高新碧桂园房地产开发有限公司</t>
  </si>
  <si>
    <t>郑州高新碧桂园房地产开发有限公司</t>
    <phoneticPr fontId="7" type="noConversion"/>
  </si>
  <si>
    <t>河南省郑州市高新区</t>
    <phoneticPr fontId="7" type="noConversion"/>
  </si>
  <si>
    <t>站北路北、新荣路东</t>
  </si>
  <si>
    <t>站北路北、新荣路东</t>
    <phoneticPr fontId="7" type="noConversion"/>
  </si>
  <si>
    <t>城镇住宅、交通服务场站</t>
    <phoneticPr fontId="7" type="noConversion"/>
  </si>
  <si>
    <t>住宅</t>
    <phoneticPr fontId="7" type="noConversion"/>
  </si>
  <si>
    <t>《不动产权证书》[豫（2020）郑州市不动产权第0097105号]</t>
    <phoneticPr fontId="7" type="noConversion"/>
  </si>
  <si>
    <t>《国有建设用地使用权出让合同》[电子监管号：4101002020B07222]及附件、《建设工程规划许可证》[郑规建（建筑）字第410100202019033号]</t>
    <phoneticPr fontId="7" type="noConversion"/>
  </si>
  <si>
    <t>否</t>
  </si>
  <si>
    <t>住宅69.7年</t>
    <phoneticPr fontId="7" type="noConversion"/>
  </si>
  <si>
    <t>居住项目</t>
  </si>
  <si>
    <t>无</t>
  </si>
  <si>
    <t>宗地内已开工建设</t>
  </si>
  <si>
    <t>正在进行基础及主体结构施工</t>
    <phoneticPr fontId="7" type="noConversion"/>
  </si>
  <si>
    <t>平整</t>
  </si>
  <si>
    <t>通路</t>
  </si>
  <si>
    <t>通电</t>
  </si>
  <si>
    <t>通讯</t>
  </si>
  <si>
    <t>通上水</t>
  </si>
  <si>
    <t>通下水</t>
  </si>
  <si>
    <t>通热</t>
  </si>
  <si>
    <t>燃气</t>
  </si>
  <si>
    <t>《郑州市人民政府关于印发郑州市城市基础设施配套费征收管理办法的通知》[郑政文〔2017〕100号]http://www.ghhn.com/news_show.aspx?Id=65</t>
    <phoneticPr fontId="4" type="noConversion"/>
  </si>
  <si>
    <t>土地（套用方法）</t>
  </si>
  <si>
    <t>按租金收入计税</t>
  </si>
  <si>
    <t>钢混</t>
  </si>
  <si>
    <t>售价</t>
  </si>
  <si>
    <t>楼面地价</t>
  </si>
  <si>
    <t>郑州市监测指标情况一览表</t>
  </si>
  <si>
    <t>时间</t>
  </si>
  <si>
    <t>水平值</t>
  </si>
  <si>
    <t>环比增长率</t>
  </si>
  <si>
    <t>正常</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</si>
  <si>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</si>
  <si>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</si>
  <si>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</si>
  <si>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</si>
  <si>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</si>
  <si>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</si>
  <si>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</si>
  <si>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</si>
  <si>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</si>
  <si>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</si>
  <si>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</si>
  <si>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</si>
  <si>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</si>
  <si>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</si>
  <si>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</si>
  <si>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</si>
  <si>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</si>
  <si>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</si>
  <si>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</si>
  <si>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</si>
  <si>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</si>
  <si>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</si>
  <si>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</si>
  <si>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</si>
  <si>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</si>
  <si>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</si>
  <si>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</si>
  <si>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</si>
  <si>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</si>
  <si>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</si>
  <si>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</si>
  <si>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</si>
  <si>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</si>
  <si>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</si>
  <si>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</si>
  <si>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</si>
  <si>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</si>
  <si>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</si>
  <si>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</si>
  <si>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</si>
  <si>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</si>
  <si>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</si>
  <si>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</si>
  <si>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</si>
  <si>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冬青街南、碧桃路东</t>
  </si>
  <si>
    <t>郑州市</t>
  </si>
  <si>
    <t>综合用地(含住宅)</t>
  </si>
  <si>
    <t>高新区</t>
  </si>
  <si>
    <t>挂牌</t>
  </si>
  <si>
    <t>郑政高出〔2020〕10号(网)</t>
  </si>
  <si>
    <t>城镇住宅用地(地下交通服务场站用地)</t>
  </si>
  <si>
    <t>＞1.1,＜4.0</t>
  </si>
  <si>
    <t/>
  </si>
  <si>
    <t>限地价,熔断</t>
  </si>
  <si>
    <t>未开工</t>
  </si>
  <si>
    <t>2020-06-25</t>
  </si>
  <si>
    <t>2020-07-15</t>
  </si>
  <si>
    <t>2020-07-29</t>
  </si>
  <si>
    <t>郑高国土交易告字〔2020〕7号</t>
  </si>
  <si>
    <t>已成交</t>
  </si>
  <si>
    <t>河南朗泰置业有限公司</t>
  </si>
  <si>
    <t>城镇住宅70(地下50)</t>
  </si>
  <si>
    <t>5星</t>
  </si>
  <si>
    <t>木荷路西、青梅街北</t>
  </si>
  <si>
    <t>郑政高出〔2020〕9号(网)</t>
  </si>
  <si>
    <t>大于1.1,小于2.0</t>
  </si>
  <si>
    <t>2020-05-16</t>
  </si>
  <si>
    <t>2020-06-05</t>
  </si>
  <si>
    <t>2020-06-19</t>
  </si>
  <si>
    <t>郑高国土交易告字[2020]6号</t>
  </si>
  <si>
    <t>郑州煜盛房地产开发有限公司</t>
  </si>
  <si>
    <t>城镇住宅70年,地下交通服务场站50年</t>
  </si>
  <si>
    <t>3星</t>
  </si>
  <si>
    <t>创新大道西、金盏街南</t>
  </si>
  <si>
    <t>郑政高出〔2020〕7号(网)</t>
  </si>
  <si>
    <t>城镇住宅用地兼容零售商业、批发市场、餐饮、旅馆用地(地下交通服务场站用地)</t>
  </si>
  <si>
    <t>＞1.1＜2.5</t>
  </si>
  <si>
    <t>2020-04-28</t>
  </si>
  <si>
    <t>2020-05-18</t>
  </si>
  <si>
    <t>2020-06-01</t>
  </si>
  <si>
    <t>郑高国土交易告字〔2020〕3号</t>
  </si>
  <si>
    <t>济南泰瑞房地产开发有限公司</t>
  </si>
  <si>
    <t>城镇住宅70,零售商业、批发市场、餐饮、旅馆40(地下50)</t>
  </si>
  <si>
    <t>2星</t>
  </si>
  <si>
    <t>长椿路东、科学大道北</t>
  </si>
  <si>
    <t>郑政高出〔2020〕8号(网)</t>
  </si>
  <si>
    <t>城镇住宅用地兼容零售商业、批发市场、餐饮、旅馆、商务金融用地(地下交通服务场站用地)</t>
  </si>
  <si>
    <t>＞1.1＜4.0</t>
  </si>
  <si>
    <t>郑州金威实业有限公司</t>
  </si>
  <si>
    <t>城镇住宅70,零售商业、批发市场、餐饮、旅馆、商务金融40(地下50)</t>
  </si>
  <si>
    <t>池北路北、郁香路东</t>
  </si>
  <si>
    <t>郑政高出〔2020〕4号(网)</t>
  </si>
  <si>
    <t>商务金融兼容城镇住宅零售商业、批发市场、餐饮、旅馆用地(地下交通服务场站用地)</t>
  </si>
  <si>
    <t>＜3.0</t>
  </si>
  <si>
    <t>2020-04-16</t>
  </si>
  <si>
    <t>2020-05-07</t>
  </si>
  <si>
    <t>2020-05-20</t>
  </si>
  <si>
    <t>郑高国土交易告字〔2020〕2号</t>
  </si>
  <si>
    <t>郑州玖智房地产开发有限公司</t>
  </si>
  <si>
    <t>商务金融、零售商业、批发市场、餐饮、旅馆40,城镇住宅70(地下50)</t>
  </si>
  <si>
    <t>4星</t>
  </si>
  <si>
    <t>郑政高出〔2020〕1号(网)</t>
  </si>
  <si>
    <t>城镇住宅,地下交通服务场站</t>
  </si>
  <si>
    <t>2020-03-07</t>
  </si>
  <si>
    <t>2020-03-27</t>
  </si>
  <si>
    <t>2020-04-13</t>
  </si>
  <si>
    <t>郑高国土交易告字〔2020〕1号</t>
  </si>
  <si>
    <t>城镇住宅70(地下交通服务场站50)</t>
  </si>
  <si>
    <t>站北路南、凯旋路东</t>
  </si>
  <si>
    <t>郑政高出〔2020〕2号(网)</t>
  </si>
  <si>
    <t>＞1.1,＜3.6</t>
  </si>
  <si>
    <t>豫十路北、潮河东路东</t>
  </si>
  <si>
    <t>郑政出〔2019〕85号(网)</t>
  </si>
  <si>
    <t>城镇住宅、地下空间用途交通服务场站</t>
  </si>
  <si>
    <t>＞1.1、＜2.5</t>
  </si>
  <si>
    <t>开工中</t>
  </si>
  <si>
    <t>2019-11-15</t>
  </si>
  <si>
    <t>2019-12-05</t>
  </si>
  <si>
    <t>2019-12-19</t>
  </si>
  <si>
    <t>郑国土资交易告字〔2019〕91号</t>
  </si>
  <si>
    <t>郑州开元盛世置业有限公司</t>
  </si>
  <si>
    <t>70、地下空间50</t>
  </si>
  <si>
    <t>站北路北、雄鹰东路西</t>
  </si>
  <si>
    <t>郑政高出〔2019〕33号(网)</t>
  </si>
  <si>
    <t>2019-11-14</t>
  </si>
  <si>
    <t>2019-12-04</t>
  </si>
  <si>
    <t>2019-12-18</t>
  </si>
  <si>
    <t>郑高国土交易告字〔2019〕12号</t>
  </si>
  <si>
    <t>落樱街南、雨蕉路东、滨河路北、秋罗路西</t>
  </si>
  <si>
    <t>郑政高出〔2019〕28号(网)</t>
  </si>
  <si>
    <t>＞1.1,＜2.7</t>
  </si>
  <si>
    <t>2019-09-13</t>
  </si>
  <si>
    <t>2019-10-08</t>
  </si>
  <si>
    <t>2019-10-21</t>
  </si>
  <si>
    <t>郑高国土交易告字〔2019〕10号-1</t>
  </si>
  <si>
    <t>河南康桥美景房地产开发有限责任公司</t>
  </si>
  <si>
    <t>冬青街南、雪松路西</t>
  </si>
  <si>
    <t>郑政高出〔2019〕26号(网)</t>
  </si>
  <si>
    <t>零售商业、批发市场、餐饮、旅馆用地兼容城镇住宅用地(地下交通服务场站用地)</t>
  </si>
  <si>
    <t>＜5.0</t>
  </si>
  <si>
    <t>2019-08-24</t>
  </si>
  <si>
    <t>2019-09-16</t>
  </si>
  <si>
    <t>2019-09-29</t>
  </si>
  <si>
    <t>郑高国土交易告字〔2019〕9号</t>
  </si>
  <si>
    <t>零售商业、批发市场、餐饮、旅馆40、城镇住宅70(地下交通服务场站50)</t>
  </si>
  <si>
    <t>宏达街南、西三环北延东</t>
  </si>
  <si>
    <t>郑政高出〔2019〕25号(网)</t>
  </si>
  <si>
    <t>住宅,商业,金融</t>
  </si>
  <si>
    <t>＞1.0,＜3.4</t>
  </si>
  <si>
    <t>河南荣田房地产开发有限公司</t>
  </si>
  <si>
    <t>城镇住宅70、零售商业、批发市场、餐饮、旅馆、商务金融40(地下交通服务场站50)</t>
  </si>
  <si>
    <t>冬青街北、石楠路东</t>
  </si>
  <si>
    <t>郑政高出〔2019〕27号(网)</t>
  </si>
  <si>
    <t>城镇住宅(地下交通服务场站用地)</t>
  </si>
  <si>
    <t>金梭路东、木兰里南</t>
  </si>
  <si>
    <t>郑政高出〔2019〕21号(网)</t>
  </si>
  <si>
    <t>商务金融用地兼容零售商业、批发市场、餐饮、旅馆和城镇住宅用地(地下交通服务场站用地)</t>
  </si>
  <si>
    <t>＜3.5</t>
  </si>
  <si>
    <t>2019-07-26</t>
  </si>
  <si>
    <t>2019-08-15</t>
  </si>
  <si>
    <t>2019-08-29</t>
  </si>
  <si>
    <t>郑高国土交易告字〔2019〕6号</t>
  </si>
  <si>
    <t>郑州玖仁置业有限公司</t>
  </si>
  <si>
    <t>城镇住宅70、商务金融、零售商业、批发市场、餐饮、旅馆40(地下50)</t>
  </si>
  <si>
    <t>科学大道北、瑞达路西</t>
  </si>
  <si>
    <t>郑政高出〔2019〕19号(网)</t>
  </si>
  <si>
    <t>零售商业、批发市场、餐饮、旅馆兼容城镇住宅用地(地下零售商业、批发市场、餐饮、旅馆用地和交通服务场站用地)</t>
  </si>
  <si>
    <t>＜5.1</t>
  </si>
  <si>
    <t>河南正弘高新实业公司</t>
  </si>
  <si>
    <t>零售商业、批发市场、餐饮、旅馆40、城镇住宅70(地下零售商业、批发市场、餐饮、旅馆40、交通服务场站50)</t>
  </si>
  <si>
    <t>翠竹街南、垂柳路东</t>
  </si>
  <si>
    <t>郑政高出〔2019〕16号(网)</t>
  </si>
  <si>
    <t>城镇住宅兼容零售商业、批发市场、餐饮、旅馆用地(地下交通服务场站用地)</t>
  </si>
  <si>
    <t>＞1.1,＜4.5</t>
  </si>
  <si>
    <t>2019-06-05</t>
  </si>
  <si>
    <t>2019-06-26</t>
  </si>
  <si>
    <t>2019-07-10</t>
  </si>
  <si>
    <t>郑高国土交易告字〔2019〕4号</t>
  </si>
  <si>
    <t>河南晟和祥实业有限公司</t>
  </si>
  <si>
    <t>城镇住宅70、零售商业、批发市场、餐饮、旅馆40(地下50)</t>
  </si>
  <si>
    <t>杜兰街南、红杉路西</t>
  </si>
  <si>
    <t>住宅用地</t>
  </si>
  <si>
    <t>郑政高出〔2019〕13号(网)</t>
  </si>
  <si>
    <t>城镇住宅</t>
  </si>
  <si>
    <t>＞1.0,＜3.5</t>
  </si>
  <si>
    <t>2019-05-26</t>
  </si>
  <si>
    <t>2019-06-17</t>
  </si>
  <si>
    <t>2019-07-01</t>
  </si>
  <si>
    <t>高国土交易告字〔2019〕3号</t>
  </si>
  <si>
    <t>郑州高新建设集团有限公司</t>
  </si>
  <si>
    <t>枫香街南、金柏路东</t>
  </si>
  <si>
    <t>郑政高出〔2019〕11号(网)</t>
  </si>
  <si>
    <t>枫香街南、红杉路西</t>
  </si>
  <si>
    <t>郑政高出〔2019〕12号(网)</t>
  </si>
  <si>
    <t>紫檀路东、杜英街南</t>
  </si>
  <si>
    <t>郑政高出〔2019〕2号(网)</t>
  </si>
  <si>
    <t>＞1.1,＜2.0</t>
  </si>
  <si>
    <t>2019-05-01</t>
  </si>
  <si>
    <t>2019-05-21</t>
  </si>
  <si>
    <t>2019-06-04</t>
  </si>
  <si>
    <t>郑高国土交易告字〔2019〕1号</t>
  </si>
  <si>
    <t>郑州融信朗悦置业有限公司</t>
  </si>
  <si>
    <t>70(地下50)</t>
  </si>
  <si>
    <t>石楠路西、冬青街北</t>
  </si>
  <si>
    <t>郑政高出〔2019〕7号(网)</t>
  </si>
  <si>
    <t>＞1.0,＜3.0</t>
  </si>
  <si>
    <t>熔断</t>
  </si>
  <si>
    <t>北京龙湖置业有限公司</t>
  </si>
  <si>
    <t>梧桐街南、梅林路东</t>
  </si>
  <si>
    <t>郑政高出〔2019〕3号(网)</t>
  </si>
  <si>
    <t>梧桐街北、梅林路东</t>
  </si>
  <si>
    <t>郑政高出〔2019〕1号(网)</t>
  </si>
  <si>
    <t>＞1.1,＜3.5</t>
  </si>
  <si>
    <t>杜英街北、红杉路西</t>
  </si>
  <si>
    <t>郑政高出〔2019〕6号(网)</t>
  </si>
  <si>
    <t>创文路东、星海路南</t>
  </si>
  <si>
    <t>郑政出〔2018〕182号(网)</t>
  </si>
  <si>
    <t>城镇住宅(地下为交通服务场站)</t>
  </si>
  <si>
    <t>＞1.1,＜2</t>
  </si>
  <si>
    <t>2018-12-12</t>
  </si>
  <si>
    <t>2019-01-02</t>
  </si>
  <si>
    <t>2019-01-16</t>
  </si>
  <si>
    <t>郑国土资交易告字〔2018〕118号</t>
  </si>
  <si>
    <t>河南世茂海润置业有限公司</t>
  </si>
  <si>
    <t>红梅街南、川杨路西</t>
  </si>
  <si>
    <t>郑政出〔2018〕175号(网)</t>
  </si>
  <si>
    <t>＞1.1,＜2.5</t>
  </si>
  <si>
    <t>≤20%</t>
  </si>
  <si>
    <t>80米</t>
  </si>
  <si>
    <t>2018-11-23</t>
  </si>
  <si>
    <t>2018-12-27</t>
  </si>
  <si>
    <t>2019-01-11</t>
  </si>
  <si>
    <t>郑国土资交易告字〔2018〕116号</t>
  </si>
  <si>
    <t>河南新筑置业有限公司</t>
  </si>
  <si>
    <t>胡杨路东、落樱街北</t>
  </si>
  <si>
    <t>郑政出〔2018〕81号(网)</t>
  </si>
  <si>
    <t>限房价,熔断</t>
  </si>
  <si>
    <t>2018-06-09</t>
  </si>
  <si>
    <t>2018-06-29</t>
  </si>
  <si>
    <t>2018-07-13</t>
  </si>
  <si>
    <t>郑国土资交易告字〔2018〕52号</t>
  </si>
  <si>
    <t>落樱街北、黄椰路东</t>
  </si>
  <si>
    <t>郑政出〔2018〕77号(网)</t>
  </si>
  <si>
    <t>紫苏街南、秋罗路东</t>
  </si>
  <si>
    <t>郑政出〔2018〕76号(网)</t>
  </si>
  <si>
    <t>秋罗路东、紫苏街北</t>
  </si>
  <si>
    <t>郑政出〔2018〕75号(网)</t>
  </si>
  <si>
    <t>＞1.1,＜3.1</t>
  </si>
  <si>
    <t>冬青街南、石楠路东</t>
  </si>
  <si>
    <t>郑政出〔2017〕116(网)</t>
  </si>
  <si>
    <t>其他普通商品住房用地</t>
  </si>
  <si>
    <t>＞1.1且＜4</t>
  </si>
  <si>
    <t>2017-12-29</t>
  </si>
  <si>
    <t>2018-01-19</t>
  </si>
  <si>
    <t>2018-02-01</t>
  </si>
  <si>
    <t>郑国土资交易告字[2017]97号</t>
  </si>
  <si>
    <t>70年</t>
  </si>
  <si>
    <t>合欢街南、雪松路东</t>
  </si>
  <si>
    <t>郑政出〔2017〕118(网)</t>
  </si>
  <si>
    <t>合欢街北、碧桃路东</t>
  </si>
  <si>
    <t>郑政出〔2017〕117(网)</t>
  </si>
  <si>
    <t>＞1.1且＜3.9</t>
  </si>
  <si>
    <t>科学大道北、郁香路西</t>
  </si>
  <si>
    <t>郑政出〔2017〕93(网)</t>
  </si>
  <si>
    <t>＞1.1且＜4.5</t>
  </si>
  <si>
    <t>2017-12-08</t>
  </si>
  <si>
    <t>2018-01-15</t>
  </si>
  <si>
    <t>郑国土资交易告字[2017]88号</t>
  </si>
  <si>
    <t>住宅70年商业40年</t>
  </si>
  <si>
    <t>电厂西路东、西流湖路南</t>
  </si>
  <si>
    <t>郑政出〔2017〕77号(网)</t>
  </si>
  <si>
    <t>＞1且＜3.5</t>
  </si>
  <si>
    <t>已完工</t>
  </si>
  <si>
    <t>2017-10-31</t>
  </si>
  <si>
    <t>2017-11-20</t>
  </si>
  <si>
    <t>2017-12-01</t>
  </si>
  <si>
    <t>郑国土资交易告字[2017]71号-5</t>
  </si>
  <si>
    <t>河南荣福房地产开发有限公司</t>
  </si>
  <si>
    <t>翠竹街南、郁香路东</t>
  </si>
  <si>
    <t>郑政出〔2017〕73号(网)</t>
  </si>
  <si>
    <t>＞1且＜4.5</t>
  </si>
  <si>
    <t>郑国土资交易告字[2017]71号-1</t>
  </si>
  <si>
    <t>三峡路南、峨眉路西</t>
  </si>
  <si>
    <t>郑政出〔2017〕74号(网)</t>
  </si>
  <si>
    <t>＞1且＜5</t>
  </si>
  <si>
    <t>郑国土资交易告字[2017]71号-2</t>
  </si>
  <si>
    <t>河南上林置业有限公司</t>
  </si>
  <si>
    <t>电厂西路西、西流湖路南</t>
  </si>
  <si>
    <t>郑政出〔2017〕76号(网)</t>
  </si>
  <si>
    <t>＞1且＜6</t>
  </si>
  <si>
    <t>郑国土资交易告字[2017]71号-4</t>
  </si>
  <si>
    <t>郑政出〔2017〕72号(网)</t>
  </si>
  <si>
    <t>＞1且＜5.5</t>
  </si>
  <si>
    <t>2017-10-26</t>
  </si>
  <si>
    <t>2017-11-15</t>
  </si>
  <si>
    <t>2017-11-28</t>
  </si>
  <si>
    <t>郑国土资交易告字[2017]69号-2</t>
  </si>
  <si>
    <t>郑州元年房地产开发有限公司</t>
  </si>
  <si>
    <t>新龙路南、山桃路西</t>
  </si>
  <si>
    <t>郑政出〔2017〕63号(网)</t>
  </si>
  <si>
    <t>＞1.1且＜3.5</t>
  </si>
  <si>
    <t>2017-09-22</t>
  </si>
  <si>
    <t>2017-10-12</t>
  </si>
  <si>
    <t>2017-10-25</t>
  </si>
  <si>
    <t>郑国土资交易告字[2017]61号</t>
  </si>
  <si>
    <t>池北路北、垂柳路东</t>
  </si>
  <si>
    <t>郑政出〔2017〕61号(网)</t>
  </si>
  <si>
    <t>池北路北、郁香路西</t>
  </si>
  <si>
    <t>郑政出〔2017〕62号(网)</t>
  </si>
  <si>
    <t>红松路西、枫香街北</t>
  </si>
  <si>
    <t>郑政出〔2017〕49号(网)</t>
  </si>
  <si>
    <t>2017-09-11</t>
  </si>
  <si>
    <t>2017-10-09</t>
  </si>
  <si>
    <t>2017-10-20</t>
  </si>
  <si>
    <t>郑国土资交易告字[2017]48号-1</t>
  </si>
  <si>
    <t>河南省美景之州地产开发有限公司</t>
  </si>
  <si>
    <t>科学大道北、石楠路西</t>
  </si>
  <si>
    <t>郑政出〔2017〕47号(网)</t>
  </si>
  <si>
    <t>批发零售用地,城镇住宅用地</t>
  </si>
  <si>
    <t>＞1且＜4</t>
  </si>
  <si>
    <t>2017-08-03</t>
  </si>
  <si>
    <t>2017-08-24</t>
  </si>
  <si>
    <t>2017-09-06</t>
  </si>
  <si>
    <t>郑国土资交易[2017]37号</t>
  </si>
  <si>
    <t>郑州金航置业有限公司</t>
  </si>
  <si>
    <t>商服40年,住宅70年</t>
  </si>
  <si>
    <t>石楠路西、冬青街北</t>
    <phoneticPr fontId="229" type="noConversion"/>
  </si>
  <si>
    <t>朗悦</t>
    <phoneticPr fontId="229" type="noConversion"/>
  </si>
  <si>
    <t>保利</t>
    <phoneticPr fontId="229" type="noConversion"/>
  </si>
  <si>
    <t>龙湖</t>
    <phoneticPr fontId="229" type="noConversion"/>
  </si>
  <si>
    <t>开发商</t>
    <phoneticPr fontId="229" type="noConversion"/>
  </si>
  <si>
    <t>地上</t>
  </si>
  <si>
    <t>住宅（高层）</t>
  </si>
  <si>
    <t>住宅（高层）</t>
    <phoneticPr fontId="8" type="noConversion"/>
  </si>
  <si>
    <t>商业</t>
    <phoneticPr fontId="8" type="noConversion"/>
  </si>
  <si>
    <t>地下车位</t>
  </si>
  <si>
    <t>地下车位</t>
    <phoneticPr fontId="8" type="noConversion"/>
  </si>
  <si>
    <t>地下</t>
  </si>
  <si>
    <t>车库</t>
  </si>
  <si>
    <t>省会市名称</t>
  </si>
  <si>
    <t>建筑型式</t>
  </si>
  <si>
    <t>说明</t>
  </si>
  <si>
    <t>多层</t>
  </si>
  <si>
    <t>小高层</t>
  </si>
  <si>
    <t>高层</t>
  </si>
  <si>
    <t>郑州</t>
  </si>
  <si>
    <t>住宅</t>
    <phoneticPr fontId="22" type="noConversion"/>
  </si>
  <si>
    <t>60-70（含）</t>
  </si>
  <si>
    <t>高层</t>
    <phoneticPr fontId="22" type="noConversion"/>
  </si>
  <si>
    <t>钢混</t>
    <phoneticPr fontId="22" type="noConversion"/>
  </si>
  <si>
    <t>中档</t>
    <phoneticPr fontId="22" type="noConversion"/>
  </si>
  <si>
    <t>精装修</t>
    <phoneticPr fontId="22" type="noConversion"/>
  </si>
  <si>
    <t>专业</t>
    <phoneticPr fontId="22" type="noConversion"/>
  </si>
  <si>
    <t>七通</t>
  </si>
  <si>
    <t>七通</t>
    <phoneticPr fontId="22" type="noConversion"/>
  </si>
  <si>
    <t>平层</t>
    <phoneticPr fontId="22" type="noConversion"/>
  </si>
  <si>
    <t>精装</t>
  </si>
  <si>
    <t>精装</t>
    <phoneticPr fontId="22" type="noConversion"/>
  </si>
  <si>
    <t>简装</t>
    <phoneticPr fontId="22" type="noConversion"/>
  </si>
  <si>
    <t>毛坯</t>
  </si>
  <si>
    <t>毛坯</t>
    <phoneticPr fontId="22" type="noConversion"/>
  </si>
  <si>
    <t>不动产收益法（地下车位）</t>
  </si>
  <si>
    <t>不动产收益法（地下车位）</t>
    <phoneticPr fontId="15" type="noConversion"/>
  </si>
  <si>
    <t>不动产收益法（商业）</t>
  </si>
  <si>
    <t>分期</t>
    <phoneticPr fontId="282" type="noConversion"/>
  </si>
  <si>
    <t>地块</t>
    <phoneticPr fontId="282" type="noConversion"/>
  </si>
  <si>
    <t>项目名</t>
    <phoneticPr fontId="282" type="noConversion"/>
  </si>
  <si>
    <t>合同编号</t>
    <phoneticPr fontId="282" type="noConversion"/>
  </si>
  <si>
    <t>土地交付条件</t>
    <phoneticPr fontId="282" type="noConversion"/>
  </si>
  <si>
    <t>地价款/万元</t>
    <phoneticPr fontId="282" type="noConversion"/>
  </si>
  <si>
    <t>楼面单价</t>
    <phoneticPr fontId="282" type="noConversion"/>
  </si>
  <si>
    <t>容积率</t>
    <phoneticPr fontId="282" type="noConversion"/>
  </si>
  <si>
    <t>计容建筑面积</t>
    <phoneticPr fontId="282" type="noConversion"/>
  </si>
  <si>
    <t>不动产权证书编号</t>
    <phoneticPr fontId="282" type="noConversion"/>
  </si>
  <si>
    <t>坐落</t>
    <phoneticPr fontId="282" type="noConversion"/>
  </si>
  <si>
    <t>不动产单元号</t>
    <phoneticPr fontId="282" type="noConversion"/>
  </si>
  <si>
    <t>土地面积</t>
    <phoneticPr fontId="282" type="noConversion"/>
  </si>
  <si>
    <t>终止日期</t>
    <phoneticPr fontId="282" type="noConversion"/>
  </si>
  <si>
    <t>建设用地规划许可证</t>
    <phoneticPr fontId="282" type="noConversion"/>
  </si>
  <si>
    <t xml:space="preserve">建设工程规划许可证  </t>
    <phoneticPr fontId="282" type="noConversion"/>
  </si>
  <si>
    <t>总建筑面积</t>
    <phoneticPr fontId="282" type="noConversion"/>
  </si>
  <si>
    <t>建筑工程施工许可证</t>
    <phoneticPr fontId="282" type="noConversion"/>
  </si>
  <si>
    <t>建设规模</t>
    <phoneticPr fontId="282" type="noConversion"/>
  </si>
  <si>
    <t>合同价格</t>
    <phoneticPr fontId="282" type="noConversion"/>
  </si>
  <si>
    <t>合同工期</t>
    <phoneticPr fontId="282" type="noConversion"/>
  </si>
  <si>
    <t>发证日期</t>
    <phoneticPr fontId="282" type="noConversion"/>
  </si>
  <si>
    <t>商品房预售许可证</t>
    <phoneticPr fontId="282" type="noConversion"/>
  </si>
  <si>
    <t>楼栋</t>
    <phoneticPr fontId="282" type="noConversion"/>
  </si>
  <si>
    <t>一期</t>
    <phoneticPr fontId="282" type="noConversion"/>
  </si>
  <si>
    <t>R1</t>
    <phoneticPr fontId="282" type="noConversion"/>
  </si>
  <si>
    <t>1#</t>
    <phoneticPr fontId="282" type="noConversion"/>
  </si>
  <si>
    <t>410100-CR-2017-1634-19361</t>
    <phoneticPr fontId="282" type="noConversion"/>
  </si>
  <si>
    <t>七通一平</t>
    <phoneticPr fontId="282" type="noConversion"/>
  </si>
  <si>
    <t>豫（2017）郑州市不动产权第0073088号</t>
    <phoneticPr fontId="282" type="noConversion"/>
  </si>
  <si>
    <t>民政路东、化工路南</t>
    <phoneticPr fontId="282" type="noConversion"/>
  </si>
  <si>
    <t>410102104006GB00075W00000000</t>
    <phoneticPr fontId="282" type="noConversion"/>
  </si>
  <si>
    <t>郑规地字第410100201719018号</t>
    <phoneticPr fontId="282" type="noConversion"/>
  </si>
  <si>
    <t>郑规建（建筑）字第410100201719025号</t>
    <phoneticPr fontId="282" type="noConversion"/>
  </si>
  <si>
    <t>编号：410172201712150201</t>
    <phoneticPr fontId="282" type="noConversion"/>
  </si>
  <si>
    <t>（2019）郑房预字第GX2019052、GX2019038号；（2020）郑房预字第GX2020031、GX2020016号</t>
    <phoneticPr fontId="282" type="noConversion"/>
  </si>
  <si>
    <t>5#；8#；1#、9#；7#</t>
    <phoneticPr fontId="282" type="noConversion"/>
  </si>
  <si>
    <t>R5</t>
    <phoneticPr fontId="282" type="noConversion"/>
  </si>
  <si>
    <t>2#</t>
    <phoneticPr fontId="282" type="noConversion"/>
  </si>
  <si>
    <t>410100-CR-2017-1633-19360</t>
    <phoneticPr fontId="282" type="noConversion"/>
  </si>
  <si>
    <t>豫（2017）郑州市不动产权第0073090号</t>
    <phoneticPr fontId="282" type="noConversion"/>
  </si>
  <si>
    <t>民政路东、新庄路北</t>
    <phoneticPr fontId="282" type="noConversion"/>
  </si>
  <si>
    <t>410102104006GB00067W00000000</t>
    <phoneticPr fontId="282" type="noConversion"/>
  </si>
  <si>
    <t>郑规地字第410100201719019号</t>
    <phoneticPr fontId="282" type="noConversion"/>
  </si>
  <si>
    <t>郑规建（建筑）字第410100201719018号</t>
    <phoneticPr fontId="282" type="noConversion"/>
  </si>
  <si>
    <t>编号：410172201712150401</t>
    <phoneticPr fontId="282" type="noConversion"/>
  </si>
  <si>
    <t>（2017）郑房预字第GX2017035号；（2018）郑房预字第GX2018001号</t>
    <phoneticPr fontId="282" type="noConversion"/>
  </si>
  <si>
    <t>2#、3#；1#</t>
    <phoneticPr fontId="282" type="noConversion"/>
  </si>
  <si>
    <t>R13</t>
    <phoneticPr fontId="282" type="noConversion"/>
  </si>
  <si>
    <t>5#</t>
    <phoneticPr fontId="282" type="noConversion"/>
  </si>
  <si>
    <t>4101002017B01818</t>
    <phoneticPr fontId="282" type="noConversion"/>
  </si>
  <si>
    <t>七通一平</t>
    <phoneticPr fontId="282" type="noConversion"/>
  </si>
  <si>
    <t>豫（2017）郑州市不动产权第0073087号</t>
    <phoneticPr fontId="282" type="noConversion"/>
  </si>
  <si>
    <t>站北路北、雄鹰东路东</t>
    <phoneticPr fontId="282" type="noConversion"/>
  </si>
  <si>
    <t>410102104006GB00064W00000000</t>
    <phoneticPr fontId="282" type="noConversion"/>
  </si>
  <si>
    <t>郑规地字第410100201719020号</t>
    <phoneticPr fontId="282" type="noConversion"/>
  </si>
  <si>
    <t>郑规建（建筑）字第410100201719024号</t>
    <phoneticPr fontId="282" type="noConversion"/>
  </si>
  <si>
    <t>编号：410172201712150301</t>
    <phoneticPr fontId="282" type="noConversion"/>
  </si>
  <si>
    <t>（2017）郑房预字第GX2017036号；（2018）郑房预字第GX2018003、GX2018007号；（2020）郑房预字第GX2020011号</t>
    <phoneticPr fontId="282" type="noConversion"/>
  </si>
  <si>
    <t>1、3、6-9#；10-11#；12#；5#</t>
    <phoneticPr fontId="282" type="noConversion"/>
  </si>
  <si>
    <t>二期</t>
    <phoneticPr fontId="282" type="noConversion"/>
  </si>
  <si>
    <t>R8</t>
    <phoneticPr fontId="282" type="noConversion"/>
  </si>
  <si>
    <t>6#</t>
    <phoneticPr fontId="282" type="noConversion"/>
  </si>
  <si>
    <t>4101002018B06757</t>
    <phoneticPr fontId="282" type="noConversion"/>
  </si>
  <si>
    <t>豫（2018）郑州市不动产权第0256236号</t>
    <phoneticPr fontId="282" type="noConversion"/>
  </si>
  <si>
    <t>绿荫路东、新庄路北</t>
    <phoneticPr fontId="282" type="noConversion"/>
  </si>
  <si>
    <t>410102104006GB00099W00000000</t>
    <phoneticPr fontId="282" type="noConversion"/>
  </si>
  <si>
    <t>郑规地字第410100201819044号</t>
    <phoneticPr fontId="282" type="noConversion"/>
  </si>
  <si>
    <t>郑规建（建筑）字第410100201819052号</t>
    <phoneticPr fontId="282" type="noConversion"/>
  </si>
  <si>
    <t>编号：410172201811210101</t>
    <phoneticPr fontId="282" type="noConversion"/>
  </si>
  <si>
    <t>（2019）郑房预字第GX2019026、GX2019017、GX2019032、GX2019096号</t>
    <phoneticPr fontId="282" type="noConversion"/>
  </si>
  <si>
    <t>1、4#；2#；5#；6#</t>
    <phoneticPr fontId="282" type="noConversion"/>
  </si>
  <si>
    <t>R14</t>
    <phoneticPr fontId="282" type="noConversion"/>
  </si>
  <si>
    <t>7#</t>
    <phoneticPr fontId="282" type="noConversion"/>
  </si>
  <si>
    <t>4101002018B06760</t>
    <phoneticPr fontId="282" type="noConversion"/>
  </si>
  <si>
    <t>七通一平</t>
    <phoneticPr fontId="282" type="noConversion"/>
  </si>
  <si>
    <t>豫（2018）郑州市不动产权第0256292号</t>
    <phoneticPr fontId="282" type="noConversion"/>
  </si>
  <si>
    <t>站北路北、湖西路西</t>
    <phoneticPr fontId="282" type="noConversion"/>
  </si>
  <si>
    <t>410102104006GB00095W00000000</t>
    <phoneticPr fontId="282" type="noConversion"/>
  </si>
  <si>
    <t>郑规地字第410100201819045号</t>
    <phoneticPr fontId="282" type="noConversion"/>
  </si>
  <si>
    <t>郑规建（建筑）字第410100201819050号</t>
    <phoneticPr fontId="282" type="noConversion"/>
  </si>
  <si>
    <t>编号：410172201901300101</t>
    <phoneticPr fontId="282" type="noConversion"/>
  </si>
  <si>
    <t>（2019）郑房预字第GX2019082、GX2019046、GX2019056、GX2019084号</t>
    <phoneticPr fontId="282" type="noConversion"/>
  </si>
  <si>
    <t>1、7#；2、4#；3、5#；6#</t>
    <phoneticPr fontId="282" type="noConversion"/>
  </si>
  <si>
    <t>R16</t>
    <phoneticPr fontId="282" type="noConversion"/>
  </si>
  <si>
    <t>3#</t>
    <phoneticPr fontId="282" type="noConversion"/>
  </si>
  <si>
    <t>4101002018B06777</t>
    <phoneticPr fontId="282" type="noConversion"/>
  </si>
  <si>
    <t>豫（2018）郑州市不动产权第0256228号</t>
    <phoneticPr fontId="282" type="noConversion"/>
  </si>
  <si>
    <t>化工路南、雄鹰东路东</t>
    <phoneticPr fontId="282" type="noConversion"/>
  </si>
  <si>
    <t>410102104006GB00101W00000000</t>
    <phoneticPr fontId="282" type="noConversion"/>
  </si>
  <si>
    <t>郑规地字第410100201819043号</t>
    <phoneticPr fontId="282" type="noConversion"/>
  </si>
  <si>
    <t>郑规建（建筑）字第410100201819048号</t>
    <phoneticPr fontId="282" type="noConversion"/>
  </si>
  <si>
    <t>编号：410172201811200101</t>
    <phoneticPr fontId="282" type="noConversion"/>
  </si>
  <si>
    <t>（2019）郑房预字第GX2019041、GX2019075、GX2019018、GX2019025号；（2020）郑房预字第GX2020034、GX2020021号</t>
    <phoneticPr fontId="282" type="noConversion"/>
  </si>
  <si>
    <t>1、5、8#；2#；4#；6#；3#；7#</t>
    <phoneticPr fontId="282" type="noConversion"/>
  </si>
  <si>
    <t>三期</t>
    <phoneticPr fontId="282" type="noConversion"/>
  </si>
  <si>
    <t>R9</t>
    <phoneticPr fontId="282" type="noConversion"/>
  </si>
  <si>
    <t>9#</t>
    <phoneticPr fontId="282" type="noConversion"/>
  </si>
  <si>
    <t>4101002020B07222</t>
    <phoneticPr fontId="282" type="noConversion"/>
  </si>
  <si>
    <t>豫（2020）郑州市不动产权第0097105号</t>
    <phoneticPr fontId="282" type="noConversion"/>
  </si>
  <si>
    <t>站北路北、新荣路东</t>
    <phoneticPr fontId="282" type="noConversion"/>
  </si>
  <si>
    <t>410102104006GB00135W00000000</t>
    <phoneticPr fontId="282" type="noConversion"/>
  </si>
  <si>
    <t>郑规地字第410100202019004号</t>
    <phoneticPr fontId="282" type="noConversion"/>
  </si>
  <si>
    <t>郑规建（建筑）字第410100202019033号</t>
    <phoneticPr fontId="282" type="noConversion"/>
  </si>
  <si>
    <t>R12</t>
    <phoneticPr fontId="282" type="noConversion"/>
  </si>
  <si>
    <t>8#</t>
    <phoneticPr fontId="282" type="noConversion"/>
  </si>
  <si>
    <t>4101002019B05260</t>
    <phoneticPr fontId="282" type="noConversion"/>
  </si>
  <si>
    <t>豫（2020）郑州市不动产权第0018725号</t>
    <phoneticPr fontId="282" type="noConversion"/>
  </si>
  <si>
    <t>站北路北、雄鹰东路西</t>
    <phoneticPr fontId="282" type="noConversion"/>
  </si>
  <si>
    <t>410102104006GB00118W00000000</t>
    <phoneticPr fontId="282" type="noConversion"/>
  </si>
  <si>
    <t>郑规地字第410100201919048号</t>
    <phoneticPr fontId="282" type="noConversion"/>
  </si>
  <si>
    <t>郑规建（建筑）字第410100202019002号</t>
    <phoneticPr fontId="282" type="noConversion"/>
  </si>
  <si>
    <t>编号：410172202003130101</t>
    <phoneticPr fontId="282" type="noConversion"/>
  </si>
  <si>
    <t>（2020）郑房预字第GX2020044号</t>
    <phoneticPr fontId="282" type="noConversion"/>
  </si>
  <si>
    <t>1#</t>
    <phoneticPr fontId="282" type="noConversion"/>
  </si>
  <si>
    <t>仅含出让金</t>
  </si>
  <si>
    <t>情况3</t>
  </si>
  <si>
    <t>自行开发建设</t>
  </si>
  <si>
    <t>非个人房产</t>
  </si>
  <si>
    <t>项目局部</t>
  </si>
  <si>
    <t>土地</t>
  </si>
  <si>
    <t xml:space="preserve"> </t>
    <phoneticPr fontId="22" type="noConversion"/>
  </si>
  <si>
    <t>比较法-住宅、综合</t>
  </si>
  <si>
    <t>剩余法-待开发</t>
  </si>
  <si>
    <t>地上楼面单价</t>
    <phoneticPr fontId="10" type="noConversion"/>
  </si>
  <si>
    <t>一般</t>
  </si>
  <si>
    <t>较好</t>
  </si>
  <si>
    <t>好</t>
  </si>
  <si>
    <t>和润林湖美景</t>
    <phoneticPr fontId="4" type="noConversion"/>
  </si>
  <si>
    <r>
      <rPr>
        <sz val="11"/>
        <rFont val="宋体"/>
        <family val="3"/>
        <charset val="134"/>
      </rPr>
      <t>报价</t>
    </r>
    <r>
      <rPr>
        <sz val="11"/>
        <rFont val="Arial"/>
        <family val="2"/>
      </rPr>
      <t>15000</t>
    </r>
    <r>
      <rPr>
        <sz val="11"/>
        <rFont val="宋体"/>
        <family val="3"/>
        <charset val="134"/>
      </rPr>
      <t>多</t>
    </r>
    <phoneticPr fontId="22" type="noConversion"/>
  </si>
  <si>
    <r>
      <rPr>
        <sz val="11"/>
        <rFont val="宋体"/>
        <family val="3"/>
        <charset val="134"/>
      </rPr>
      <t>报价</t>
    </r>
    <r>
      <rPr>
        <sz val="11"/>
        <rFont val="Arial"/>
        <family val="2"/>
      </rPr>
      <t>15000</t>
    </r>
    <phoneticPr fontId="22" type="noConversion"/>
  </si>
  <si>
    <t>中档</t>
  </si>
  <si>
    <t>精装修</t>
  </si>
  <si>
    <t>专业</t>
  </si>
  <si>
    <t>平层</t>
  </si>
  <si>
    <t>西三环与建设路交叉口北200米路东</t>
    <phoneticPr fontId="4" type="noConversion"/>
  </si>
  <si>
    <t>碧桂园名门凤凰城</t>
    <phoneticPr fontId="4" type="noConversion"/>
  </si>
  <si>
    <t>建设路西三环地铁一号线西流湖站</t>
    <phoneticPr fontId="4" type="noConversion"/>
  </si>
  <si>
    <t>龙湖·景粼玖序</t>
    <phoneticPr fontId="4" type="noConversion"/>
  </si>
  <si>
    <t>科学大道与石楠路交会处向南</t>
    <phoneticPr fontId="4"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</si>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</sst>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2"/>
      <color theme="1"/>
      <name val="华文细黑"/>
      <family val="3"/>
      <charset val="134"/>
    </font>
    <font>
      <sz val="9"/>
      <name val="宋体"/>
      <family val="2"/>
      <charset val="134"/>
      <scheme val="minor"/>
    </font>
    <font>
      <sz val="12"/>
      <color theme="1"/>
      <name val="华文细黑"/>
      <family val="3"/>
      <charset val="134"/>
    </font>
    <font>
      <sz val="12"/>
      <color rgb="FFFF0000"/>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7"/>
        <bgColor indexed="64"/>
      </patternFill>
    </fill>
    <fill>
      <patternFill patternType="solid">
        <fgColor theme="7" tint="0.79998168889431442"/>
        <bgColor indexed="64"/>
      </patternFill>
    </fill>
    <fill>
      <patternFill patternType="solid">
        <fgColor rgb="FF00B050"/>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8">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xf numFmtId="0" fontId="1" fillId="0" borderId="0">
      <alignment vertical="center"/>
    </xf>
  </cellStyleXfs>
  <cellXfs count="3631">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4"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4"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7"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4" fontId="158" fillId="12" borderId="120" xfId="13" applyNumberFormat="1" applyFont="1" applyFill="1" applyBorder="1" applyAlignment="1" applyProtection="1">
      <alignment horizontal="left" vertical="center" wrapText="1"/>
    </xf>
    <xf numFmtId="184" fontId="158" fillId="12" borderId="127" xfId="13" applyNumberFormat="1" applyFont="1" applyFill="1" applyBorder="1" applyAlignment="1" applyProtection="1">
      <alignment horizontal="left" vertical="center" wrapText="1"/>
    </xf>
    <xf numFmtId="181" fontId="153" fillId="0" borderId="122" xfId="10" applyNumberFormat="1" applyFont="1" applyBorder="1" applyAlignment="1">
      <alignment horizontal="left" vertical="center"/>
    </xf>
    <xf numFmtId="181"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4" fontId="158" fillId="12" borderId="120" xfId="13" applyNumberFormat="1" applyFont="1" applyFill="1" applyBorder="1" applyAlignment="1">
      <alignment horizontal="left" vertical="center" wrapText="1"/>
    </xf>
    <xf numFmtId="184"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4" fontId="158" fillId="12" borderId="120" xfId="10" applyNumberFormat="1" applyFont="1" applyFill="1" applyBorder="1" applyAlignment="1">
      <alignment horizontal="left" vertical="center" wrapText="1"/>
    </xf>
    <xf numFmtId="184"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4" fontId="158" fillId="12" borderId="124" xfId="10" applyNumberFormat="1" applyFont="1" applyFill="1" applyBorder="1" applyAlignment="1">
      <alignment horizontal="left" vertical="center" wrapText="1"/>
    </xf>
    <xf numFmtId="184"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4"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7"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4" fontId="158" fillId="12" borderId="130" xfId="10" applyNumberFormat="1" applyFont="1" applyFill="1" applyBorder="1" applyAlignment="1">
      <alignment horizontal="left" vertical="center" wrapText="1"/>
    </xf>
    <xf numFmtId="184" fontId="158" fillId="12" borderId="134" xfId="10" applyNumberFormat="1" applyFont="1" applyFill="1" applyBorder="1" applyAlignment="1">
      <alignment horizontal="left" vertical="center" wrapText="1"/>
    </xf>
    <xf numFmtId="184" fontId="153" fillId="14" borderId="0" xfId="10" applyNumberFormat="1" applyFont="1" applyFill="1" applyAlignment="1">
      <alignment horizontal="left" vertical="center"/>
    </xf>
    <xf numFmtId="184"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7"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8"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8"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0" fontId="153" fillId="0" borderId="0" xfId="10" applyNumberFormat="1" applyFont="1" applyAlignment="1">
      <alignment horizontal="left" vertical="center"/>
    </xf>
    <xf numFmtId="180" fontId="153" fillId="0" borderId="122" xfId="10" applyNumberFormat="1" applyFont="1" applyBorder="1" applyAlignment="1">
      <alignment horizontal="left" vertical="center"/>
    </xf>
    <xf numFmtId="177"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0"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8"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0" fontId="159" fillId="0" borderId="0" xfId="10" applyNumberFormat="1" applyFont="1" applyAlignment="1">
      <alignment horizontal="left" vertical="center"/>
    </xf>
    <xf numFmtId="180"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1" fontId="84" fillId="17" borderId="48" xfId="0" applyNumberFormat="1" applyFont="1" applyFill="1" applyBorder="1" applyAlignment="1" applyProtection="1">
      <alignment horizontal="left" vertical="center" wrapText="1"/>
      <protection locked="0"/>
    </xf>
    <xf numFmtId="176"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1"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6"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3" fontId="276" fillId="0" borderId="2" xfId="7" applyNumberFormat="1" applyFont="1" applyFill="1" applyBorder="1" applyAlignment="1">
      <alignment horizontal="left" vertical="center"/>
    </xf>
    <xf numFmtId="190"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3"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0"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3"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79"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79"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79"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79"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79" fontId="154" fillId="13" borderId="0" xfId="0" applyNumberFormat="1" applyFont="1" applyFill="1" applyAlignment="1" applyProtection="1">
      <alignment vertical="center"/>
    </xf>
    <xf numFmtId="181"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4"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1"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7" fontId="85" fillId="13" borderId="0" xfId="0" applyNumberFormat="1" applyFont="1" applyFill="1" applyAlignment="1" applyProtection="1">
      <alignment horizontal="center" vertical="center"/>
      <protection locked="0"/>
    </xf>
    <xf numFmtId="187"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7"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7" fontId="102" fillId="5" borderId="19" xfId="0" applyNumberFormat="1" applyFont="1" applyFill="1" applyBorder="1" applyAlignment="1" applyProtection="1">
      <protection locked="0"/>
    </xf>
    <xf numFmtId="177"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7"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7"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168" fillId="13" borderId="0" xfId="0" applyFont="1" applyFill="1" applyAlignment="1" applyProtection="1">
      <alignment horizontal="left" vertical="center"/>
      <protection locked="0"/>
    </xf>
    <xf numFmtId="177" fontId="72" fillId="0" borderId="2" xfId="0" applyNumberFormat="1" applyFont="1" applyFill="1" applyBorder="1" applyAlignment="1" applyProtection="1">
      <alignment horizontal="center" vertical="center" wrapText="1"/>
      <protection locked="0"/>
    </xf>
    <xf numFmtId="0" fontId="87" fillId="0" borderId="0" xfId="16"/>
    <xf numFmtId="0" fontId="96" fillId="20" borderId="0" xfId="16" applyFont="1" applyFill="1"/>
    <xf numFmtId="0" fontId="87" fillId="21" borderId="0" xfId="16" applyFill="1"/>
    <xf numFmtId="0" fontId="128" fillId="0" borderId="0" xfId="16" applyFont="1"/>
    <xf numFmtId="0" fontId="87" fillId="22" borderId="0" xfId="16" applyFill="1"/>
    <xf numFmtId="0" fontId="128" fillId="22" borderId="0" xfId="16" applyFont="1" applyFill="1"/>
    <xf numFmtId="0" fontId="154" fillId="0" borderId="9" xfId="0" applyNumberFormat="1" applyFont="1" applyFill="1" applyBorder="1" applyAlignment="1" applyProtection="1">
      <alignment horizontal="center" vertical="center" wrapText="1"/>
      <protection locked="0"/>
    </xf>
    <xf numFmtId="0" fontId="135" fillId="0" borderId="157" xfId="0" applyFont="1" applyFill="1" applyBorder="1" applyAlignment="1" applyProtection="1">
      <alignment horizontal="center" vertical="top" wrapText="1"/>
      <protection locked="0"/>
    </xf>
    <xf numFmtId="0" fontId="135" fillId="0" borderId="159" xfId="0" applyFont="1" applyFill="1" applyBorder="1" applyAlignment="1" applyProtection="1">
      <alignment horizontal="center" vertical="top" wrapText="1"/>
      <protection locked="0"/>
    </xf>
    <xf numFmtId="0" fontId="135" fillId="0" borderId="158" xfId="0" applyFont="1" applyFill="1" applyBorder="1" applyAlignment="1" applyProtection="1">
      <alignment horizontal="center" vertical="top" wrapText="1"/>
      <protection locked="0"/>
    </xf>
    <xf numFmtId="0" fontId="83" fillId="0" borderId="158" xfId="0" applyFont="1" applyFill="1" applyBorder="1" applyAlignment="1" applyProtection="1">
      <alignment horizontal="center" vertical="top" wrapText="1"/>
      <protection locked="0"/>
    </xf>
    <xf numFmtId="0" fontId="83" fillId="0" borderId="158" xfId="0" applyNumberFormat="1" applyFont="1" applyFill="1" applyBorder="1" applyAlignment="1" applyProtection="1">
      <alignment horizontal="center" vertical="top" wrapText="1"/>
      <protection locked="0"/>
    </xf>
    <xf numFmtId="0" fontId="82" fillId="0" borderId="59"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154" fillId="0" borderId="12" xfId="0" applyFont="1" applyBorder="1" applyAlignment="1" applyProtection="1">
      <alignment horizontal="center" vertical="center"/>
      <protection locked="0"/>
    </xf>
    <xf numFmtId="0" fontId="281" fillId="8" borderId="61" xfId="17" applyFont="1" applyFill="1" applyBorder="1">
      <alignment vertical="center"/>
    </xf>
    <xf numFmtId="0" fontId="281" fillId="8" borderId="67" xfId="17" applyFont="1" applyFill="1" applyBorder="1">
      <alignment vertical="center"/>
    </xf>
    <xf numFmtId="0" fontId="281" fillId="8" borderId="55" xfId="17" applyFont="1" applyFill="1" applyBorder="1">
      <alignment vertical="center"/>
    </xf>
    <xf numFmtId="0" fontId="283" fillId="8" borderId="0" xfId="17" applyFont="1" applyFill="1">
      <alignment vertical="center"/>
    </xf>
    <xf numFmtId="0" fontId="283" fillId="8" borderId="18" xfId="17" applyFont="1" applyFill="1" applyBorder="1">
      <alignment vertical="center"/>
    </xf>
    <xf numFmtId="1" fontId="283" fillId="8" borderId="0" xfId="17" applyNumberFormat="1" applyFont="1" applyFill="1">
      <alignment vertical="center"/>
    </xf>
    <xf numFmtId="14" fontId="283" fillId="8" borderId="18" xfId="17" applyNumberFormat="1" applyFont="1" applyFill="1" applyBorder="1">
      <alignment vertical="center"/>
    </xf>
    <xf numFmtId="0" fontId="283" fillId="8" borderId="3" xfId="17" applyFont="1" applyFill="1" applyBorder="1">
      <alignment vertical="center"/>
    </xf>
    <xf numFmtId="0" fontId="283" fillId="22" borderId="0" xfId="17" applyFont="1" applyFill="1">
      <alignment vertical="center"/>
    </xf>
    <xf numFmtId="0" fontId="283" fillId="22" borderId="18" xfId="17" applyFont="1" applyFill="1" applyBorder="1">
      <alignment vertical="center"/>
    </xf>
    <xf numFmtId="1" fontId="283" fillId="22" borderId="0" xfId="17" applyNumberFormat="1" applyFont="1" applyFill="1">
      <alignment vertical="center"/>
    </xf>
    <xf numFmtId="14" fontId="283" fillId="22" borderId="18" xfId="17" applyNumberFormat="1" applyFont="1" applyFill="1" applyBorder="1">
      <alignment vertical="center"/>
    </xf>
    <xf numFmtId="0" fontId="283" fillId="22" borderId="3" xfId="17" applyFont="1" applyFill="1" applyBorder="1">
      <alignment vertical="center"/>
    </xf>
    <xf numFmtId="0" fontId="284" fillId="8" borderId="0" xfId="17" applyFont="1" applyFill="1">
      <alignment vertical="center"/>
    </xf>
    <xf numFmtId="0" fontId="83" fillId="5" borderId="0" xfId="0" applyFont="1" applyFill="1" applyProtection="1">
      <alignment vertical="center"/>
      <protection locked="0"/>
    </xf>
    <xf numFmtId="1" fontId="77" fillId="5" borderId="0" xfId="0" applyNumberFormat="1" applyFont="1" applyFill="1" applyProtection="1">
      <alignment vertical="center"/>
      <protection locked="0"/>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NumberFormat="1" applyFont="1" applyFill="1" applyBorder="1" applyAlignment="1" applyProtection="1">
      <alignment vertical="center"/>
      <protection locked="0"/>
    </xf>
    <xf numFmtId="0" fontId="187" fillId="8" borderId="8" xfId="0" applyNumberFormat="1" applyFont="1" applyFill="1" applyBorder="1" applyAlignment="1" applyProtection="1">
      <alignment vertical="center"/>
      <protection locked="0"/>
    </xf>
    <xf numFmtId="0" fontId="187" fillId="8" borderId="9" xfId="0" applyNumberFormat="1"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35" fillId="0" borderId="158" xfId="0" applyFont="1" applyFill="1" applyBorder="1" applyAlignment="1" applyProtection="1">
      <alignment horizontal="center" vertical="top" wrapText="1"/>
      <protection locked="0"/>
    </xf>
    <xf numFmtId="0" fontId="135" fillId="0" borderId="157" xfId="0" applyFont="1" applyFill="1" applyBorder="1" applyAlignment="1" applyProtection="1">
      <alignment horizontal="center" vertical="top" wrapText="1"/>
      <protection locked="0"/>
    </xf>
    <xf numFmtId="0" fontId="135" fillId="0" borderId="159" xfId="0" applyFont="1" applyFill="1" applyBorder="1" applyAlignment="1" applyProtection="1">
      <alignment vertical="top" wrapText="1"/>
      <protection locked="0"/>
    </xf>
    <xf numFmtId="0" fontId="83" fillId="0" borderId="158" xfId="0" applyFont="1" applyFill="1" applyBorder="1" applyAlignment="1" applyProtection="1">
      <alignment vertical="top" wrapText="1"/>
      <protection locked="0"/>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17" borderId="2" xfId="0" applyNumberFormat="1"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62" fillId="0" borderId="9"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cellXfs>
  <cellStyles count="18">
    <cellStyle name="百分比 2" xfId="11"/>
    <cellStyle name="常规" xfId="0" builtinId="0"/>
    <cellStyle name="常规 10" xfId="16"/>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398886</xdr:colOff>
      <xdr:row>20</xdr:row>
      <xdr:rowOff>47191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14286" cy="34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2633</v>
      </c>
      <c r="B1" s="2608" t="s">
        <v>2730</v>
      </c>
    </row>
    <row r="2" spans="1:55" s="2612" customFormat="1" ht="15" thickTop="1">
      <c r="A2" s="2610" t="s">
        <v>2637</v>
      </c>
      <c r="B2" s="2611" t="str">
        <f>'预评函-封皮'!B37</f>
        <v>河南省郑州市高新区站北路北、新荣路东出让国有建设用地使用权抵押价格预评估</v>
      </c>
      <c r="AX2" s="2613"/>
      <c r="AZ2" s="2613"/>
      <c r="BA2" s="2614"/>
      <c r="BC2" s="2614"/>
    </row>
    <row r="3" spans="1:55" s="2615" customFormat="1">
      <c r="A3" s="2594" t="s">
        <v>2638</v>
      </c>
      <c r="B3" s="2597" t="str">
        <f>'预评函-封皮'!B40</f>
        <v>中诚信托有限责任公司</v>
      </c>
    </row>
    <row r="4" spans="1:55" s="2596" customFormat="1">
      <c r="A4" s="2594" t="s">
        <v>2639</v>
      </c>
      <c r="B4" s="2595" t="str">
        <f>'预评函-封皮'!B46</f>
        <v>王鹏、郑燚</v>
      </c>
      <c r="N4" s="2596" t="str">
        <f>'预评函-1'!A28</f>
        <v/>
      </c>
    </row>
    <row r="5" spans="1:55" s="2609" customFormat="1" ht="15" thickBot="1">
      <c r="A5" s="2616" t="s">
        <v>2640</v>
      </c>
      <c r="B5" s="2617" t="str">
        <f>'预评函-封皮'!B49</f>
        <v>康正预评字号</v>
      </c>
    </row>
    <row r="6" spans="1:55" s="2618" customFormat="1" ht="15" thickTop="1">
      <c r="A6" s="2610" t="s">
        <v>2682</v>
      </c>
      <c r="B6" s="2611" t="str">
        <f>'预评函-1'!A4</f>
        <v>受贵公司委托，我公司对河南省郑州市高新区站北路北、新荣路东出让国有建设用地使用权抵押价格进行了预评估。</v>
      </c>
      <c r="AM6" s="2619"/>
    </row>
    <row r="7" spans="1:55" s="2593" customFormat="1">
      <c r="A7" s="2594" t="s">
        <v>2634</v>
      </c>
      <c r="B7" s="2595" t="str">
        <f>'预评函-1'!A6</f>
        <v>估价对象为郑州高新碧桂园房地产开发有限公司使用的、位于河南省郑州市高新区站北路北、新荣路东出让国有建设用地使用权。根据《不动产权证书》[豫（2020）郑州市不动产权第0097105号]，估价对象（分摊）出让国有建设用地使用权面积为52485.58平方米。根据《国有建设用地使用权出让合同》[电子监管号：4101002020B07222]及附件、《建设工程规划许可证》[郑规建（建筑）字第410100202019033号]，估价对象规划建筑面积为274652.19平方米。</v>
      </c>
    </row>
    <row r="8" spans="1:55" s="2593" customFormat="1">
      <c r="A8" s="2594" t="s">
        <v>2635</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2685</v>
      </c>
      <c r="B9" s="2595" t="str">
        <f>'预评函-1'!A9</f>
        <v>郑州高新碧桂园房地产开发有限公司拟使用河南省郑州市高新区站北路北、新荣路东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593" customFormat="1">
      <c r="A10" s="2594" t="s">
        <v>2636</v>
      </c>
      <c r="B10" s="2595" t="str">
        <f>'预评函-1'!A11</f>
        <v>2020年8月19日（评估专业人员勘察现场之日）</v>
      </c>
    </row>
    <row r="11" spans="1:55" s="2593" customFormat="1">
      <c r="A11" s="2594" t="s">
        <v>2642</v>
      </c>
      <c r="B11" s="2595" t="str">
        <f>'预评函-1'!A14</f>
        <v>根据《不动产权证书》[豫（2020）郑州市不动产权第0097105号]，本次评估估价对象证载（地类）用途为城镇住宅、交通服务场站。</v>
      </c>
    </row>
    <row r="12" spans="1:55" s="2593" customFormat="1">
      <c r="A12" s="2594" t="s">
        <v>2643</v>
      </c>
      <c r="B12" s="2595" t="str">
        <f>'预评函-1'!A15</f>
        <v>本次评估设定用途即为证载用途住宅。</v>
      </c>
    </row>
    <row r="13" spans="1:55" s="2593" customFormat="1">
      <c r="A13" s="2594" t="s">
        <v>2644</v>
      </c>
      <c r="B13" s="2595" t="str">
        <f>'预评函-1'!A17</f>
        <v>根据委托估价方介绍及评估专业人员现场勘查，本次评估估价对象实际土地开发程度为红线外市政基础设施达“七通”（即通路、通电、通讯、通上水、通下水、通热、燃气）、宗地红线内已开工建设。正在进行基础及主体结构施工。</v>
      </c>
    </row>
    <row r="14" spans="1:55" s="2593" customFormat="1">
      <c r="A14" s="2594" t="s">
        <v>2645</v>
      </c>
      <c r="B14" s="2595"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593" customFormat="1">
      <c r="A15" s="2594" t="s">
        <v>2641</v>
      </c>
      <c r="B15" s="2595" t="str">
        <f>'预评函-1'!A20</f>
        <v>根据《不动产权证书》[豫（2020）郑州市不动产权第0097105号]，估价对象（分摊）出让国有建设用地使用权面积为52485.58平方米。根据《国有建设用地使用权出让合同》[电子监管号：4101002020B07222]及附件、《建设工程规划许可证》[郑规建（建筑）字第410100202019033号]，估价对象规划建筑面积为274652.19平方米。</v>
      </c>
    </row>
    <row r="16" spans="1:55" s="2593" customFormat="1">
      <c r="A16" s="2594" t="s">
        <v>2646</v>
      </c>
      <c r="B16" s="2595" t="str">
        <f>'预评函-1'!A22</f>
        <v>本次估价对象为出让国有建设用地使用权，《不动产权证书》[豫（2020）郑州市不动产权第0097105号]证载土地终止日期为住宅2090年5月12日、商业2060年5月12日地下车库2070年5月12日。截至估价期日，出让国有建设用地使用权剩余土地使用年限为住宅69.7年。</v>
      </c>
    </row>
    <row r="17" spans="1:48" s="2593" customFormat="1">
      <c r="A17" s="2594" t="s">
        <v>2647</v>
      </c>
      <c r="B17" s="2595" t="str">
        <f>'预评函-1'!A23</f>
        <v>本次评估设定估价对象剩余土地使用年限为住宅69.7年。</v>
      </c>
    </row>
    <row r="18" spans="1:48" s="2593" customFormat="1">
      <c r="A18" s="2594" t="s">
        <v>2648</v>
      </c>
      <c r="B18" s="2595" t="str">
        <f>'预评函-1'!A25</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住宅，剩余土地使用年限为住宅69.7年的出让国有建设用地使用权价格。</v>
      </c>
    </row>
    <row r="19" spans="1:48" s="2593" customFormat="1">
      <c r="A19" s="2594" t="s">
        <v>2649</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2650</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2651</v>
      </c>
      <c r="B21" s="2617" t="str">
        <f>'预评函-1'!A28</f>
        <v/>
      </c>
    </row>
    <row r="22" spans="1:48" ht="15" thickTop="1">
      <c r="A22" s="2605" t="s">
        <v>2652</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2653</v>
      </c>
      <c r="B23" s="2595" t="str">
        <f>'预评函-2'!K2</f>
        <v>估价期日：2020年8月19日</v>
      </c>
    </row>
    <row r="24" spans="1:48">
      <c r="A24" s="2594" t="s">
        <v>2654</v>
      </c>
      <c r="B24" s="2595" t="str">
        <f>'预评函-2'!R2</f>
        <v>估价期日的国有建设用地使用权性质：出让</v>
      </c>
    </row>
    <row r="25" spans="1:48">
      <c r="A25" s="2594" t="s">
        <v>2710</v>
      </c>
      <c r="B25" s="2595" t="str">
        <f>'预评函-2'!A3</f>
        <v>估价期日土地使用者</v>
      </c>
    </row>
    <row r="26" spans="1:48">
      <c r="A26" s="2594" t="s">
        <v>2686</v>
      </c>
      <c r="B26" s="2595" t="str">
        <f>'预评函-2'!A5</f>
        <v>中信开发</v>
      </c>
    </row>
    <row r="27" spans="1:48">
      <c r="A27" s="2594" t="s">
        <v>2711</v>
      </c>
      <c r="B27" s="2595" t="str">
        <f>'预评函-2'!B3</f>
        <v>宗地编号/不动产单元号</v>
      </c>
    </row>
    <row r="28" spans="1:48">
      <c r="A28" s="2594" t="s">
        <v>2687</v>
      </c>
      <c r="B28" s="2595" t="str">
        <f>'预评函-2'!B5</f>
        <v>11111111111</v>
      </c>
    </row>
    <row r="29" spans="1:48">
      <c r="A29" s="2594" t="s">
        <v>2713</v>
      </c>
      <c r="B29" s="2595">
        <f>'预评函-2'!C5</f>
        <v>22</v>
      </c>
    </row>
    <row r="30" spans="1:48">
      <c r="A30" s="2594" t="s">
        <v>2714</v>
      </c>
      <c r="B30" s="2595" t="str">
        <f>'预评函-2'!D3</f>
        <v>土地使用证编号/不动产权证书编号</v>
      </c>
    </row>
    <row r="31" spans="1:48">
      <c r="A31" s="2594" t="s">
        <v>2688</v>
      </c>
      <c r="B31" s="2595" t="str">
        <f>'预评函-2'!D5</f>
        <v>京国土字第111号</v>
      </c>
    </row>
    <row r="32" spans="1:48">
      <c r="A32" s="2594" t="s">
        <v>2689</v>
      </c>
      <c r="B32" s="2595" t="str">
        <f>'预评函-2'!E5</f>
        <v>城镇住宅、交通服务场站</v>
      </c>
      <c r="AV32" s="2599"/>
    </row>
    <row r="33" spans="1:2">
      <c r="A33" s="2594" t="s">
        <v>2690</v>
      </c>
      <c r="B33" s="2595">
        <f>'预评函-2'!F5</f>
        <v>258</v>
      </c>
    </row>
    <row r="34" spans="1:2">
      <c r="A34" s="2594" t="s">
        <v>2691</v>
      </c>
      <c r="B34" s="2595" t="str">
        <f>'预评函-2'!G5</f>
        <v>住宅</v>
      </c>
    </row>
    <row r="35" spans="1:2">
      <c r="A35" s="2594" t="s">
        <v>2692</v>
      </c>
      <c r="B35" s="2595">
        <f>'预评函-2'!H5</f>
        <v>1.5</v>
      </c>
    </row>
    <row r="36" spans="1:2">
      <c r="A36" s="2594" t="s">
        <v>2693</v>
      </c>
      <c r="B36" s="2595">
        <f>'预评函-2'!I5</f>
        <v>1.5</v>
      </c>
    </row>
    <row r="37" spans="1:2">
      <c r="A37" s="2594" t="s">
        <v>2694</v>
      </c>
      <c r="B37" s="2595">
        <f>'预评函-2'!J5</f>
        <v>1.5</v>
      </c>
    </row>
    <row r="38" spans="1:2">
      <c r="A38" s="2594" t="s">
        <v>2695</v>
      </c>
      <c r="B38" s="2595" t="str">
        <f>'预评函-2'!K5</f>
        <v>红线外七通、宗地红线内宗地内已开工建设</v>
      </c>
    </row>
    <row r="39" spans="1:2">
      <c r="A39" s="2594" t="s">
        <v>2696</v>
      </c>
      <c r="B39" s="2595" t="str">
        <f>'预评函-2'!L5</f>
        <v>红线外七通、宗地红线内场地平整</v>
      </c>
    </row>
    <row r="40" spans="1:2">
      <c r="A40" s="2594" t="s">
        <v>2715</v>
      </c>
      <c r="B40" s="2595" t="str">
        <f>'预评函-2'!M3</f>
        <v>（剩余）土地使用年限/年</v>
      </c>
    </row>
    <row r="41" spans="1:2">
      <c r="A41" s="2594" t="s">
        <v>2697</v>
      </c>
      <c r="B41" s="2595" t="str">
        <f>'预评函-2'!M5</f>
        <v>住宅69.7年</v>
      </c>
    </row>
    <row r="42" spans="1:2">
      <c r="A42" s="2594" t="s">
        <v>2716</v>
      </c>
      <c r="B42" s="2595" t="str">
        <f>'预评函-2'!N3</f>
        <v>（分摊）出让国有建设用地使用权面积/㎡</v>
      </c>
    </row>
    <row r="43" spans="1:2">
      <c r="A43" s="2594" t="s">
        <v>2698</v>
      </c>
      <c r="B43" s="2595">
        <f>'预评函-2'!N5</f>
        <v>52485.58</v>
      </c>
    </row>
    <row r="44" spans="1:2">
      <c r="A44" s="2594" t="s">
        <v>2717</v>
      </c>
      <c r="B44" s="2595" t="str">
        <f>'预评函-2'!O3</f>
        <v>规划建筑面积/㎡</v>
      </c>
    </row>
    <row r="45" spans="1:2">
      <c r="A45" s="2594" t="s">
        <v>2699</v>
      </c>
      <c r="B45" s="2595">
        <f>'预评函-2'!O5</f>
        <v>274652.19</v>
      </c>
    </row>
    <row r="46" spans="1:2">
      <c r="A46" s="2594" t="s">
        <v>2700</v>
      </c>
      <c r="B46" s="2595">
        <f ca="1">'预评函-2'!P5</f>
        <v>16763</v>
      </c>
    </row>
    <row r="47" spans="1:2">
      <c r="A47" s="2594" t="s">
        <v>2701</v>
      </c>
      <c r="B47" s="2595">
        <f ca="1">'预评函-2'!Q5</f>
        <v>3203</v>
      </c>
    </row>
    <row r="48" spans="1:2">
      <c r="A48" s="2594" t="s">
        <v>2702</v>
      </c>
      <c r="B48" s="2595">
        <f ca="1">'预评函-2'!R5</f>
        <v>87983</v>
      </c>
    </row>
    <row r="49" spans="1:2">
      <c r="A49" s="2594" t="s">
        <v>2718</v>
      </c>
      <c r="B49" s="2595" t="str">
        <f>'预评函-2'!A6</f>
        <v>抵押价格</v>
      </c>
    </row>
    <row r="50" spans="1:2">
      <c r="A50" s="2594" t="s">
        <v>2703</v>
      </c>
      <c r="B50" s="2595">
        <f ca="1">'预评函-2'!R6</f>
        <v>87983</v>
      </c>
    </row>
    <row r="51" spans="1:2">
      <c r="A51" s="2594" t="s">
        <v>2719</v>
      </c>
      <c r="B51" s="2595" t="str">
        <f>'预评函-2'!A7</f>
        <v>——</v>
      </c>
    </row>
    <row r="52" spans="1:2">
      <c r="A52" s="2594" t="s">
        <v>2704</v>
      </c>
      <c r="B52" s="2595" t="str">
        <f>'预评函-2'!R7</f>
        <v>——</v>
      </c>
    </row>
    <row r="53" spans="1:2">
      <c r="A53" s="2594" t="s">
        <v>2720</v>
      </c>
      <c r="B53" s="2595" t="str">
        <f>'预评函-2'!A8</f>
        <v>——</v>
      </c>
    </row>
    <row r="54" spans="1:2" s="2609" customFormat="1" ht="15" thickBot="1">
      <c r="A54" s="2616" t="s">
        <v>2705</v>
      </c>
      <c r="B54" s="2617" t="str">
        <f>'预评函-2'!R8</f>
        <v>——</v>
      </c>
    </row>
    <row r="55" spans="1:2" ht="15" thickTop="1">
      <c r="A55" s="2605" t="s">
        <v>2655</v>
      </c>
      <c r="B55" s="2606" t="str">
        <f>'预评函-3'!A2</f>
        <v>1.权利限制：根据估价对象《不动产权证书》复印件，截至估价期日，估价对象抵押权未见登记。未设定租赁等其他他项权利。</v>
      </c>
    </row>
    <row r="56" spans="1:2">
      <c r="A56" s="2594" t="s">
        <v>2656</v>
      </c>
      <c r="B56" s="2595" t="str">
        <f>'预评函-3'!A3</f>
        <v>2.基础设施条件：估价对象实际开发程度为红线外七通、宗地红线内宗地内已开工建设；本次评估设定开发程度为红线外七通、宗地红线内场地平整。</v>
      </c>
    </row>
    <row r="57" spans="1:2">
      <c r="A57" s="2594" t="s">
        <v>2657</v>
      </c>
      <c r="B57" s="2595" t="str">
        <f>'预评函-3'!A4</f>
        <v>3.估价规划限制条件：详见《国有建设用地使用权出让合同》[电子监管号：4101002020B07222]及附件、《建设工程规划许可证》[郑规建（建筑）字第410100202019033号]。</v>
      </c>
    </row>
    <row r="58" spans="1:2" s="2609" customFormat="1" ht="15" thickBot="1">
      <c r="A58" s="2616" t="s">
        <v>2706</v>
      </c>
      <c r="B58" s="2617" t="str">
        <f>'预评函-3'!A5</f>
        <v>4.影响价格的其他限定条件：无。</v>
      </c>
    </row>
    <row r="59" spans="1:2" ht="15" thickTop="1">
      <c r="A59" s="2605" t="s">
        <v>2658</v>
      </c>
      <c r="B59" s="2606" t="str">
        <f>'预评函-3'!A8</f>
        <v>2.本《评估意见函》仅供金融机构进行内部审核使用，不做其他目的之用。</v>
      </c>
    </row>
    <row r="60" spans="1:2">
      <c r="A60" s="2594" t="s">
        <v>2659</v>
      </c>
      <c r="B60" s="2595" t="str">
        <f>'预评函-3'!A9</f>
        <v>3.抵押双方在办理抵押登记手续时，应使用本公司出具的正式《土地估价报告》，特提请报告使用者注意。</v>
      </c>
    </row>
    <row r="61" spans="1:2">
      <c r="A61" s="2594" t="s">
        <v>2661</v>
      </c>
      <c r="B61" s="2595" t="str">
        <f>'预评函-3'!A10</f>
        <v>4.估价师所知悉的法定优先受偿款情况为：</v>
      </c>
    </row>
    <row r="62" spans="1:2">
      <c r="A62" s="2594" t="s">
        <v>2660</v>
      </c>
      <c r="B62" s="2595" t="str">
        <f>'预评函-3'!A11</f>
        <v>（1）根据估价对象《不动产权证书》复印件，截至估价期日，估价对象抵押权未见登记。</v>
      </c>
    </row>
    <row r="63" spans="1:2">
      <c r="A63" s="2594" t="s">
        <v>2662</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2663</v>
      </c>
      <c r="B64" s="2600" t="str">
        <f>'预评函-3'!A13</f>
        <v>（3）。</v>
      </c>
    </row>
    <row r="65" spans="1:2">
      <c r="A65" s="2594" t="s">
        <v>2664</v>
      </c>
      <c r="B65" s="2601" t="str">
        <f>'预评函-3'!A14</f>
        <v>综上，本次评估不存在估价师知悉的法定优先受偿款</v>
      </c>
    </row>
    <row r="66" spans="1:2">
      <c r="A66" s="2594" t="s">
        <v>2665</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2666</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2669</v>
      </c>
      <c r="B68" s="2620">
        <f>'预评函-3'!D30</f>
        <v>42558</v>
      </c>
    </row>
    <row r="69" spans="1:2" ht="15" thickTop="1">
      <c r="A69" s="2605" t="s">
        <v>2667</v>
      </c>
      <c r="B69" s="2606" t="str">
        <f>'预评函-3'!A20</f>
        <v>王鹏</v>
      </c>
    </row>
    <row r="70" spans="1:2">
      <c r="A70" s="2594" t="s">
        <v>2667</v>
      </c>
      <c r="B70" s="2601">
        <f ca="1">'预评函-3'!B20</f>
        <v>2002110030</v>
      </c>
    </row>
    <row r="71" spans="1:2">
      <c r="A71" s="2594" t="s">
        <v>2668</v>
      </c>
      <c r="B71" s="2595" t="str">
        <f>'预评函-3'!A21</f>
        <v>郑燚</v>
      </c>
    </row>
    <row r="72" spans="1:2" s="2609" customFormat="1" ht="15" thickBot="1">
      <c r="A72" s="2616" t="s">
        <v>2668</v>
      </c>
      <c r="B72" s="2622">
        <f ca="1">'预评函-3'!B21</f>
        <v>2014110011</v>
      </c>
    </row>
    <row r="73" spans="1:2" ht="15" thickTop="1">
      <c r="A73" s="2605" t="s">
        <v>2727</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2728</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2729</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2763</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J8" sqref="J8"/>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1926</v>
      </c>
      <c r="B1" s="3350" t="str">
        <f>IF(B10="北京市","北京市",C10)&amp;F10&amp;B16&amp;"国有建设用地使用权"&amp;B9&amp;"预评估"</f>
        <v>河南省郑州市高新区站北路北、新荣路东出让国有建设用地使用权抵押价格预评估</v>
      </c>
      <c r="C1" s="3351"/>
      <c r="D1" s="3351"/>
      <c r="E1" s="3351"/>
      <c r="F1" s="3351"/>
      <c r="G1" s="3351"/>
      <c r="H1" s="3351"/>
      <c r="I1" s="3352"/>
      <c r="J1" s="3073"/>
      <c r="K1" s="2309" t="str">
        <f>IF(B10="北京市","北京市",C10)&amp;F10&amp;B16&amp;"国有建设用地使用权"&amp;B9</f>
        <v>河南省郑州市高新区站北路北、新荣路东出让国有建设用地使用权抵押价格</v>
      </c>
      <c r="L1" s="3052"/>
      <c r="M1" s="3052"/>
      <c r="N1" s="3053"/>
      <c r="O1" s="3054"/>
      <c r="P1" s="3053"/>
      <c r="Q1" s="3053"/>
      <c r="R1" s="3053"/>
      <c r="S1" s="3053"/>
      <c r="T1" s="3053"/>
      <c r="U1" s="3053"/>
    </row>
    <row r="2" spans="1:21">
      <c r="A2" s="1586" t="s">
        <v>1927</v>
      </c>
      <c r="B2" s="1754"/>
      <c r="D2" s="3073"/>
      <c r="E2" s="3073"/>
      <c r="F2" s="3073"/>
      <c r="G2" s="3073"/>
      <c r="H2" s="3074"/>
      <c r="I2" s="3075"/>
      <c r="J2" s="3073"/>
      <c r="K2" s="2309" t="str">
        <f>IF(B10="北京市","北京市",C10)&amp;F10&amp;B16&amp;"国有建设用地使用权"</f>
        <v>河南省郑州市高新区站北路北、新荣路东出让国有建设用地使用权</v>
      </c>
      <c r="L2" s="3052"/>
      <c r="M2" s="3052"/>
      <c r="N2" s="3053"/>
      <c r="O2" s="3054"/>
      <c r="P2" s="3053"/>
      <c r="Q2" s="3053"/>
      <c r="R2" s="3053"/>
      <c r="S2" s="3053"/>
      <c r="T2" s="3053"/>
      <c r="U2" s="3053"/>
    </row>
    <row r="3" spans="1:21">
      <c r="A3" s="1587" t="s">
        <v>1928</v>
      </c>
      <c r="B3" s="1588">
        <v>44062</v>
      </c>
      <c r="C3" s="2996" t="s">
        <v>1982</v>
      </c>
      <c r="D3" s="1588">
        <f>B3</f>
        <v>44062</v>
      </c>
      <c r="E3" s="3073"/>
      <c r="F3" s="3073"/>
      <c r="G3" s="3073"/>
      <c r="H3" s="3074"/>
      <c r="I3" s="3075"/>
      <c r="J3" s="3073"/>
      <c r="K3" s="3056"/>
      <c r="L3" s="3052"/>
      <c r="M3" s="3052"/>
      <c r="N3" s="3053"/>
      <c r="O3" s="3054"/>
      <c r="P3" s="3053"/>
      <c r="Q3" s="3053"/>
      <c r="R3" s="3053"/>
      <c r="S3" s="3053"/>
      <c r="T3" s="3053"/>
      <c r="U3" s="3053"/>
    </row>
    <row r="4" spans="1:21" ht="15" thickBot="1">
      <c r="A4" s="1590" t="s">
        <v>1929</v>
      </c>
      <c r="B4" s="1755" t="s">
        <v>2995</v>
      </c>
      <c r="C4" s="1758">
        <f ca="1">SUMIF(土地估价师,B4,估价师及机构信息!E3:E16)</f>
        <v>2002110030</v>
      </c>
      <c r="D4" s="1755" t="s">
        <v>2996</v>
      </c>
      <c r="E4" s="1758">
        <f ca="1">SUMIF(土地估价师,D4,估价师及机构信息!E3:E16)</f>
        <v>2014110011</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王鹏、郑燚</v>
      </c>
      <c r="L4" s="3052"/>
      <c r="M4" s="3052"/>
      <c r="N4" s="3053"/>
      <c r="O4" s="3054"/>
      <c r="P4" s="3053"/>
      <c r="Q4" s="3053"/>
      <c r="R4" s="3053"/>
      <c r="S4" s="3053"/>
      <c r="T4" s="3053"/>
      <c r="U4" s="3053"/>
    </row>
    <row r="5" spans="1:21" ht="15" thickTop="1">
      <c r="A5" s="1591" t="s">
        <v>1930</v>
      </c>
      <c r="B5" s="1702" t="str">
        <f>B6</f>
        <v>中诚信托有限责任公司</v>
      </c>
      <c r="C5" s="1592"/>
      <c r="D5" s="1593"/>
      <c r="E5" s="3073"/>
      <c r="F5" s="3073"/>
      <c r="G5" s="3073"/>
      <c r="H5" s="3074"/>
      <c r="I5" s="3075"/>
      <c r="J5" s="3073"/>
      <c r="K5" s="3056"/>
      <c r="L5" s="3052"/>
      <c r="M5" s="3052"/>
      <c r="N5" s="3053"/>
      <c r="O5" s="3054"/>
      <c r="P5" s="3053"/>
      <c r="Q5" s="3053"/>
      <c r="R5" s="3053"/>
      <c r="S5" s="3053"/>
      <c r="T5" s="3053"/>
      <c r="U5" s="3053"/>
    </row>
    <row r="6" spans="1:21" ht="26.25">
      <c r="A6" s="1589" t="s">
        <v>2683</v>
      </c>
      <c r="B6" s="1702" t="s">
        <v>2997</v>
      </c>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2684</v>
      </c>
      <c r="B7" s="1702" t="str">
        <f>C11</f>
        <v>郑州高新碧桂园房地产开发有限公司</v>
      </c>
      <c r="C7" s="1677"/>
      <c r="D7" s="1594"/>
      <c r="E7" s="3073"/>
      <c r="F7" s="3073"/>
      <c r="G7" s="3073"/>
      <c r="H7" s="3074"/>
      <c r="I7" s="3075"/>
      <c r="J7" s="3073"/>
      <c r="K7" s="3056"/>
      <c r="L7" s="3052"/>
      <c r="M7" s="3052"/>
      <c r="N7" s="3053"/>
      <c r="O7" s="3054"/>
      <c r="P7" s="3053"/>
      <c r="Q7" s="3053"/>
      <c r="R7" s="3053"/>
      <c r="S7" s="3053"/>
      <c r="T7" s="3053"/>
      <c r="U7" s="3053"/>
    </row>
    <row r="8" spans="1:21">
      <c r="A8" s="2997" t="s">
        <v>1931</v>
      </c>
      <c r="B8" s="1596" t="s">
        <v>2949</v>
      </c>
      <c r="C8" s="1597"/>
      <c r="D8" s="3356" t="s">
        <v>1933</v>
      </c>
      <c r="E8" s="1756" t="s">
        <v>2998</v>
      </c>
      <c r="F8" s="1598"/>
      <c r="G8" s="3074"/>
      <c r="H8" s="3074"/>
      <c r="I8" s="3077"/>
      <c r="J8" s="3073"/>
      <c r="K8" s="3056"/>
      <c r="L8" s="3052"/>
      <c r="M8" s="3052"/>
      <c r="N8" s="3053"/>
      <c r="O8" s="3054"/>
      <c r="P8" s="3053"/>
      <c r="Q8" s="3053"/>
      <c r="R8" s="3053"/>
      <c r="S8" s="3053"/>
      <c r="T8" s="3053"/>
      <c r="U8" s="3053"/>
    </row>
    <row r="9" spans="1:21" ht="15" thickBot="1">
      <c r="A9" s="2998" t="s">
        <v>1932</v>
      </c>
      <c r="B9" s="1599" t="s">
        <v>2998</v>
      </c>
      <c r="C9" s="1600"/>
      <c r="D9" s="3357"/>
      <c r="E9" s="1599" t="s">
        <v>943</v>
      </c>
      <c r="F9" s="1663"/>
      <c r="G9" s="3078"/>
      <c r="H9" s="3078"/>
      <c r="I9" s="3079"/>
      <c r="J9" s="3073"/>
      <c r="K9" s="3056"/>
      <c r="L9" s="3052"/>
      <c r="M9" s="3052"/>
      <c r="N9" s="3053"/>
      <c r="O9" s="3054"/>
      <c r="P9" s="3053"/>
      <c r="Q9" s="3053"/>
      <c r="R9" s="3053"/>
      <c r="S9" s="3053"/>
      <c r="T9" s="3053"/>
      <c r="U9" s="3053"/>
    </row>
    <row r="10" spans="1:21" ht="29.25" thickTop="1">
      <c r="A10" s="2999" t="s">
        <v>1985</v>
      </c>
      <c r="B10" s="1639" t="s">
        <v>2999</v>
      </c>
      <c r="C10" s="1601" t="s">
        <v>3006</v>
      </c>
      <c r="D10" s="1593"/>
      <c r="E10" s="1602" t="s">
        <v>1935</v>
      </c>
      <c r="F10" s="1603" t="s">
        <v>3008</v>
      </c>
      <c r="G10" s="1661"/>
      <c r="H10" s="1662"/>
      <c r="I10" s="1593"/>
      <c r="J10" s="3073"/>
      <c r="K10" s="3056"/>
      <c r="L10" s="3052"/>
      <c r="M10" s="3052"/>
      <c r="N10" s="3053"/>
      <c r="O10" s="3054"/>
      <c r="P10" s="3053"/>
      <c r="Q10" s="3053"/>
      <c r="R10" s="3053"/>
      <c r="S10" s="3053"/>
      <c r="T10" s="3053"/>
      <c r="U10" s="3053"/>
    </row>
    <row r="11" spans="1:21" ht="42.75">
      <c r="A11" s="3000" t="s">
        <v>1986</v>
      </c>
      <c r="B11" s="1618" t="s">
        <v>3000</v>
      </c>
      <c r="C11" s="1604" t="s">
        <v>3005</v>
      </c>
      <c r="D11" s="1678"/>
      <c r="E11" s="3072"/>
      <c r="F11" s="3072"/>
      <c r="G11" s="3072"/>
      <c r="H11" s="3072"/>
      <c r="I11" s="3072"/>
      <c r="J11" s="3073"/>
      <c r="K11" s="3056"/>
      <c r="L11" s="3052"/>
      <c r="M11" s="3052"/>
      <c r="N11" s="3053"/>
      <c r="O11" s="3054"/>
      <c r="P11" s="3053"/>
      <c r="Q11" s="3053"/>
      <c r="R11" s="3053"/>
      <c r="S11" s="3053"/>
      <c r="T11" s="3053"/>
      <c r="U11" s="3053"/>
    </row>
    <row r="12" spans="1:21">
      <c r="A12" s="1698" t="s">
        <v>2044</v>
      </c>
      <c r="B12" s="3353" t="s">
        <v>3009</v>
      </c>
      <c r="C12" s="3354"/>
      <c r="D12" s="3355"/>
      <c r="E12" s="1619" t="s">
        <v>2047</v>
      </c>
      <c r="F12" s="3371" t="s">
        <v>3011</v>
      </c>
      <c r="G12" s="3372"/>
      <c r="H12" s="3372"/>
      <c r="I12" s="3373"/>
      <c r="J12" s="3073"/>
      <c r="K12" s="3056"/>
      <c r="L12" s="3052"/>
      <c r="M12" s="3052"/>
      <c r="N12" s="3053"/>
      <c r="O12" s="3054"/>
      <c r="P12" s="3053"/>
      <c r="Q12" s="3053"/>
      <c r="R12" s="3053"/>
      <c r="S12" s="3053"/>
      <c r="T12" s="3053"/>
      <c r="U12" s="3053"/>
    </row>
    <row r="13" spans="1:21">
      <c r="A13" s="1610" t="s">
        <v>2045</v>
      </c>
      <c r="B13" s="3353" t="s">
        <v>3010</v>
      </c>
      <c r="C13" s="3354"/>
      <c r="D13" s="3355"/>
      <c r="E13" s="1619" t="s">
        <v>2047</v>
      </c>
      <c r="F13" s="3371" t="s">
        <v>3012</v>
      </c>
      <c r="G13" s="3372"/>
      <c r="H13" s="3372"/>
      <c r="I13" s="3373"/>
      <c r="J13" s="3073"/>
      <c r="K13" s="3056"/>
      <c r="L13" s="3052"/>
      <c r="M13" s="3052"/>
      <c r="N13" s="3053"/>
      <c r="O13" s="3054"/>
      <c r="P13" s="3053"/>
      <c r="Q13" s="3053"/>
      <c r="R13" s="3053"/>
      <c r="S13" s="3053"/>
      <c r="T13" s="3053"/>
      <c r="U13" s="3053"/>
    </row>
    <row r="14" spans="1:21">
      <c r="A14" s="1587" t="s">
        <v>2048</v>
      </c>
      <c r="B14" s="1619"/>
      <c r="C14" s="1757" t="s">
        <v>3001</v>
      </c>
      <c r="D14" s="1653" t="str">
        <f>IF(C14="不一致","是否符合证载地类范围","")</f>
        <v/>
      </c>
      <c r="E14" s="1619"/>
      <c r="F14" s="1703" t="s">
        <v>3002</v>
      </c>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1938</v>
      </c>
      <c r="E15" s="1682" t="s">
        <v>1939</v>
      </c>
      <c r="F15" s="1682" t="s">
        <v>1940</v>
      </c>
      <c r="G15" s="1609" t="s">
        <v>1941</v>
      </c>
      <c r="H15" s="1609" t="s">
        <v>1942</v>
      </c>
      <c r="I15" s="1609" t="s">
        <v>1943</v>
      </c>
      <c r="J15" s="3073"/>
      <c r="K15" s="3056"/>
      <c r="L15" s="3052"/>
      <c r="M15" s="3052"/>
      <c r="N15" s="3053"/>
      <c r="O15" s="3054"/>
      <c r="P15" s="3053"/>
      <c r="Q15" s="3053"/>
      <c r="R15" s="3053"/>
      <c r="S15" s="3053"/>
      <c r="T15" s="3053"/>
      <c r="U15" s="3053"/>
    </row>
    <row r="16" spans="1:21" ht="42.75">
      <c r="A16" s="3001" t="s">
        <v>1936</v>
      </c>
      <c r="B16" s="1605" t="s">
        <v>2944</v>
      </c>
      <c r="C16" s="1619" t="s">
        <v>1937</v>
      </c>
      <c r="D16" s="2487" t="s">
        <v>1938</v>
      </c>
      <c r="E16" s="1642" t="s">
        <v>3003</v>
      </c>
      <c r="F16" s="1642"/>
      <c r="G16" s="1642" t="s">
        <v>35</v>
      </c>
      <c r="H16" s="1642"/>
      <c r="I16" s="1609" t="s">
        <v>1943</v>
      </c>
      <c r="J16" s="3073"/>
      <c r="K16" s="2310" t="str">
        <f>IF(D17="","",D16&amp;TEXT(D17,"yyyy年m月d日;;"))</f>
        <v>住宅2090年5月12日</v>
      </c>
      <c r="L16" s="1619" t="str">
        <f>IF(OR(K16="",M16=""),"","、")</f>
        <v>、</v>
      </c>
      <c r="M16" s="2310" t="str">
        <f>IF(E17="","",E16&amp;TEXT(E17,"yyyy年m月d日;;"))</f>
        <v>商业2060年5月12日</v>
      </c>
      <c r="N16" s="1619" t="str">
        <f>IF(OR(M16="",O16=""),"","、")</f>
        <v/>
      </c>
      <c r="O16" s="2310" t="str">
        <f>IF(F17="","",F16&amp;TEXT(F17,"yyyy年m月d日;;"))</f>
        <v/>
      </c>
      <c r="P16" s="1619" t="str">
        <f>IF(OR(O16="",Q16=""),"","、")</f>
        <v/>
      </c>
      <c r="Q16" s="2310" t="str">
        <f>IF(G17="","",G16&amp;TEXT(G17,"yyyy年m月d日;;"))</f>
        <v>地下车库2070年5月12日</v>
      </c>
      <c r="R16" s="1619" t="str">
        <f>IF(OR(Q16="",S16=""),"","、")</f>
        <v/>
      </c>
      <c r="S16" s="2310" t="str">
        <f>IF(H17="","",H16&amp;TEXT(H17,"yyyy年m月d日;;"))</f>
        <v/>
      </c>
      <c r="T16" s="1619" t="str">
        <f>IF(OR(S16="",U16=""),"","、")</f>
        <v/>
      </c>
      <c r="U16" s="2310" t="str">
        <f>IF(I17="","",I16&amp;TEXT(I17,"yyyy年m月d日;;"))</f>
        <v/>
      </c>
    </row>
    <row r="17" spans="1:21">
      <c r="A17" s="1679"/>
      <c r="B17" s="1606"/>
      <c r="C17" s="3002" t="s">
        <v>1944</v>
      </c>
      <c r="D17" s="1620">
        <v>69530</v>
      </c>
      <c r="E17" s="1620">
        <v>58573</v>
      </c>
      <c r="F17" s="1620"/>
      <c r="G17" s="1620">
        <v>62225</v>
      </c>
      <c r="H17" s="1620"/>
      <c r="I17" s="1620"/>
      <c r="J17" s="3073"/>
      <c r="K17" s="3051" t="str">
        <f>CONCATENATE(K16,L16,M16,N16,O16,P16,Q16,R16,S16,T16,,U16)</f>
        <v>住宅2090年5月12日、商业2060年5月12日地下车库2070年5月12日</v>
      </c>
      <c r="L17" s="3052"/>
      <c r="M17" s="3052"/>
      <c r="N17" s="3053"/>
      <c r="O17" s="3054"/>
      <c r="P17" s="3053"/>
      <c r="Q17" s="3053"/>
      <c r="R17" s="3053"/>
      <c r="S17" s="3053"/>
      <c r="T17" s="3053"/>
      <c r="U17" s="3053"/>
    </row>
    <row r="18" spans="1:21">
      <c r="A18" s="1679"/>
      <c r="B18" s="1606"/>
      <c r="C18" s="3002" t="s">
        <v>1945</v>
      </c>
      <c r="D18" s="1607">
        <v>70</v>
      </c>
      <c r="E18" s="1607">
        <v>40</v>
      </c>
      <c r="F18" s="1607"/>
      <c r="G18" s="1607">
        <v>50</v>
      </c>
      <c r="H18" s="1607"/>
      <c r="I18" s="1607"/>
      <c r="J18" s="3073"/>
      <c r="K18" s="3056"/>
      <c r="L18" s="3052"/>
      <c r="M18" s="3052"/>
      <c r="N18" s="3053"/>
      <c r="O18" s="3054"/>
      <c r="P18" s="3053"/>
      <c r="Q18" s="3053"/>
      <c r="R18" s="3053"/>
      <c r="S18" s="3053"/>
      <c r="T18" s="3053"/>
      <c r="U18" s="3053"/>
    </row>
    <row r="19" spans="1:21">
      <c r="A19" s="1679"/>
      <c r="B19" s="1606"/>
      <c r="C19" s="1586" t="s">
        <v>1946</v>
      </c>
      <c r="D19" s="1674">
        <f>IF(B16="出让",IF(D17="","",ROUNDDOWN(MIN((D17-$D$3)/365,D18),2)),D18)</f>
        <v>69.77</v>
      </c>
      <c r="E19" s="1608">
        <f>IF(B16="出让",IF(E17="","",ROUNDDOWN(MIN((E17-$D$3)/365,E18),2)),E18)</f>
        <v>39.75</v>
      </c>
      <c r="F19" s="1608" t="str">
        <f>IF(B16="出让",IF(F17="","",ROUNDDOWN(MIN((F17-$D$3)/365,F18),2)),F18)</f>
        <v/>
      </c>
      <c r="G19" s="1608">
        <f>IF(B16="出让",IF(G17="","",ROUNDDOWN(MIN((G17-$D$3)/365,G18),2)),G18)</f>
        <v>49.76</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2046</v>
      </c>
      <c r="D20" s="3368" t="s">
        <v>3014</v>
      </c>
      <c r="E20" s="3369"/>
      <c r="F20" s="3369"/>
      <c r="G20" s="3369"/>
      <c r="H20" s="3369"/>
      <c r="I20" s="3370"/>
      <c r="J20" s="3073"/>
      <c r="K20" s="3056"/>
      <c r="L20" s="3052"/>
      <c r="M20" s="3052"/>
      <c r="N20" s="3053"/>
      <c r="O20" s="3054"/>
      <c r="P20" s="3053"/>
      <c r="Q20" s="3053"/>
      <c r="R20" s="3053"/>
      <c r="S20" s="3053"/>
      <c r="T20" s="3053"/>
      <c r="U20" s="3053"/>
    </row>
    <row r="21" spans="1:21">
      <c r="A21" s="1679" t="s">
        <v>1947</v>
      </c>
      <c r="B21" s="1680" t="s">
        <v>1948</v>
      </c>
      <c r="C21" s="1675">
        <f>'数据-汇总表'!E3</f>
        <v>274652.19</v>
      </c>
      <c r="D21" s="1676" t="s">
        <v>1949</v>
      </c>
      <c r="E21" s="3358" t="str">
        <f>F13</f>
        <v>《国有建设用地使用权出让合同》[电子监管号：4101002020B07222]及附件、《建设工程规划许可证》[郑规建（建筑）字第410100202019033号]</v>
      </c>
      <c r="F21" s="3359"/>
      <c r="G21" s="3359"/>
      <c r="H21" s="3359"/>
      <c r="I21" s="3360"/>
      <c r="J21" s="3073"/>
      <c r="K21" s="3056"/>
      <c r="L21" s="3052"/>
      <c r="M21" s="3052"/>
      <c r="N21" s="3053"/>
      <c r="O21" s="3054"/>
      <c r="P21" s="3053"/>
      <c r="Q21" s="3053"/>
      <c r="R21" s="3053"/>
      <c r="S21" s="3053"/>
      <c r="T21" s="3053"/>
      <c r="U21" s="3053"/>
    </row>
    <row r="22" spans="1:21">
      <c r="A22" s="2801" t="s">
        <v>943</v>
      </c>
      <c r="B22" s="1587" t="s">
        <v>1950</v>
      </c>
      <c r="C22" s="1609">
        <f>'数据-汇总表'!D3</f>
        <v>52485.58</v>
      </c>
      <c r="D22" s="1610" t="s">
        <v>1949</v>
      </c>
      <c r="E22" s="3358" t="str">
        <f>F12</f>
        <v>《不动产权证书》[豫（2020）郑州市不动产权第0097105号]</v>
      </c>
      <c r="F22" s="3359"/>
      <c r="G22" s="3359"/>
      <c r="H22" s="3359"/>
      <c r="I22" s="3360"/>
      <c r="J22" s="3073"/>
      <c r="K22" s="3056"/>
      <c r="L22" s="3052"/>
      <c r="M22" s="3052"/>
      <c r="N22" s="3053"/>
      <c r="O22" s="3054"/>
      <c r="P22" s="3053"/>
      <c r="Q22" s="3053"/>
      <c r="R22" s="3053"/>
      <c r="S22" s="3053"/>
      <c r="T22" s="3053"/>
      <c r="U22" s="3053"/>
    </row>
    <row r="23" spans="1:21" ht="43.5" thickBot="1">
      <c r="A23" s="1681" t="s">
        <v>1951</v>
      </c>
      <c r="B23" s="1621" t="s">
        <v>1952</v>
      </c>
      <c r="C23" s="1622" t="s">
        <v>3013</v>
      </c>
      <c r="D23" s="1623" t="s">
        <v>1953</v>
      </c>
      <c r="E23" s="1624" t="s">
        <v>943</v>
      </c>
      <c r="F23" s="1625" t="str">
        <f>IF(AND(C23="是",E23="否"),"是否提供他项权证或相关说明","")</f>
        <v/>
      </c>
      <c r="G23" s="1626" t="s">
        <v>943</v>
      </c>
      <c r="H23" s="3073"/>
      <c r="I23" s="3077"/>
      <c r="J23" s="3073"/>
      <c r="K23" s="3056"/>
      <c r="L23" s="3052"/>
      <c r="M23" s="3052"/>
      <c r="N23" s="3053"/>
      <c r="O23" s="3054"/>
      <c r="P23" s="3053"/>
      <c r="Q23" s="3053"/>
      <c r="R23" s="3053"/>
      <c r="S23" s="3053"/>
      <c r="T23" s="3053"/>
      <c r="U23" s="3053"/>
    </row>
    <row r="24" spans="1:21">
      <c r="A24" s="1666" t="s">
        <v>1954</v>
      </c>
      <c r="B24" s="3361" t="s">
        <v>1955</v>
      </c>
      <c r="C24" s="3362"/>
      <c r="D24" s="3363" t="s">
        <v>1956</v>
      </c>
      <c r="E24" s="3364"/>
      <c r="F24" s="1628" t="s">
        <v>1957</v>
      </c>
      <c r="G24" s="3073"/>
      <c r="H24" s="3073"/>
      <c r="I24" s="3077"/>
      <c r="J24" s="3073"/>
      <c r="K24" s="3349" t="s">
        <v>1958</v>
      </c>
      <c r="L24" s="2311"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643"/>
      <c r="N24" s="3053"/>
      <c r="O24" s="3054"/>
      <c r="P24" s="3053"/>
      <c r="Q24" s="3053"/>
      <c r="R24" s="3053"/>
      <c r="S24" s="3053"/>
      <c r="T24" s="3053"/>
      <c r="U24" s="3053"/>
    </row>
    <row r="25" spans="1:21" ht="28.5">
      <c r="A25" s="1667"/>
      <c r="B25" s="1664" t="s">
        <v>2310</v>
      </c>
      <c r="C25" s="1629" t="s">
        <v>2311</v>
      </c>
      <c r="D25" s="1630"/>
      <c r="E25" s="1631" t="s">
        <v>943</v>
      </c>
      <c r="F25" s="1632"/>
      <c r="G25" s="3073"/>
      <c r="H25" s="3073"/>
      <c r="I25" s="3077"/>
      <c r="J25" s="3073"/>
      <c r="K25" s="3349"/>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3"/>
      <c r="N25" s="3053"/>
      <c r="O25" s="3054"/>
      <c r="P25" s="3053"/>
      <c r="Q25" s="3053"/>
      <c r="R25" s="3053"/>
      <c r="S25" s="3053"/>
      <c r="T25" s="3053"/>
      <c r="U25" s="3053"/>
    </row>
    <row r="26" spans="1:21" ht="15" thickBot="1">
      <c r="A26" s="1668"/>
      <c r="B26" s="1665" t="s">
        <v>943</v>
      </c>
      <c r="C26" s="1629" t="s">
        <v>943</v>
      </c>
      <c r="D26" s="3074"/>
      <c r="E26" s="3074"/>
      <c r="F26" s="3080"/>
      <c r="G26" s="3073"/>
      <c r="H26" s="3073"/>
      <c r="I26" s="3077"/>
      <c r="J26" s="3073"/>
      <c r="K26" s="3349"/>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1959</v>
      </c>
      <c r="B27" s="1669" t="s">
        <v>1960</v>
      </c>
      <c r="C27" s="1633"/>
      <c r="D27" s="2492" t="s">
        <v>1960</v>
      </c>
      <c r="E27" s="1634"/>
      <c r="F27" s="3080"/>
      <c r="G27" s="3073"/>
      <c r="H27" s="3073"/>
      <c r="I27" s="3077"/>
      <c r="J27" s="3073"/>
      <c r="K27" s="3056"/>
      <c r="L27" s="3052"/>
      <c r="M27" s="3052"/>
      <c r="N27" s="3053"/>
      <c r="O27" s="3054"/>
      <c r="P27" s="3053"/>
      <c r="Q27" s="3053"/>
      <c r="R27" s="3053"/>
      <c r="S27" s="3053"/>
      <c r="T27" s="3053"/>
      <c r="U27" s="3053"/>
    </row>
    <row r="28" spans="1:21">
      <c r="A28" s="1672"/>
      <c r="B28" s="1669" t="s">
        <v>1961</v>
      </c>
      <c r="C28" s="1635"/>
      <c r="D28" s="2493" t="s">
        <v>1961</v>
      </c>
      <c r="E28" s="1636"/>
      <c r="F28" s="3080"/>
      <c r="G28" s="3073"/>
      <c r="H28" s="3073"/>
      <c r="I28" s="3077"/>
      <c r="J28" s="3073"/>
      <c r="K28" s="3056"/>
      <c r="L28" s="3052"/>
      <c r="M28" s="3052"/>
      <c r="N28" s="3053"/>
      <c r="O28" s="3054"/>
      <c r="P28" s="3053"/>
      <c r="Q28" s="3053"/>
      <c r="R28" s="3053"/>
      <c r="S28" s="3053"/>
      <c r="T28" s="3053"/>
      <c r="U28" s="3053"/>
    </row>
    <row r="29" spans="1:21">
      <c r="A29" s="1672"/>
      <c r="B29" s="1669" t="s">
        <v>1962</v>
      </c>
      <c r="C29" s="1635"/>
      <c r="D29" s="2493" t="s">
        <v>1962</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1963</v>
      </c>
      <c r="C30" s="1637"/>
      <c r="D30" s="2494" t="s">
        <v>1963</v>
      </c>
      <c r="E30" s="1638"/>
      <c r="F30" s="3081"/>
      <c r="G30" s="3078"/>
      <c r="H30" s="3078"/>
      <c r="I30" s="3079"/>
      <c r="J30" s="3073"/>
      <c r="K30" s="3056"/>
      <c r="L30" s="3052"/>
      <c r="M30" s="3052"/>
      <c r="N30" s="3053"/>
      <c r="O30" s="3054"/>
      <c r="P30" s="3053"/>
      <c r="Q30" s="3053"/>
      <c r="R30" s="3053"/>
      <c r="S30" s="3053"/>
      <c r="T30" s="3053"/>
      <c r="U30" s="3053"/>
    </row>
    <row r="31" spans="1:21" ht="15" thickTop="1">
      <c r="A31" s="3376" t="s">
        <v>1987</v>
      </c>
      <c r="B31" s="1680" t="s">
        <v>1988</v>
      </c>
      <c r="C31" s="3374" t="s">
        <v>3015</v>
      </c>
      <c r="D31" s="3375"/>
      <c r="E31" s="3073"/>
      <c r="F31" s="3073"/>
      <c r="G31" s="3073"/>
      <c r="H31" s="3073"/>
      <c r="I31" s="3077"/>
      <c r="J31" s="3073"/>
      <c r="K31" s="3059"/>
      <c r="L31" s="3053"/>
      <c r="M31" s="3053"/>
      <c r="N31" s="3053"/>
      <c r="O31" s="3053"/>
      <c r="P31" s="3053"/>
      <c r="Q31" s="3053"/>
      <c r="R31" s="3053"/>
      <c r="S31" s="3053"/>
      <c r="T31" s="3053"/>
      <c r="U31" s="3053"/>
    </row>
    <row r="32" spans="1:21">
      <c r="A32" s="3376"/>
      <c r="B32" s="1587" t="s">
        <v>1989</v>
      </c>
      <c r="C32" s="1639" t="s">
        <v>3016</v>
      </c>
      <c r="D32" s="1640"/>
      <c r="E32" s="3073"/>
      <c r="F32" s="3073"/>
      <c r="G32" s="3073"/>
      <c r="H32" s="3073"/>
      <c r="I32" s="3077"/>
      <c r="J32" s="3073"/>
      <c r="K32" s="3059"/>
      <c r="L32" s="3053"/>
      <c r="M32" s="3053"/>
      <c r="N32" s="3053"/>
      <c r="O32" s="3053"/>
      <c r="P32" s="3053"/>
      <c r="Q32" s="3053"/>
      <c r="R32" s="3053"/>
      <c r="S32" s="3053"/>
      <c r="T32" s="3053"/>
      <c r="U32" s="3053"/>
    </row>
    <row r="33" spans="1:28">
      <c r="A33" s="3376"/>
      <c r="B33" s="1587" t="s">
        <v>1990</v>
      </c>
      <c r="C33" s="1641" t="s">
        <v>3013</v>
      </c>
      <c r="D33" s="1751"/>
      <c r="E33" s="3073"/>
      <c r="F33" s="3073"/>
      <c r="G33" s="3073"/>
      <c r="H33" s="3073"/>
      <c r="I33" s="3077"/>
      <c r="J33" s="3073"/>
      <c r="K33" s="3059"/>
      <c r="L33" s="3053"/>
      <c r="M33" s="3053"/>
      <c r="N33" s="3053"/>
      <c r="O33" s="3053"/>
      <c r="P33" s="3053"/>
      <c r="Q33" s="3053"/>
      <c r="R33" s="3053"/>
      <c r="S33" s="3053"/>
      <c r="T33" s="3053"/>
      <c r="U33" s="3053"/>
    </row>
    <row r="34" spans="1:28">
      <c r="A34" s="3377"/>
      <c r="B34" s="1587" t="s">
        <v>1991</v>
      </c>
      <c r="C34" s="3378"/>
      <c r="D34" s="3379"/>
      <c r="E34" s="3073"/>
      <c r="F34" s="3073"/>
      <c r="G34" s="3073"/>
      <c r="H34" s="3073"/>
      <c r="I34" s="3077"/>
      <c r="J34" s="3073"/>
      <c r="K34" s="3059"/>
      <c r="L34" s="3053"/>
      <c r="M34" s="3053"/>
      <c r="N34" s="3053"/>
      <c r="O34" s="3053"/>
      <c r="P34" s="3053"/>
      <c r="Q34" s="3053"/>
      <c r="R34" s="3053"/>
      <c r="S34" s="3053"/>
      <c r="T34" s="3053"/>
      <c r="U34" s="3053"/>
    </row>
    <row r="35" spans="1:28" ht="28.5">
      <c r="A35" s="3380" t="s">
        <v>839</v>
      </c>
      <c r="B35" s="1642" t="s">
        <v>3017</v>
      </c>
      <c r="C35" s="1689" t="str">
        <f>IF(B35="场地平整","——","具体情况：")</f>
        <v>具体情况：</v>
      </c>
      <c r="D35" s="3382" t="s">
        <v>3018</v>
      </c>
      <c r="E35" s="3383"/>
      <c r="F35" s="3383"/>
      <c r="G35" s="3383"/>
      <c r="H35" s="3383"/>
      <c r="I35" s="3384"/>
      <c r="J35" s="3073"/>
      <c r="K35" s="3060"/>
      <c r="L35" s="3052"/>
      <c r="M35" s="3052"/>
      <c r="N35" s="3053"/>
      <c r="O35" s="3054"/>
      <c r="P35" s="3053"/>
      <c r="Q35" s="3053"/>
      <c r="R35" s="3053"/>
      <c r="S35" s="3053"/>
      <c r="T35" s="3053"/>
      <c r="U35" s="3053"/>
    </row>
    <row r="36" spans="1:28">
      <c r="A36" s="3376"/>
      <c r="B36" s="3385" t="s">
        <v>2040</v>
      </c>
      <c r="C36" s="3386"/>
      <c r="D36" s="1705" t="s">
        <v>3019</v>
      </c>
      <c r="E36" s="3387"/>
      <c r="F36" s="3387"/>
      <c r="G36" s="1610" t="str">
        <f>IF(B35="场地未平整","估价结果处理","")</f>
        <v/>
      </c>
      <c r="H36" s="3388"/>
      <c r="I36" s="3388"/>
      <c r="J36" s="3073"/>
      <c r="K36" s="3060"/>
      <c r="L36" s="3052"/>
      <c r="M36" s="3052"/>
      <c r="N36" s="3053"/>
      <c r="O36" s="3054"/>
      <c r="P36" s="3053"/>
      <c r="Q36" s="3053"/>
      <c r="R36" s="3053"/>
      <c r="S36" s="3053"/>
      <c r="T36" s="3053"/>
      <c r="U36" s="3053"/>
    </row>
    <row r="37" spans="1:28" ht="28.5">
      <c r="A37" s="3376"/>
      <c r="B37" s="3365"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76"/>
      <c r="B38" s="3366"/>
      <c r="C38" s="1595" t="s">
        <v>842</v>
      </c>
      <c r="D38" s="1704">
        <f>ROUNDDOWN(MIN(('数据-取费表'!$B$2-D37)/365,D34),1)</f>
        <v>120.7</v>
      </c>
      <c r="E38" s="1647" t="s">
        <v>843</v>
      </c>
      <c r="F38" s="3073"/>
      <c r="G38" s="3073"/>
      <c r="H38" s="3073"/>
      <c r="I38" s="3077"/>
      <c r="J38" s="3073"/>
      <c r="K38" s="3060"/>
      <c r="L38" s="3053"/>
      <c r="M38" s="3053"/>
      <c r="N38" s="3053"/>
      <c r="O38" s="3053"/>
      <c r="P38" s="3053"/>
      <c r="Q38" s="3053"/>
      <c r="R38" s="3053"/>
      <c r="S38" s="3053"/>
      <c r="T38" s="3053"/>
      <c r="U38" s="3053"/>
    </row>
    <row r="39" spans="1:28">
      <c r="A39" s="3377"/>
      <c r="B39" s="3367"/>
      <c r="C39" s="1617" t="str">
        <f>IF(D38&lt;1,"不存在土地闲置",IF(B35="宗地内已开工建设","已开工，不存在土地闲置","估价对象已涉嫌土地闲置"))</f>
        <v>已开工，不存在土地闲置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1964</v>
      </c>
      <c r="B40" s="1611" t="s">
        <v>3020</v>
      </c>
      <c r="C40" s="1611" t="s">
        <v>3021</v>
      </c>
      <c r="D40" s="1611" t="s">
        <v>3022</v>
      </c>
      <c r="E40" s="1611" t="s">
        <v>3023</v>
      </c>
      <c r="F40" s="1611" t="s">
        <v>3024</v>
      </c>
      <c r="G40" s="1611" t="s">
        <v>3025</v>
      </c>
      <c r="H40" s="1611" t="s">
        <v>3026</v>
      </c>
      <c r="I40" s="3077"/>
      <c r="J40" s="3073"/>
      <c r="K40" s="3021">
        <f>COUNTIF(B40:H40,"——")</f>
        <v>0</v>
      </c>
      <c r="L40" s="1619" t="s">
        <v>1965</v>
      </c>
      <c r="M40" s="1616" t="s">
        <v>1966</v>
      </c>
      <c r="N40" s="1616" t="s">
        <v>1967</v>
      </c>
      <c r="O40" s="1616" t="s">
        <v>1968</v>
      </c>
      <c r="P40" s="1616" t="s">
        <v>1969</v>
      </c>
      <c r="Q40" s="1616" t="s">
        <v>1970</v>
      </c>
      <c r="R40" s="1616" t="s">
        <v>1971</v>
      </c>
      <c r="S40" s="3348" t="s">
        <v>1972</v>
      </c>
      <c r="T40" s="1651" t="str">
        <f>NUMBERSTRING(7-K40,1)&amp;"通"</f>
        <v>七通</v>
      </c>
      <c r="U40" s="3053"/>
    </row>
    <row r="41" spans="1:28" ht="28.5">
      <c r="A41" s="1589"/>
      <c r="B41" s="3381" t="s">
        <v>1712</v>
      </c>
      <c r="C41" s="3381"/>
      <c r="D41" s="3381"/>
      <c r="E41" s="3381"/>
      <c r="F41" s="1652" t="str">
        <f>C10</f>
        <v>河南省郑州市高新区</v>
      </c>
      <c r="G41" s="3073"/>
      <c r="H41" s="3073"/>
      <c r="I41" s="3077"/>
      <c r="J41" s="3073"/>
      <c r="K41" s="1619"/>
      <c r="L41" s="1616" t="str">
        <f>B40</f>
        <v>通路</v>
      </c>
      <c r="M41" s="1653" t="str">
        <f>B40&amp;"、"&amp;C40</f>
        <v>通路、通电</v>
      </c>
      <c r="N41" s="1654" t="str">
        <f>B40&amp;"、"&amp;C40&amp;"、"&amp;D40</f>
        <v>通路、通电、通讯</v>
      </c>
      <c r="O41" s="1654" t="str">
        <f>B40&amp;"、"&amp;C40&amp;"、"&amp;D40&amp;"、"&amp;E40</f>
        <v>通路、通电、通讯、通上水</v>
      </c>
      <c r="P41" s="1654" t="str">
        <f>B40&amp;"、"&amp;C40&amp;"、"&amp;D40&amp;"、"&amp;E40&amp;"、"&amp;F40</f>
        <v>通路、通电、通讯、通上水、通下水</v>
      </c>
      <c r="Q41" s="1654" t="str">
        <f>B40&amp;"、"&amp;C40&amp;"、"&amp;D40&amp;"、"&amp;E40&amp;"、"&amp;F40&amp;"、"&amp;G40</f>
        <v>通路、通电、通讯、通上水、通下水、通热</v>
      </c>
      <c r="R41" s="1654" t="str">
        <f>B40&amp;"、"&amp;C40&amp;"、"&amp;D40&amp;"、"&amp;E40&amp;"、"&amp;F40&amp;"、"&amp;G40&amp;"、"&amp;H40</f>
        <v>通路、通电、通讯、通上水、通下水、通热、燃气</v>
      </c>
      <c r="S41" s="3348"/>
      <c r="T41" s="1653" t="str">
        <f>IF(T40="一通",L41,IF(T40="二通",M41,IF(T40="三通",N41,IF(T40="四通",O41,IF(T40="五通",P41,IF(T40="六通",Q41,R41))))))</f>
        <v>通路、通电、通讯、通上水、通下水、通热、燃气</v>
      </c>
      <c r="U41" s="3053"/>
    </row>
    <row r="42" spans="1:28">
      <c r="A42" s="1655"/>
      <c r="B42" s="1682" t="s">
        <v>1888</v>
      </c>
      <c r="C42" s="1682" t="s">
        <v>1889</v>
      </c>
      <c r="D42" s="1682" t="s">
        <v>1890</v>
      </c>
      <c r="E42" s="1619"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2864</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1992</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1993</v>
      </c>
      <c r="B48" s="1609" t="s">
        <v>1994</v>
      </c>
      <c r="C48" s="1609" t="s">
        <v>1995</v>
      </c>
      <c r="D48" s="1609" t="s">
        <v>1996</v>
      </c>
      <c r="E48" s="1609" t="s">
        <v>1997</v>
      </c>
      <c r="F48" s="1609" t="s">
        <v>1998</v>
      </c>
      <c r="G48" s="1609" t="s">
        <v>1999</v>
      </c>
      <c r="H48" s="1609" t="s">
        <v>2000</v>
      </c>
      <c r="I48" s="1609" t="s">
        <v>2001</v>
      </c>
      <c r="J48" s="1688" t="s">
        <v>2002</v>
      </c>
      <c r="K48" s="3066" t="s">
        <v>2003</v>
      </c>
      <c r="L48" s="3066" t="s">
        <v>2004</v>
      </c>
      <c r="M48" s="3066" t="s">
        <v>2005</v>
      </c>
      <c r="N48" s="3067" t="s">
        <v>2006</v>
      </c>
      <c r="O48" s="3067" t="s">
        <v>2007</v>
      </c>
      <c r="P48" s="3067" t="s">
        <v>2008</v>
      </c>
      <c r="Q48" s="3058" t="s">
        <v>2009</v>
      </c>
      <c r="R48" s="3058" t="s">
        <v>2010</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2318</v>
      </c>
      <c r="BA2" s="2219" t="s">
        <v>2317</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f>项目汇总!M8</f>
        <v>52644.37</v>
      </c>
      <c r="B3" s="22">
        <f>IF(C3="否",G5-AT5,G5)</f>
        <v>275483.11</v>
      </c>
      <c r="C3" s="23" t="s">
        <v>3013</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275483.11</v>
      </c>
      <c r="H5" s="27">
        <f t="shared" ref="H5:AT5" si="0">SUM(H13:H641)</f>
        <v>267678.72000000003</v>
      </c>
      <c r="I5" s="27">
        <f t="shared" si="0"/>
        <v>204292.17</v>
      </c>
      <c r="J5" s="27">
        <f t="shared" si="0"/>
        <v>0</v>
      </c>
      <c r="K5" s="27">
        <f t="shared" si="0"/>
        <v>0</v>
      </c>
      <c r="L5" s="27">
        <f t="shared" si="0"/>
        <v>0</v>
      </c>
      <c r="M5" s="27">
        <f t="shared" si="0"/>
        <v>63386.549999999996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7804.39</v>
      </c>
      <c r="AD5" s="27">
        <f t="shared" si="0"/>
        <v>5142.91</v>
      </c>
      <c r="AE5" s="27">
        <f t="shared" si="0"/>
        <v>0</v>
      </c>
      <c r="AF5" s="27">
        <f t="shared" si="0"/>
        <v>792.62</v>
      </c>
      <c r="AG5" s="27">
        <f t="shared" si="0"/>
        <v>0</v>
      </c>
      <c r="AH5" s="27">
        <f t="shared" si="0"/>
        <v>835.55</v>
      </c>
      <c r="AI5" s="27">
        <f t="shared" si="0"/>
        <v>0</v>
      </c>
      <c r="AJ5" s="27">
        <f t="shared" si="0"/>
        <v>202.39</v>
      </c>
      <c r="AK5" s="27">
        <f t="shared" si="0"/>
        <v>0</v>
      </c>
      <c r="AL5" s="27">
        <f t="shared" si="0"/>
        <v>830.92</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274652.19</v>
      </c>
      <c r="BA5" s="29">
        <f t="shared" si="1"/>
        <v>267678.72000000003</v>
      </c>
      <c r="BB5" s="29">
        <f t="shared" si="1"/>
        <v>204292.17</v>
      </c>
      <c r="BC5" s="29">
        <f t="shared" si="1"/>
        <v>0</v>
      </c>
      <c r="BD5" s="29">
        <f t="shared" si="1"/>
        <v>63386.549999999996</v>
      </c>
      <c r="BE5" s="29">
        <f t="shared" si="1"/>
        <v>0</v>
      </c>
      <c r="BF5" s="29">
        <f t="shared" si="1"/>
        <v>0</v>
      </c>
      <c r="BG5" s="29">
        <f t="shared" si="1"/>
        <v>0</v>
      </c>
      <c r="BH5" s="29">
        <f t="shared" si="1"/>
        <v>0</v>
      </c>
      <c r="BI5" s="29">
        <f t="shared" si="1"/>
        <v>0</v>
      </c>
      <c r="BJ5" s="29">
        <f t="shared" si="1"/>
        <v>0</v>
      </c>
      <c r="BK5" s="29">
        <f t="shared" si="1"/>
        <v>0</v>
      </c>
      <c r="BL5" s="29">
        <f t="shared" si="1"/>
        <v>6973.47</v>
      </c>
      <c r="BM5" s="29">
        <f t="shared" si="1"/>
        <v>5142.91</v>
      </c>
      <c r="BN5" s="29">
        <f t="shared" si="1"/>
        <v>792.62</v>
      </c>
      <c r="BO5" s="29">
        <f t="shared" si="1"/>
        <v>835.55</v>
      </c>
      <c r="BP5" s="29">
        <f t="shared" si="1"/>
        <v>202.39</v>
      </c>
      <c r="BQ5" s="29">
        <f t="shared" si="1"/>
        <v>0</v>
      </c>
      <c r="BR5" s="29">
        <f t="shared" si="1"/>
        <v>0</v>
      </c>
      <c r="BS5" s="29">
        <f t="shared" si="1"/>
        <v>0</v>
      </c>
      <c r="BT5" s="30">
        <f t="shared" si="1"/>
        <v>0</v>
      </c>
    </row>
    <row r="6" spans="1:72" s="37" customFormat="1" ht="12.75">
      <c r="A6" s="26" t="s">
        <v>169</v>
      </c>
      <c r="B6" s="31"/>
      <c r="C6" s="31"/>
      <c r="D6" s="32"/>
      <c r="E6" s="27">
        <f>H6+AC6+AT6</f>
        <v>52644.380000000005</v>
      </c>
      <c r="F6" s="27" t="s">
        <v>1</v>
      </c>
      <c r="G6" s="27" t="s">
        <v>2</v>
      </c>
      <c r="H6" s="33">
        <f>SUMIF(I$12:AB$12,"总值",I6:AB6)</f>
        <v>51152.97</v>
      </c>
      <c r="I6" s="27">
        <f t="shared" ref="I6:AB6" si="2">ROUND($A$3*I5/$B$3,2)</f>
        <v>39039.9</v>
      </c>
      <c r="J6" s="27">
        <f t="shared" si="2"/>
        <v>0</v>
      </c>
      <c r="K6" s="27">
        <f t="shared" si="2"/>
        <v>0</v>
      </c>
      <c r="L6" s="27">
        <f t="shared" si="2"/>
        <v>0</v>
      </c>
      <c r="M6" s="27">
        <f t="shared" si="2"/>
        <v>12113.07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1491.41</v>
      </c>
      <c r="AD6" s="27">
        <f t="shared" ref="AD6:AS6" si="3">ROUND($A$3*AD5/$B$3,2)</f>
        <v>982.8</v>
      </c>
      <c r="AE6" s="27">
        <f t="shared" si="3"/>
        <v>0</v>
      </c>
      <c r="AF6" s="27">
        <f t="shared" si="3"/>
        <v>151.47</v>
      </c>
      <c r="AG6" s="27">
        <f t="shared" si="3"/>
        <v>0</v>
      </c>
      <c r="AH6" s="27">
        <f t="shared" si="3"/>
        <v>159.66999999999999</v>
      </c>
      <c r="AI6" s="27">
        <f t="shared" si="3"/>
        <v>0</v>
      </c>
      <c r="AJ6" s="27">
        <f t="shared" si="3"/>
        <v>38.68</v>
      </c>
      <c r="AK6" s="27">
        <f t="shared" si="3"/>
        <v>0</v>
      </c>
      <c r="AL6" s="27">
        <f t="shared" si="3"/>
        <v>158.79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52485.58</v>
      </c>
      <c r="AZ6" s="27" t="s">
        <v>3</v>
      </c>
      <c r="BA6" s="27">
        <f>ROUND($AY$6*BA5/$AZ$5,2)</f>
        <v>51152.959999999999</v>
      </c>
      <c r="BB6" s="27">
        <f>ROUND($AY$6*BB5/$AZ$5,2)</f>
        <v>39039.9</v>
      </c>
      <c r="BC6" s="27">
        <f t="shared" ref="BC6:BH6" si="4">ROUND($AY$6*BC5/$AZ$5,2)</f>
        <v>0</v>
      </c>
      <c r="BD6" s="27">
        <f t="shared" si="4"/>
        <v>12113.07</v>
      </c>
      <c r="BE6" s="27">
        <f t="shared" si="4"/>
        <v>0</v>
      </c>
      <c r="BF6" s="27">
        <f t="shared" si="4"/>
        <v>0</v>
      </c>
      <c r="BG6" s="27">
        <f t="shared" si="4"/>
        <v>0</v>
      </c>
      <c r="BH6" s="27">
        <f t="shared" si="4"/>
        <v>0</v>
      </c>
      <c r="BI6" s="27">
        <f t="shared" ref="BI6:BT6" si="5">ROUND($AY$6*BI5/$AZ$5,2)</f>
        <v>0</v>
      </c>
      <c r="BJ6" s="27">
        <f t="shared" si="5"/>
        <v>0</v>
      </c>
      <c r="BK6" s="27">
        <f t="shared" si="5"/>
        <v>0</v>
      </c>
      <c r="BL6" s="27">
        <f t="shared" si="5"/>
        <v>1332.62</v>
      </c>
      <c r="BM6" s="27">
        <f t="shared" si="5"/>
        <v>982.8</v>
      </c>
      <c r="BN6" s="27">
        <f t="shared" si="5"/>
        <v>151.47</v>
      </c>
      <c r="BO6" s="27">
        <f t="shared" si="5"/>
        <v>159.66999999999999</v>
      </c>
      <c r="BP6" s="27">
        <f t="shared" si="5"/>
        <v>38.68</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3369</v>
      </c>
      <c r="J9" s="51"/>
      <c r="K9" s="2731" t="s">
        <v>3369</v>
      </c>
      <c r="L9" s="51"/>
      <c r="M9" s="2731" t="s">
        <v>3375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914</v>
      </c>
      <c r="J10" s="51"/>
      <c r="K10" s="2733" t="s">
        <v>3003</v>
      </c>
      <c r="L10" s="51"/>
      <c r="M10" s="2733" t="s">
        <v>3376</v>
      </c>
      <c r="N10" s="51"/>
      <c r="O10" s="66"/>
      <c r="P10" s="51"/>
      <c r="Q10" s="66"/>
      <c r="R10" s="51"/>
      <c r="S10" s="66"/>
      <c r="T10" s="51"/>
      <c r="U10" s="66"/>
      <c r="V10" s="51"/>
      <c r="W10" s="66"/>
      <c r="X10" s="51"/>
      <c r="Y10" s="66"/>
      <c r="Z10" s="51"/>
      <c r="AA10" s="66"/>
      <c r="AB10" s="51"/>
      <c r="AC10" s="55"/>
      <c r="AD10" s="2193" t="s">
        <v>2302</v>
      </c>
      <c r="AE10" s="2215"/>
      <c r="AF10" s="2193" t="s">
        <v>2302</v>
      </c>
      <c r="AG10" s="2215"/>
      <c r="AH10" s="2193" t="s">
        <v>2303</v>
      </c>
      <c r="AI10" s="2215"/>
      <c r="AJ10" s="26" t="s">
        <v>2316</v>
      </c>
      <c r="AK10" s="2212"/>
      <c r="AL10" s="2193" t="s">
        <v>2304</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2315</v>
      </c>
      <c r="AE11" s="989"/>
      <c r="AF11" s="2213" t="s">
        <v>2315</v>
      </c>
      <c r="AG11" s="989"/>
      <c r="AH11" s="2213" t="s">
        <v>2314</v>
      </c>
      <c r="AI11" s="2214"/>
      <c r="AJ11" s="2213" t="s">
        <v>2314</v>
      </c>
      <c r="AK11" s="2212"/>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c r="B13" s="2726"/>
      <c r="C13" s="2726"/>
      <c r="D13" s="2727" t="s">
        <v>1669</v>
      </c>
      <c r="E13" s="27">
        <f t="shared" ref="E13:E20" si="6">IF($C$3="是",ROUND($A$3*G13/$B$3,2),ROUND($A$3*(G13-AT13)/$B$3,2))</f>
        <v>52485.58</v>
      </c>
      <c r="F13" s="81"/>
      <c r="G13" s="82">
        <f t="shared" ref="G13:G20" si="7">H13+AC13+AT13</f>
        <v>274652.19</v>
      </c>
      <c r="H13" s="33">
        <f t="shared" ref="H13:H20" si="8">SUMIF(I$12:AB$12,"总值",I13:AB13)</f>
        <v>267678.72000000003</v>
      </c>
      <c r="I13" s="2730">
        <f>27777.7+27683.44+2614.25+28519.8+28564.37+30701.91+30715.51+30700.55-(841.92+20.89+351.32+212.94+530.5+31.45+140.61+20.18)-AH13</f>
        <v>204292.17</v>
      </c>
      <c r="J13" s="2730"/>
      <c r="K13" s="2730"/>
      <c r="L13" s="2730"/>
      <c r="M13" s="2730">
        <f>64381.56-AF13-AJ13</f>
        <v>63386.549999999996</v>
      </c>
      <c r="N13" s="83"/>
      <c r="O13" s="83"/>
      <c r="P13" s="83"/>
      <c r="Q13" s="83"/>
      <c r="R13" s="83"/>
      <c r="S13" s="83"/>
      <c r="T13" s="83"/>
      <c r="U13" s="83"/>
      <c r="V13" s="83"/>
      <c r="W13" s="83"/>
      <c r="X13" s="83"/>
      <c r="Y13" s="83"/>
      <c r="Z13" s="83"/>
      <c r="AA13" s="83"/>
      <c r="AB13" s="83"/>
      <c r="AC13" s="27">
        <f t="shared" ref="AC13:AC20" si="9">SUMIF(AD$12:AS$12,"总值",AD13:AS13)</f>
        <v>6973.47</v>
      </c>
      <c r="AD13" s="2734">
        <f>841.92+20.89+351.32+212.94+530.5+31.45+140.61+20.18+2993.1</f>
        <v>5142.91</v>
      </c>
      <c r="AE13" s="2734"/>
      <c r="AF13" s="2734">
        <f>586.03+206.59</f>
        <v>792.62</v>
      </c>
      <c r="AG13" s="2734"/>
      <c r="AH13" s="2734">
        <f>371.11+464.44</f>
        <v>835.55</v>
      </c>
      <c r="AI13" s="2734"/>
      <c r="AJ13" s="2734">
        <v>202.39</v>
      </c>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3">
        <f t="shared" ref="AY13:AY20" si="11">ROUND($AY$6*AZ13/$AZ$5,2)</f>
        <v>52485.58</v>
      </c>
      <c r="AZ13" s="27">
        <f t="shared" ref="AZ13:AZ20" si="12">BA13+BL13</f>
        <v>274652.19</v>
      </c>
      <c r="BA13" s="27">
        <f t="shared" ref="BA13:BA20" si="13">SUM(BB13:BK13)</f>
        <v>267678.72000000003</v>
      </c>
      <c r="BB13" s="27">
        <f t="shared" ref="BB13:BB20" si="14">IF($D13="是",I13-J13,0)</f>
        <v>204292.17</v>
      </c>
      <c r="BC13" s="27">
        <f t="shared" ref="BC13:BC20" si="15">IF($D13="是",K13-L13,0)</f>
        <v>0</v>
      </c>
      <c r="BD13" s="27">
        <f t="shared" ref="BD13:BD20" si="16">IF($D13="是",M13-N13,0)</f>
        <v>63386.549999999996</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6973.47</v>
      </c>
      <c r="BM13" s="27">
        <f t="shared" ref="BM13:BM20" si="25">IF($D13="是",AD13-AE13,0)</f>
        <v>5142.91</v>
      </c>
      <c r="BN13" s="27">
        <f t="shared" ref="BN13:BN20" si="26">IF($D13="是",AF13-AG13,0)</f>
        <v>792.62</v>
      </c>
      <c r="BO13" s="27">
        <f t="shared" ref="BO13:BO20" si="27">IF($D13="是",AH13-AI13,0)</f>
        <v>835.55</v>
      </c>
      <c r="BP13" s="27">
        <f t="shared" ref="BP13:BP20" si="28">IF($D13="是",AJ13-AK13,0)</f>
        <v>202.39</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158.79</v>
      </c>
      <c r="F21" s="88"/>
      <c r="G21" s="89">
        <f t="shared" ref="G21:G109" si="34">H21+AC21+AT21</f>
        <v>830.92</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830.92</v>
      </c>
      <c r="AD21" s="92"/>
      <c r="AE21" s="92"/>
      <c r="AF21" s="1345"/>
      <c r="AG21" s="92"/>
      <c r="AH21" s="92"/>
      <c r="AI21" s="92"/>
      <c r="AJ21" s="92"/>
      <c r="AK21" s="92"/>
      <c r="AL21" s="92">
        <v>830.92</v>
      </c>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9" t="s">
        <v>0</v>
      </c>
      <c r="B1" s="3389" t="s">
        <v>4</v>
      </c>
      <c r="C1" s="3389" t="s">
        <v>5</v>
      </c>
      <c r="D1" s="3390" t="s">
        <v>40</v>
      </c>
      <c r="E1" s="3390" t="s">
        <v>41</v>
      </c>
      <c r="F1" s="3390"/>
      <c r="G1" s="3390"/>
      <c r="H1" s="3390"/>
      <c r="I1" s="3390"/>
      <c r="J1" s="3390"/>
      <c r="K1" s="3390"/>
      <c r="L1" s="3390"/>
      <c r="M1" s="3390"/>
    </row>
    <row r="2" spans="1:13" ht="27" customHeight="1">
      <c r="A2" s="3389"/>
      <c r="B2" s="3389"/>
      <c r="C2" s="3389"/>
      <c r="D2" s="3390"/>
      <c r="E2" s="3390" t="s">
        <v>24</v>
      </c>
      <c r="F2" s="3390" t="s">
        <v>25</v>
      </c>
      <c r="G2" s="3390"/>
      <c r="H2" s="3390"/>
      <c r="I2" s="3390"/>
      <c r="J2" s="3390" t="s">
        <v>26</v>
      </c>
      <c r="K2" s="3390"/>
      <c r="L2" s="3390"/>
      <c r="M2" s="3390"/>
    </row>
    <row r="3" spans="1:13" ht="28.5">
      <c r="A3" s="3389"/>
      <c r="B3" s="3389"/>
      <c r="C3" s="3389"/>
      <c r="D3" s="3390"/>
      <c r="E3" s="339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0" t="s">
        <v>42</v>
      </c>
      <c r="B9" s="3390"/>
      <c r="C9" s="33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
  <sheetViews>
    <sheetView zoomScale="85" zoomScaleNormal="85" workbookViewId="0">
      <pane xSplit="3" ySplit="1" topLeftCell="D2" activePane="bottomRight" state="frozen"/>
      <selection pane="topRight" activeCell="D1" sqref="D1"/>
      <selection pane="bottomLeft" activeCell="A2" sqref="A2"/>
      <selection pane="bottomRight" activeCell="J29" sqref="B4:J29"/>
    </sheetView>
  </sheetViews>
  <sheetFormatPr defaultRowHeight="18"/>
  <cols>
    <col min="1" max="2" width="8.75" style="3304" customWidth="1"/>
    <col min="3" max="3" width="8.75" style="3305" customWidth="1"/>
    <col min="4" max="4" width="30.5" style="3304" customWidth="1"/>
    <col min="5" max="5" width="15.625" style="3304" customWidth="1"/>
    <col min="6" max="6" width="13.625" style="3304" customWidth="1"/>
    <col min="7" max="7" width="10.375" style="3304" customWidth="1"/>
    <col min="8" max="8" width="8.875" style="3304" customWidth="1"/>
    <col min="9" max="9" width="15.125" style="3305" customWidth="1"/>
    <col min="10" max="10" width="38.5" style="3304" customWidth="1"/>
    <col min="11" max="11" width="22.75" style="3304" customWidth="1"/>
    <col min="12" max="12" width="35.375" style="3304" customWidth="1"/>
    <col min="13" max="13" width="11.75" style="3304" customWidth="1"/>
    <col min="14" max="14" width="12.5" style="3305" customWidth="1"/>
    <col min="15" max="15" width="32.25" style="3308" customWidth="1"/>
    <col min="16" max="16" width="39.375" style="3304" customWidth="1"/>
    <col min="17" max="17" width="14.875" style="3305" customWidth="1"/>
    <col min="18" max="18" width="28.375" style="3304" customWidth="1"/>
    <col min="19" max="19" width="13" style="3304" customWidth="1"/>
    <col min="20" max="20" width="14.875" style="3304" customWidth="1"/>
    <col min="21" max="21" width="9" style="3304"/>
    <col min="22" max="22" width="12.125" style="3305" bestFit="1" customWidth="1"/>
    <col min="23" max="23" width="121.5" style="3304" customWidth="1"/>
    <col min="24" max="16384" width="9" style="3304"/>
  </cols>
  <sheetData>
    <row r="1" spans="1:24" s="3301" customFormat="1" ht="18.75" thickBot="1">
      <c r="A1" s="3301" t="s">
        <v>3402</v>
      </c>
      <c r="B1" s="3301" t="s">
        <v>3403</v>
      </c>
      <c r="C1" s="3302" t="s">
        <v>3404</v>
      </c>
      <c r="D1" s="3301" t="s">
        <v>3405</v>
      </c>
      <c r="E1" s="3301" t="s">
        <v>3406</v>
      </c>
      <c r="F1" s="3301" t="s">
        <v>3407</v>
      </c>
      <c r="G1" s="3301" t="s">
        <v>3408</v>
      </c>
      <c r="H1" s="3301" t="s">
        <v>3409</v>
      </c>
      <c r="I1" s="3302" t="s">
        <v>3410</v>
      </c>
      <c r="J1" s="3301" t="s">
        <v>3411</v>
      </c>
      <c r="K1" s="3301" t="s">
        <v>3412</v>
      </c>
      <c r="L1" s="3301" t="s">
        <v>3413</v>
      </c>
      <c r="M1" s="3301" t="s">
        <v>3414</v>
      </c>
      <c r="N1" s="3302" t="s">
        <v>3415</v>
      </c>
      <c r="O1" s="3303" t="s">
        <v>3416</v>
      </c>
      <c r="P1" s="3301" t="s">
        <v>3417</v>
      </c>
      <c r="Q1" s="3302" t="s">
        <v>3418</v>
      </c>
      <c r="R1" s="3301" t="s">
        <v>3419</v>
      </c>
      <c r="S1" s="3301" t="s">
        <v>3420</v>
      </c>
      <c r="T1" s="3301" t="s">
        <v>3421</v>
      </c>
      <c r="U1" s="3301" t="s">
        <v>3422</v>
      </c>
      <c r="V1" s="3302" t="s">
        <v>3423</v>
      </c>
      <c r="W1" s="3301" t="s">
        <v>3424</v>
      </c>
      <c r="X1" s="3301" t="s">
        <v>3425</v>
      </c>
    </row>
    <row r="2" spans="1:24">
      <c r="A2" s="3304" t="s">
        <v>3426</v>
      </c>
      <c r="B2" s="3304" t="s">
        <v>3427</v>
      </c>
      <c r="C2" s="3305" t="s">
        <v>3428</v>
      </c>
      <c r="D2" s="3304" t="s">
        <v>3429</v>
      </c>
      <c r="E2" s="3304" t="s">
        <v>3430</v>
      </c>
      <c r="F2" s="3304">
        <v>30393</v>
      </c>
      <c r="G2" s="3306">
        <f>F2/I2*10000</f>
        <v>1991.2855948933775</v>
      </c>
      <c r="H2" s="3304">
        <v>4</v>
      </c>
      <c r="I2" s="3305">
        <v>152630.04</v>
      </c>
      <c r="J2" s="3304" t="s">
        <v>3431</v>
      </c>
      <c r="K2" s="3304" t="s">
        <v>3432</v>
      </c>
      <c r="L2" s="3304" t="s">
        <v>3433</v>
      </c>
      <c r="M2" s="3304">
        <v>38157.51</v>
      </c>
      <c r="N2" s="3307">
        <v>68522</v>
      </c>
      <c r="O2" s="3308" t="s">
        <v>3434</v>
      </c>
      <c r="P2" s="3304" t="s">
        <v>3435</v>
      </c>
      <c r="Q2" s="3305">
        <v>200701.16</v>
      </c>
      <c r="R2" s="3304" t="s">
        <v>3436</v>
      </c>
      <c r="S2" s="3304">
        <v>197323.43</v>
      </c>
      <c r="T2" s="3304">
        <v>25807.24</v>
      </c>
      <c r="U2" s="3304">
        <v>781</v>
      </c>
      <c r="V2" s="3307">
        <v>43084</v>
      </c>
      <c r="W2" s="3304" t="s">
        <v>3437</v>
      </c>
      <c r="X2" s="3304" t="s">
        <v>3438</v>
      </c>
    </row>
    <row r="3" spans="1:24">
      <c r="B3" s="3304" t="s">
        <v>3439</v>
      </c>
      <c r="C3" s="3305" t="s">
        <v>3440</v>
      </c>
      <c r="D3" s="3304" t="s">
        <v>3441</v>
      </c>
      <c r="E3" s="3304" t="s">
        <v>3430</v>
      </c>
      <c r="F3" s="3304">
        <v>14428</v>
      </c>
      <c r="G3" s="3306">
        <f t="shared" ref="G3:G9" si="0">F3/I3*10000</f>
        <v>1995.6347219417464</v>
      </c>
      <c r="H3" s="3304">
        <v>4</v>
      </c>
      <c r="I3" s="3305">
        <v>72297.8</v>
      </c>
      <c r="J3" s="3304" t="s">
        <v>3442</v>
      </c>
      <c r="K3" s="3304" t="s">
        <v>3443</v>
      </c>
      <c r="L3" s="3304" t="s">
        <v>3444</v>
      </c>
      <c r="M3" s="3304">
        <v>18074.45</v>
      </c>
      <c r="N3" s="3307">
        <v>68522</v>
      </c>
      <c r="O3" s="3308" t="s">
        <v>3445</v>
      </c>
      <c r="P3" s="3304" t="s">
        <v>3446</v>
      </c>
      <c r="Q3" s="3305">
        <v>100120.57</v>
      </c>
      <c r="R3" s="3304" t="s">
        <v>3447</v>
      </c>
      <c r="S3" s="3304">
        <v>100120.57</v>
      </c>
      <c r="T3" s="3304">
        <v>12626.2</v>
      </c>
      <c r="U3" s="3304">
        <v>744</v>
      </c>
      <c r="V3" s="3307">
        <v>43056</v>
      </c>
      <c r="W3" s="3304" t="s">
        <v>3448</v>
      </c>
      <c r="X3" s="3304" t="s">
        <v>3449</v>
      </c>
    </row>
    <row r="4" spans="1:24">
      <c r="B4" s="3304" t="s">
        <v>3450</v>
      </c>
      <c r="C4" s="3305" t="s">
        <v>3451</v>
      </c>
      <c r="D4" s="3304" t="s">
        <v>3452</v>
      </c>
      <c r="E4" s="3304" t="s">
        <v>3453</v>
      </c>
      <c r="F4" s="3304">
        <v>35244</v>
      </c>
      <c r="G4" s="3306">
        <f t="shared" si="0"/>
        <v>2207.9235097714427</v>
      </c>
      <c r="H4" s="3304">
        <v>3.5</v>
      </c>
      <c r="I4" s="3305">
        <v>159625.095</v>
      </c>
      <c r="J4" s="3304" t="s">
        <v>3454</v>
      </c>
      <c r="K4" s="3304" t="s">
        <v>3455</v>
      </c>
      <c r="L4" s="3304" t="s">
        <v>3456</v>
      </c>
      <c r="M4" s="3304">
        <v>45607.17</v>
      </c>
      <c r="N4" s="3307">
        <v>68522</v>
      </c>
      <c r="O4" s="3308" t="s">
        <v>3457</v>
      </c>
      <c r="P4" s="3304" t="s">
        <v>3458</v>
      </c>
      <c r="Q4" s="3305">
        <v>202498.13</v>
      </c>
      <c r="R4" s="3304" t="s">
        <v>3459</v>
      </c>
      <c r="S4" s="3304">
        <v>198712.76</v>
      </c>
      <c r="T4" s="3304">
        <v>27288.06</v>
      </c>
      <c r="U4" s="3304">
        <v>780</v>
      </c>
      <c r="V4" s="3307">
        <v>43084</v>
      </c>
      <c r="W4" s="3304" t="s">
        <v>3460</v>
      </c>
      <c r="X4" s="3304" t="s">
        <v>3461</v>
      </c>
    </row>
    <row r="5" spans="1:24">
      <c r="A5" s="3304" t="s">
        <v>3462</v>
      </c>
      <c r="B5" s="3304" t="s">
        <v>3463</v>
      </c>
      <c r="C5" s="3305" t="s">
        <v>3464</v>
      </c>
      <c r="D5" s="3304" t="s">
        <v>3465</v>
      </c>
      <c r="E5" s="3304" t="s">
        <v>3453</v>
      </c>
      <c r="F5" s="3304">
        <v>23208</v>
      </c>
      <c r="G5" s="3306">
        <f t="shared" si="0"/>
        <v>2694.6920210155326</v>
      </c>
      <c r="H5" s="3304">
        <v>3</v>
      </c>
      <c r="I5" s="3305">
        <v>86124.87</v>
      </c>
      <c r="J5" s="3304" t="s">
        <v>3466</v>
      </c>
      <c r="K5" s="3304" t="s">
        <v>3467</v>
      </c>
      <c r="L5" s="3304" t="s">
        <v>3468</v>
      </c>
      <c r="M5" s="3304">
        <v>28708.29</v>
      </c>
      <c r="N5" s="3307">
        <v>68965</v>
      </c>
      <c r="O5" s="3308" t="s">
        <v>3469</v>
      </c>
      <c r="P5" s="3304" t="s">
        <v>3470</v>
      </c>
      <c r="Q5" s="3305">
        <v>107083.04</v>
      </c>
      <c r="R5" s="3304" t="s">
        <v>3471</v>
      </c>
      <c r="S5" s="3304">
        <v>107083.04</v>
      </c>
      <c r="T5" s="3304">
        <v>14790.8148</v>
      </c>
      <c r="U5" s="3304">
        <v>771</v>
      </c>
      <c r="V5" s="3307">
        <v>43425</v>
      </c>
      <c r="W5" s="3304" t="s">
        <v>3472</v>
      </c>
      <c r="X5" s="3304" t="s">
        <v>3473</v>
      </c>
    </row>
    <row r="6" spans="1:24">
      <c r="B6" s="3304" t="s">
        <v>3474</v>
      </c>
      <c r="C6" s="3305" t="s">
        <v>3475</v>
      </c>
      <c r="D6" s="3304" t="s">
        <v>3476</v>
      </c>
      <c r="E6" s="3304" t="s">
        <v>3477</v>
      </c>
      <c r="F6" s="3304">
        <v>32459</v>
      </c>
      <c r="G6" s="3306">
        <f t="shared" si="0"/>
        <v>2438.0696398287091</v>
      </c>
      <c r="H6" s="3304">
        <v>3.5</v>
      </c>
      <c r="I6" s="3305">
        <v>133134.01500000001</v>
      </c>
      <c r="J6" s="3304" t="s">
        <v>3478</v>
      </c>
      <c r="K6" s="3304" t="s">
        <v>3479</v>
      </c>
      <c r="L6" s="3304" t="s">
        <v>3480</v>
      </c>
      <c r="M6" s="3304">
        <v>38038.29</v>
      </c>
      <c r="N6" s="3307">
        <v>68965</v>
      </c>
      <c r="O6" s="3308" t="s">
        <v>3481</v>
      </c>
      <c r="P6" s="3304" t="s">
        <v>3482</v>
      </c>
      <c r="Q6" s="3305">
        <v>168260.42</v>
      </c>
      <c r="R6" s="3304" t="s">
        <v>3483</v>
      </c>
      <c r="S6" s="3304">
        <v>168260.42</v>
      </c>
      <c r="T6" s="3304">
        <v>22272.593799999999</v>
      </c>
      <c r="U6" s="3304">
        <v>781</v>
      </c>
      <c r="V6" s="3307">
        <v>43495</v>
      </c>
      <c r="W6" s="3304" t="s">
        <v>3484</v>
      </c>
      <c r="X6" s="3304" t="s">
        <v>3485</v>
      </c>
    </row>
    <row r="7" spans="1:24">
      <c r="B7" s="3304" t="s">
        <v>3486</v>
      </c>
      <c r="C7" s="3305" t="s">
        <v>3487</v>
      </c>
      <c r="D7" s="3304" t="s">
        <v>3488</v>
      </c>
      <c r="E7" s="3304" t="s">
        <v>3477</v>
      </c>
      <c r="F7" s="3304">
        <v>29909</v>
      </c>
      <c r="G7" s="3306">
        <f t="shared" si="0"/>
        <v>2436.4723181707486</v>
      </c>
      <c r="H7" s="3304">
        <v>3.5</v>
      </c>
      <c r="I7" s="3305">
        <v>122755.345</v>
      </c>
      <c r="J7" s="3304" t="s">
        <v>3489</v>
      </c>
      <c r="K7" s="3304" t="s">
        <v>3490</v>
      </c>
      <c r="L7" s="3304" t="s">
        <v>3491</v>
      </c>
      <c r="M7" s="3304">
        <v>35078.67</v>
      </c>
      <c r="N7" s="3307">
        <v>68965</v>
      </c>
      <c r="O7" s="3308" t="s">
        <v>3492</v>
      </c>
      <c r="P7" s="3304" t="s">
        <v>3493</v>
      </c>
      <c r="Q7" s="3305">
        <v>158688.89000000001</v>
      </c>
      <c r="R7" s="3304" t="s">
        <v>3494</v>
      </c>
      <c r="S7" s="3304">
        <v>158688.89000000001</v>
      </c>
      <c r="T7" s="3304">
        <v>21322.8688</v>
      </c>
      <c r="U7" s="3304">
        <v>772</v>
      </c>
      <c r="V7" s="3307">
        <v>43424</v>
      </c>
      <c r="W7" s="3304" t="s">
        <v>3495</v>
      </c>
      <c r="X7" s="3304" t="s">
        <v>3496</v>
      </c>
    </row>
    <row r="8" spans="1:24" s="3309" customFormat="1">
      <c r="A8" s="3309" t="s">
        <v>3497</v>
      </c>
      <c r="B8" s="3309" t="s">
        <v>3498</v>
      </c>
      <c r="C8" s="3310" t="s">
        <v>3499</v>
      </c>
      <c r="D8" s="3309" t="s">
        <v>3500</v>
      </c>
      <c r="E8" s="3309" t="s">
        <v>3453</v>
      </c>
      <c r="F8" s="3309">
        <v>69279</v>
      </c>
      <c r="G8" s="3311">
        <f t="shared" si="0"/>
        <v>3289.9529427363268</v>
      </c>
      <c r="H8" s="3309">
        <v>4</v>
      </c>
      <c r="I8" s="3310">
        <v>210577.48</v>
      </c>
      <c r="J8" s="3309" t="s">
        <v>3501</v>
      </c>
      <c r="K8" s="3309" t="s">
        <v>3502</v>
      </c>
      <c r="L8" s="3309" t="s">
        <v>3503</v>
      </c>
      <c r="M8" s="3309">
        <v>52644.37</v>
      </c>
      <c r="N8" s="3312">
        <v>69530</v>
      </c>
      <c r="O8" s="3313" t="s">
        <v>3504</v>
      </c>
      <c r="P8" s="3309" t="s">
        <v>3505</v>
      </c>
      <c r="Q8" s="3310">
        <v>275483.11</v>
      </c>
      <c r="V8" s="3310"/>
    </row>
    <row r="9" spans="1:24">
      <c r="B9" s="3304" t="s">
        <v>3506</v>
      </c>
      <c r="C9" s="3305" t="s">
        <v>3507</v>
      </c>
      <c r="D9" s="3304" t="s">
        <v>3508</v>
      </c>
      <c r="E9" s="3304" t="s">
        <v>3477</v>
      </c>
      <c r="F9" s="3304">
        <v>17152</v>
      </c>
      <c r="G9" s="3306">
        <f t="shared" si="0"/>
        <v>3275.4077072909904</v>
      </c>
      <c r="H9" s="3304">
        <v>4</v>
      </c>
      <c r="I9" s="3305">
        <v>52366</v>
      </c>
      <c r="J9" s="3304" t="s">
        <v>3509</v>
      </c>
      <c r="K9" s="3304" t="s">
        <v>3510</v>
      </c>
      <c r="L9" s="3314" t="s">
        <v>3511</v>
      </c>
      <c r="M9" s="3304">
        <v>13091.5</v>
      </c>
      <c r="N9" s="3307">
        <v>69482</v>
      </c>
      <c r="O9" s="3308" t="s">
        <v>3512</v>
      </c>
      <c r="P9" s="3304" t="s">
        <v>3513</v>
      </c>
      <c r="Q9" s="3305">
        <v>70581.22</v>
      </c>
      <c r="R9" s="3304" t="s">
        <v>3514</v>
      </c>
      <c r="S9" s="3304">
        <v>70581.22</v>
      </c>
      <c r="T9" s="3304">
        <v>10973.3812</v>
      </c>
      <c r="U9" s="3304">
        <v>993</v>
      </c>
      <c r="V9" s="3307">
        <v>43903</v>
      </c>
      <c r="W9" s="3304" t="s">
        <v>3515</v>
      </c>
      <c r="X9" s="3304" t="s">
        <v>3516</v>
      </c>
    </row>
  </sheetData>
  <phoneticPr fontId="22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G22" sqref="G22"/>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00" t="s">
        <v>203</v>
      </c>
      <c r="B2" s="3400"/>
      <c r="C2" s="3400"/>
      <c r="D2" s="1888" t="s">
        <v>204</v>
      </c>
      <c r="E2" s="106" t="s">
        <v>205</v>
      </c>
      <c r="F2" s="3082"/>
      <c r="G2" s="1180"/>
      <c r="H2" s="1181"/>
      <c r="I2" s="1182" t="s">
        <v>849</v>
      </c>
      <c r="J2" s="3082"/>
      <c r="K2" s="3082"/>
      <c r="L2" s="3082"/>
      <c r="M2" s="3082"/>
      <c r="N2" s="3082"/>
      <c r="O2" s="3082"/>
      <c r="P2" s="3082"/>
    </row>
    <row r="3" spans="1:16" ht="15.75" thickBot="1">
      <c r="A3" s="3401" t="s">
        <v>206</v>
      </c>
      <c r="B3" s="3401"/>
      <c r="C3" s="3401"/>
      <c r="D3" s="107">
        <f>'数据-基础表'!AY6</f>
        <v>52485.58</v>
      </c>
      <c r="E3" s="107">
        <f>'数据-基础表'!AZ5</f>
        <v>274652.19</v>
      </c>
      <c r="F3" s="3082"/>
      <c r="G3" s="278" t="s">
        <v>850</v>
      </c>
      <c r="H3" s="273" t="s">
        <v>851</v>
      </c>
      <c r="I3" s="1889">
        <f>ROUND('数据-基础表'!B3/'数据-基础表'!A3,2)</f>
        <v>5.23</v>
      </c>
      <c r="J3" s="3082"/>
      <c r="K3" s="3082"/>
      <c r="L3" s="3082"/>
      <c r="M3" s="3082"/>
      <c r="N3" s="3082"/>
      <c r="O3" s="3082"/>
      <c r="P3" s="3082"/>
    </row>
    <row r="4" spans="1:16" ht="15">
      <c r="A4" s="3402"/>
      <c r="B4" s="3403"/>
      <c r="C4" s="3404"/>
      <c r="D4" s="108" t="s">
        <v>204</v>
      </c>
      <c r="E4" s="109" t="s">
        <v>205</v>
      </c>
      <c r="F4" s="3082"/>
      <c r="G4" s="1183"/>
      <c r="H4" s="273" t="s">
        <v>852</v>
      </c>
      <c r="I4" s="1889">
        <f>ROUND(SUMIF('数据-基础表'!I9:AS9,"地上",'数据-基础表'!I5:AS5)/'数据-基础表'!A3,2)</f>
        <v>4.01</v>
      </c>
      <c r="J4" s="3082"/>
      <c r="K4" s="3082"/>
      <c r="L4" s="3082"/>
      <c r="M4" s="3082"/>
      <c r="N4" s="3082"/>
      <c r="O4" s="3082"/>
      <c r="P4" s="3082"/>
    </row>
    <row r="5" spans="1:16">
      <c r="A5" s="110" t="s">
        <v>207</v>
      </c>
      <c r="B5" s="3405" t="s">
        <v>230</v>
      </c>
      <c r="C5" s="3405"/>
      <c r="D5" s="111">
        <f>ROUND($D$3*E5/$E$3,2)</f>
        <v>39039.9</v>
      </c>
      <c r="E5" s="112">
        <f>SUMIF('数据-基础表'!$11:$11,"住宅",'数据-基础表'!$5:$5)</f>
        <v>204292.17</v>
      </c>
      <c r="F5" s="3082"/>
      <c r="G5" s="278" t="s">
        <v>853</v>
      </c>
      <c r="H5" s="273" t="s">
        <v>851</v>
      </c>
      <c r="I5" s="1889">
        <f>ROUND(E31/D31,2)</f>
        <v>5.23</v>
      </c>
      <c r="J5" s="3082"/>
      <c r="K5" s="3082"/>
      <c r="L5" s="3082"/>
      <c r="M5" s="3082"/>
      <c r="N5" s="3082"/>
      <c r="O5" s="3082"/>
      <c r="P5" s="3082"/>
    </row>
    <row r="6" spans="1:16" ht="15" thickBot="1">
      <c r="A6" s="113"/>
      <c r="B6" s="3405" t="s">
        <v>208</v>
      </c>
      <c r="C6" s="3405"/>
      <c r="D6" s="111">
        <f>ROUND($D$3*E6/$E$3,2)</f>
        <v>13445.68</v>
      </c>
      <c r="E6" s="112">
        <f>E3-E5</f>
        <v>70360.01999999999</v>
      </c>
      <c r="F6" s="3082"/>
      <c r="G6" s="1183"/>
      <c r="H6" s="273" t="s">
        <v>852</v>
      </c>
      <c r="I6" s="1889">
        <f>ROUND(F31/D31,2)</f>
        <v>4.01</v>
      </c>
      <c r="J6" s="3082"/>
      <c r="K6" s="3082"/>
      <c r="L6" s="3082"/>
      <c r="M6" s="3082"/>
      <c r="N6" s="3082"/>
      <c r="O6" s="3082"/>
      <c r="P6" s="3082"/>
    </row>
    <row r="7" spans="1:16" ht="15">
      <c r="A7" s="3397"/>
      <c r="B7" s="3398"/>
      <c r="C7" s="3399"/>
      <c r="D7" s="108" t="s">
        <v>204</v>
      </c>
      <c r="E7" s="114" t="s">
        <v>231</v>
      </c>
      <c r="F7" s="3082"/>
      <c r="G7" s="1138" t="s">
        <v>1636</v>
      </c>
      <c r="H7" s="1139"/>
      <c r="I7" s="1759"/>
      <c r="J7" s="3082"/>
      <c r="K7" s="3082"/>
      <c r="L7" s="3082"/>
      <c r="M7" s="3082"/>
      <c r="N7" s="3082"/>
      <c r="O7" s="3082"/>
      <c r="P7" s="3082"/>
    </row>
    <row r="8" spans="1:16">
      <c r="A8" s="110" t="s">
        <v>209</v>
      </c>
      <c r="B8" s="115" t="s">
        <v>210</v>
      </c>
      <c r="C8" s="111" t="s">
        <v>211</v>
      </c>
      <c r="D8" s="111">
        <f t="shared" ref="D8:D15" si="0">ROUND($D$3*E8/$E$3,2)</f>
        <v>39039.9</v>
      </c>
      <c r="E8" s="116">
        <f>SUMIF('数据-基础表'!BB10:BK10,"地上",'数据-基础表'!BB5:BK5)</f>
        <v>204292.17</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2312</v>
      </c>
      <c r="D11" s="111">
        <f t="shared" si="0"/>
        <v>38.68</v>
      </c>
      <c r="E11" s="116">
        <f>SUMPRODUCT(('数据-基础表'!BB10:BK10="地下")*('数据-基础表'!BB11:BK11="办公")*('数据-基础表'!BB5:BK5))+'数据-基础表'!AJ5</f>
        <v>202.39</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2319</v>
      </c>
      <c r="D13" s="111">
        <f t="shared" si="0"/>
        <v>12113.07</v>
      </c>
      <c r="E13" s="116">
        <f>SUMPRODUCT(('数据-基础表'!BB10:BK10="地下")*('数据-基础表'!BB11:BK11="车库")*('数据-基础表'!BB5:BK5))</f>
        <v>63386.549999999996</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51191.65</v>
      </c>
      <c r="E16" s="120">
        <f>SUM(E8:E15)</f>
        <v>267881.11000000004</v>
      </c>
      <c r="F16" s="3082"/>
      <c r="G16" s="3083"/>
      <c r="H16" s="955" t="s">
        <v>219</v>
      </c>
      <c r="I16" s="956"/>
      <c r="J16" s="1897"/>
      <c r="K16" s="3391" t="s">
        <v>2545</v>
      </c>
      <c r="L16" s="3392"/>
      <c r="M16" s="3392"/>
      <c r="N16" s="3392"/>
      <c r="O16" s="3392"/>
      <c r="P16" s="3393"/>
    </row>
    <row r="17" spans="1:19" ht="15">
      <c r="A17" s="121" t="s">
        <v>216</v>
      </c>
      <c r="B17" s="122" t="s">
        <v>217</v>
      </c>
      <c r="C17" s="2177" t="s">
        <v>2298</v>
      </c>
      <c r="D17" s="108" t="s">
        <v>204</v>
      </c>
      <c r="E17" s="124" t="s">
        <v>205</v>
      </c>
      <c r="F17" s="125"/>
      <c r="G17" s="1318"/>
      <c r="H17" s="957" t="s">
        <v>218</v>
      </c>
      <c r="I17" s="958" t="s">
        <v>2297</v>
      </c>
      <c r="J17" s="1897"/>
      <c r="K17" s="3394" t="s">
        <v>2546</v>
      </c>
      <c r="L17" s="3395"/>
      <c r="M17" s="3396"/>
      <c r="N17" s="3394" t="s">
        <v>2547</v>
      </c>
      <c r="O17" s="3395"/>
      <c r="P17" s="3396"/>
      <c r="R17" s="2178" t="s">
        <v>2296</v>
      </c>
      <c r="S17" s="142"/>
    </row>
    <row r="18" spans="1:19" ht="15">
      <c r="A18" s="117"/>
      <c r="B18" s="128"/>
      <c r="C18" s="129"/>
      <c r="D18" s="2483"/>
      <c r="E18" s="130" t="s">
        <v>220</v>
      </c>
      <c r="F18" s="131" t="s">
        <v>221</v>
      </c>
      <c r="G18" s="1319" t="s">
        <v>222</v>
      </c>
      <c r="H18" s="959" t="s">
        <v>223</v>
      </c>
      <c r="I18" s="960" t="s">
        <v>224</v>
      </c>
      <c r="J18" s="1897"/>
      <c r="K18" s="2448" t="s">
        <v>2548</v>
      </c>
      <c r="L18" s="2449" t="s">
        <v>2549</v>
      </c>
      <c r="M18" s="2450" t="s">
        <v>2550</v>
      </c>
      <c r="N18" s="2448" t="s">
        <v>2548</v>
      </c>
      <c r="O18" s="2449" t="s">
        <v>2549</v>
      </c>
      <c r="P18" s="2450" t="s">
        <v>2550</v>
      </c>
      <c r="R18" s="2179" t="s">
        <v>2294</v>
      </c>
      <c r="S18" s="2179" t="s">
        <v>2295</v>
      </c>
    </row>
    <row r="19" spans="1:19">
      <c r="A19" s="133"/>
      <c r="B19" s="115" t="s">
        <v>225</v>
      </c>
      <c r="C19" s="2737" t="s">
        <v>3371</v>
      </c>
      <c r="D19" s="111">
        <f t="shared" ref="D19:D26" si="1">ROUND($D$3*E19/$E$3,2)</f>
        <v>39039.9</v>
      </c>
      <c r="E19" s="134">
        <f t="shared" ref="E19:E26" si="2">SUM(F19:G19)</f>
        <v>204292.17</v>
      </c>
      <c r="F19" s="3084">
        <f>'数据-基础表'!I13</f>
        <v>204292.17</v>
      </c>
      <c r="G19" s="3085"/>
      <c r="H19" s="961">
        <f>ROUND($D$3*I19/$E$3,2)</f>
        <v>1332.62</v>
      </c>
      <c r="I19" s="116">
        <f>IF($I$17="自定义",P19,M19)</f>
        <v>6973.47</v>
      </c>
      <c r="J19" s="1897"/>
      <c r="K19" s="2451">
        <f t="shared" ref="K19:K26" si="3">ROUND(E$28*E19/E$27,2)</f>
        <v>0</v>
      </c>
      <c r="L19" s="273">
        <f t="shared" ref="L19:L26" si="4">ROUND(IF(COUNTIF(C19,"*住宅*")&gt;0,E$29*E19/E$32,0),2)</f>
        <v>6973.47</v>
      </c>
      <c r="M19" s="2452">
        <f>K19+L19</f>
        <v>6973.47</v>
      </c>
      <c r="N19" s="2453"/>
      <c r="O19" s="2454"/>
      <c r="P19" s="2455">
        <f>N19+O19</f>
        <v>0</v>
      </c>
      <c r="R19" s="273">
        <f t="shared" ref="R19:S26" si="5">D19+H19</f>
        <v>40372.520000000004</v>
      </c>
      <c r="S19" s="2180">
        <f t="shared" si="5"/>
        <v>211265.64</v>
      </c>
    </row>
    <row r="20" spans="1:19">
      <c r="A20" s="137"/>
      <c r="B20" s="115" t="s">
        <v>226</v>
      </c>
      <c r="C20" s="2737" t="s">
        <v>3372</v>
      </c>
      <c r="D20" s="111">
        <f t="shared" si="1"/>
        <v>0</v>
      </c>
      <c r="E20" s="134">
        <f t="shared" si="2"/>
        <v>0</v>
      </c>
      <c r="F20" s="3084">
        <f>'数据-基础表'!K13</f>
        <v>0</v>
      </c>
      <c r="G20" s="3085"/>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t="s">
        <v>3374</v>
      </c>
      <c r="D21" s="111">
        <f t="shared" si="1"/>
        <v>12113.07</v>
      </c>
      <c r="E21" s="134">
        <f t="shared" si="2"/>
        <v>63386.549999999996</v>
      </c>
      <c r="F21" s="3084"/>
      <c r="G21" s="3085">
        <f>'数据-基础表'!M13</f>
        <v>63386.549999999996</v>
      </c>
      <c r="H21" s="961">
        <f t="shared" si="6"/>
        <v>0</v>
      </c>
      <c r="I21" s="116">
        <f t="shared" si="7"/>
        <v>0</v>
      </c>
      <c r="J21" s="1897"/>
      <c r="K21" s="2451">
        <f t="shared" si="3"/>
        <v>0</v>
      </c>
      <c r="L21" s="273">
        <f t="shared" si="4"/>
        <v>0</v>
      </c>
      <c r="M21" s="2452">
        <f t="shared" si="8"/>
        <v>0</v>
      </c>
      <c r="N21" s="2453"/>
      <c r="O21" s="2454"/>
      <c r="P21" s="2455">
        <f t="shared" si="9"/>
        <v>0</v>
      </c>
      <c r="R21" s="273">
        <f t="shared" si="5"/>
        <v>12113.07</v>
      </c>
      <c r="S21" s="2180">
        <f t="shared" si="5"/>
        <v>63386.549999999996</v>
      </c>
    </row>
    <row r="22" spans="1:19">
      <c r="A22" s="137"/>
      <c r="B22" s="115" t="s">
        <v>226</v>
      </c>
      <c r="C22" s="1317"/>
      <c r="D22" s="111">
        <f t="shared" si="1"/>
        <v>0</v>
      </c>
      <c r="E22" s="134">
        <f t="shared" si="2"/>
        <v>0</v>
      </c>
      <c r="F22" s="3086"/>
      <c r="G22" s="3087"/>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51152.97</v>
      </c>
      <c r="E27" s="141">
        <f>IF(SUM(E19:E26)='数据-基础表'!BA5,SUM(E19:E26),IF(F27="地上面积有误","面积有误","地下面积有误"))</f>
        <v>267678.72000000003</v>
      </c>
      <c r="F27" s="134">
        <f>IF(SUM(F19:F26)=E8,SUM(F19:F26),"地上面积有误")</f>
        <v>204292.17</v>
      </c>
      <c r="G27" s="112">
        <f>SUM(G19:G26)</f>
        <v>63386.549999999996</v>
      </c>
      <c r="H27" s="962">
        <f>SUM(H19:H26)</f>
        <v>1332.62</v>
      </c>
      <c r="I27" s="963">
        <f>SUM(I19:I26)</f>
        <v>6973.47</v>
      </c>
      <c r="J27" s="1897"/>
      <c r="K27" s="2460">
        <f>SUM(K19:K26)</f>
        <v>0</v>
      </c>
      <c r="L27" s="2461">
        <f>SUM(L19:L26)</f>
        <v>6973.47</v>
      </c>
      <c r="M27" s="2462">
        <f>SUM(M19:M26)</f>
        <v>6973.47</v>
      </c>
      <c r="N27" s="2460">
        <f t="shared" ref="N27:O27" si="10">SUM(N19:N26)</f>
        <v>0</v>
      </c>
      <c r="O27" s="2461">
        <f t="shared" si="10"/>
        <v>0</v>
      </c>
      <c r="P27" s="2463">
        <f>SUM(P19:P26)</f>
        <v>0</v>
      </c>
      <c r="R27" s="2184" t="str">
        <f>IF(SUM(R19:R26)=$D$3,SUM(R19:R26),SUM(R19:R26)&amp;"误差"&amp;ROUND(SUM(R19:R26)-$D$3,2))</f>
        <v>52485.59误差0.01</v>
      </c>
      <c r="S27" s="273">
        <f>IF(SUM(S19:S26)=$E$3,SUM(S19:S26),SUM(S19:S26)&amp;"误差"&amp;ROUND(SUM(S19:S26)-E3,2))</f>
        <v>274652.19</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2305</v>
      </c>
      <c r="D29" s="111">
        <f>ROUND($D$3*E29/$E$3,2)</f>
        <v>1332.62</v>
      </c>
      <c r="E29" s="134">
        <f>SUM(F29:G29)</f>
        <v>6973.47</v>
      </c>
      <c r="F29" s="142">
        <f>'数据-基础表'!BM5+'数据-基础表'!BO5</f>
        <v>5978.46</v>
      </c>
      <c r="G29" s="144">
        <f>'数据-基础表'!BN5+'数据-基础表'!BP5</f>
        <v>995.01</v>
      </c>
      <c r="H29" s="3082"/>
      <c r="I29" s="3082"/>
      <c r="J29" s="3082"/>
      <c r="K29" s="3082"/>
      <c r="L29" s="3082"/>
      <c r="M29" s="3082"/>
      <c r="N29" s="3082"/>
      <c r="O29" s="3082"/>
      <c r="P29" s="3082"/>
    </row>
    <row r="30" spans="1:19">
      <c r="A30" s="137"/>
      <c r="B30" s="111"/>
      <c r="C30" s="145" t="s">
        <v>215</v>
      </c>
      <c r="D30" s="134">
        <f>SUM(D28:D29)</f>
        <v>1332.62</v>
      </c>
      <c r="E30" s="134">
        <f>SUM(E28:E29)</f>
        <v>6973.47</v>
      </c>
      <c r="F30" s="134">
        <f>SUM(F28:F29)</f>
        <v>5978.46</v>
      </c>
      <c r="G30" s="112">
        <f>SUM(G28:G29)</f>
        <v>995.01</v>
      </c>
      <c r="H30" s="3082"/>
      <c r="I30" s="3082"/>
      <c r="J30" s="3082"/>
      <c r="K30" s="3082"/>
      <c r="L30" s="3082"/>
      <c r="M30" s="3082"/>
      <c r="N30" s="3082"/>
      <c r="O30" s="3082"/>
      <c r="P30" s="3082"/>
    </row>
    <row r="31" spans="1:19" ht="32.25" customHeight="1" thickBot="1">
      <c r="A31" s="1320"/>
      <c r="B31" s="1321" t="s">
        <v>229</v>
      </c>
      <c r="C31" s="2209" t="s">
        <v>2307</v>
      </c>
      <c r="D31" s="1322">
        <f>D27+D30</f>
        <v>52485.590000000004</v>
      </c>
      <c r="E31" s="1322">
        <f>E27+E30</f>
        <v>274652.19</v>
      </c>
      <c r="F31" s="1323">
        <f>F27+F30</f>
        <v>210270.63</v>
      </c>
      <c r="G31" s="1324">
        <f>G27+G30</f>
        <v>64381.56</v>
      </c>
      <c r="H31" s="3082"/>
      <c r="I31" s="3082"/>
      <c r="J31" s="3082"/>
      <c r="K31" s="3082"/>
      <c r="L31" s="3082"/>
      <c r="M31" s="3082"/>
      <c r="N31" s="3082"/>
      <c r="O31" s="3082"/>
      <c r="P31" s="3082"/>
    </row>
    <row r="32" spans="1:19">
      <c r="A32" s="1897"/>
      <c r="B32" s="2221" t="s">
        <v>2306</v>
      </c>
      <c r="C32" s="2488"/>
      <c r="D32" s="1183"/>
      <c r="E32" s="1183">
        <f>SUMIF(C19:C26,"*住宅*",E19:E26)</f>
        <v>204292.17</v>
      </c>
      <c r="F32" s="1183"/>
      <c r="G32" s="1183"/>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Q27" sqref="B27:Q27"/>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hidden="1"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8" customFormat="1" ht="15.75" thickBot="1">
      <c r="A2" s="147" t="s">
        <v>235</v>
      </c>
      <c r="B2" s="2217">
        <f>项目基本情况!D3</f>
        <v>44062</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54">
      <c r="A5" s="2183" t="s">
        <v>2309</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2804</v>
      </c>
      <c r="O5" s="161" t="s">
        <v>246</v>
      </c>
      <c r="P5" s="163" t="s">
        <v>247</v>
      </c>
      <c r="Q5" s="164" t="s">
        <v>248</v>
      </c>
      <c r="R5" s="165" t="s">
        <v>249</v>
      </c>
      <c r="S5" s="2464" t="s">
        <v>2551</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2308</v>
      </c>
      <c r="AI5" s="169" t="s">
        <v>2277</v>
      </c>
      <c r="AJ5" s="169" t="s">
        <v>258</v>
      </c>
      <c r="AK5" s="157" t="s">
        <v>259</v>
      </c>
      <c r="AL5" s="157" t="s">
        <v>260</v>
      </c>
      <c r="AM5" s="170" t="s">
        <v>261</v>
      </c>
      <c r="AN5" s="2245" t="s">
        <v>2355</v>
      </c>
      <c r="AO5" s="3103"/>
      <c r="AP5" s="3088" t="s">
        <v>2969</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住宅（高层）</v>
      </c>
      <c r="B6" s="2216" t="str">
        <f>IF(A6=0,"","经营性")</f>
        <v>经营性</v>
      </c>
      <c r="C6" s="171" t="s">
        <v>914</v>
      </c>
      <c r="D6" s="2187">
        <f>SUMIF(项目基本情况!D$15:I$15,C6,项目基本情况!D$18:I$18)</f>
        <v>70</v>
      </c>
      <c r="E6" s="2188">
        <f>IF(B6="","",SUMIF(项目基本情况!D$15:I$15,C6,项目基本情况!D$17:I$17))</f>
        <v>69530</v>
      </c>
      <c r="F6" s="172">
        <f>SUMIF(项目基本情况!D$15:I$15,C6,项目基本情况!D$19:I$19)</f>
        <v>69.77</v>
      </c>
      <c r="G6" s="173">
        <f>IF(ISERROR(ROUND(POWER(1+H6,D6-F6)*(POWER(1+H6,F6)-1)/(POWER(1+H6,D6)-1),3)),0,ROUND(POWER(1+H6,D6-F6)*(POWER(1+H6,F6)-1)/(POWER(1+H6,D6)-1),3))</f>
        <v>1</v>
      </c>
      <c r="H6" s="2738">
        <v>4.4999999999999998E-2</v>
      </c>
      <c r="I6" s="2738">
        <v>0.05</v>
      </c>
      <c r="J6" s="174">
        <v>8.5000000000000006E-2</v>
      </c>
      <c r="K6" s="177">
        <f>SUMIF('数据-汇总表'!C$19:C$33,'数据-取费表'!A6,'数据-汇总表'!E$19:E$33)</f>
        <v>204292.17</v>
      </c>
      <c r="L6" s="2739">
        <v>3200</v>
      </c>
      <c r="M6" s="175">
        <f t="shared" ref="M6:M14" si="0">ROUND(K6*L6/10000,0)</f>
        <v>65373</v>
      </c>
      <c r="N6" s="2740">
        <v>0</v>
      </c>
      <c r="O6" s="175">
        <f>IF($N$5="成新度","——",ROUND(M6*N6,0))</f>
        <v>0</v>
      </c>
      <c r="P6" s="176">
        <f>IF($N$5="成新度","——",M6-O6)</f>
        <v>65373</v>
      </c>
      <c r="Q6" s="2741">
        <v>0.15</v>
      </c>
      <c r="R6" s="177">
        <f>SUMIF('数据-汇总表'!C$19:C$33,A6,'数据-汇总表'!R$19:R$33)</f>
        <v>40372.520000000004</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c r="AJ6" s="186"/>
      <c r="AK6" s="187"/>
      <c r="AL6" s="188"/>
      <c r="AM6" s="2752"/>
      <c r="AN6" s="2246"/>
      <c r="AO6" s="3092"/>
      <c r="AP6" s="1186">
        <f>ROUND(1-1/(1+H6)^F6,3)</f>
        <v>0.95399999999999996</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商业</v>
      </c>
      <c r="B7" s="2216" t="str">
        <f t="shared" ref="B7:B13" si="1">IF(A7=0,"","经营性")</f>
        <v>经营性</v>
      </c>
      <c r="C7" s="171" t="s">
        <v>3003</v>
      </c>
      <c r="D7" s="2187">
        <f>SUMIF(项目基本情况!D$15:I$15,C7,项目基本情况!D$18:I$18)</f>
        <v>40</v>
      </c>
      <c r="E7" s="2188">
        <f>IF(B7="","",SUMIF(项目基本情况!D$15:I$15,C7,项目基本情况!D$17:I$17))</f>
        <v>58573</v>
      </c>
      <c r="F7" s="172">
        <f>SUMIF(项目基本情况!D$15:I$15,C7,项目基本情况!D$19:I$19)</f>
        <v>39.75</v>
      </c>
      <c r="G7" s="173">
        <f t="shared" ref="G7:G11" si="2">IF(ISERROR(ROUND(POWER(1+H7,D7-F7)*(POWER(1+H7,F7)-1)/(POWER(1+H7,D7)-1),3)),0,ROUND(POWER(1+H7,D7-F7)*(POWER(1+H7,F7)-1)/(POWER(1+H7,D7)-1),3))</f>
        <v>0.998</v>
      </c>
      <c r="H7" s="2738">
        <v>0.05</v>
      </c>
      <c r="I7" s="2738">
        <v>5.5E-2</v>
      </c>
      <c r="J7" s="174">
        <v>8.5000000000000006E-2</v>
      </c>
      <c r="K7" s="177">
        <f>SUMIF('数据-汇总表'!C$19:C$33,'数据-取费表'!A7,'数据-汇总表'!E$19:E$33)</f>
        <v>0</v>
      </c>
      <c r="L7" s="2739">
        <v>2600</v>
      </c>
      <c r="M7" s="175">
        <f t="shared" si="0"/>
        <v>0</v>
      </c>
      <c r="N7" s="2740">
        <v>0</v>
      </c>
      <c r="O7" s="175">
        <f t="shared" ref="O7:O14" si="3">IF($N$5="成新度","——",ROUND(M7*N7,0))</f>
        <v>0</v>
      </c>
      <c r="P7" s="176">
        <f t="shared" ref="P7:P14" si="4">IF($N$5="成新度","——",M7-O7)</f>
        <v>0</v>
      </c>
      <c r="Q7" s="2741">
        <v>0.2</v>
      </c>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v>2</v>
      </c>
      <c r="V7" s="179">
        <v>0.03</v>
      </c>
      <c r="W7" s="179">
        <v>0.1</v>
      </c>
      <c r="X7" s="2200"/>
      <c r="Y7" s="180">
        <v>1</v>
      </c>
      <c r="Z7" s="181"/>
      <c r="AA7" s="174"/>
      <c r="AB7" s="174"/>
      <c r="AC7" s="2203"/>
      <c r="AD7" s="182"/>
      <c r="AE7" s="959">
        <f t="shared" ref="AE7:AE13" ca="1" si="6">IF(AN7="",0,SUMIF(INDIRECT("'"&amp;AN7&amp;"'"&amp;"!E:E"),$AE$5,INDIRECT("'"&amp;AN7&amp;"'"&amp;"!F:F")))</f>
        <v>36.75</v>
      </c>
      <c r="AF7" s="139"/>
      <c r="AG7" s="1195">
        <f t="shared" ref="AG7:AG13" si="7">IF(AF7="",0,AE7-AF7)</f>
        <v>0</v>
      </c>
      <c r="AH7" s="139"/>
      <c r="AI7" s="185">
        <v>365</v>
      </c>
      <c r="AJ7" s="186"/>
      <c r="AK7" s="187">
        <v>1.4999999999999999E-2</v>
      </c>
      <c r="AL7" s="188">
        <v>1.5E-3</v>
      </c>
      <c r="AM7" s="2244">
        <v>0.01</v>
      </c>
      <c r="AN7" s="2246" t="s">
        <v>3401</v>
      </c>
      <c r="AO7" s="3092"/>
      <c r="AP7" s="1186">
        <f t="shared" ref="AP7:AP13" si="8">ROUND(1-1/(1+H7)^F7,3)</f>
        <v>0.85599999999999998</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t="str">
        <f>'数据-汇总表'!C21</f>
        <v>地下车位</v>
      </c>
      <c r="B8" s="2216" t="str">
        <f t="shared" si="1"/>
        <v>经营性</v>
      </c>
      <c r="C8" s="171" t="s">
        <v>3376</v>
      </c>
      <c r="D8" s="2187">
        <f>SUMIF(项目基本情况!D$15:I$15,C8,项目基本情况!D$18:I$18)</f>
        <v>50</v>
      </c>
      <c r="E8" s="2188">
        <f>IF(B8="","",SUMIF(项目基本情况!D$15:I$15,C8,项目基本情况!D$17:I$17))</f>
        <v>62225</v>
      </c>
      <c r="F8" s="172">
        <f>SUMIF(项目基本情况!D$15:I$15,C8,项目基本情况!D$19:I$19)</f>
        <v>49.76</v>
      </c>
      <c r="G8" s="173">
        <f t="shared" si="2"/>
        <v>0.999</v>
      </c>
      <c r="H8" s="2738">
        <v>4.4999999999999998E-2</v>
      </c>
      <c r="I8" s="2738">
        <v>0.05</v>
      </c>
      <c r="J8" s="174">
        <v>8.5000000000000006E-2</v>
      </c>
      <c r="K8" s="177">
        <f>SUMIF('数据-汇总表'!C$19:C$33,'数据-取费表'!A8,'数据-汇总表'!E$19:E$33)</f>
        <v>63386.549999999996</v>
      </c>
      <c r="L8" s="2739">
        <v>2400</v>
      </c>
      <c r="M8" s="175">
        <f>ROUND(K8*L8/10000,0)</f>
        <v>15213</v>
      </c>
      <c r="N8" s="2740">
        <v>0</v>
      </c>
      <c r="O8" s="175">
        <f t="shared" si="3"/>
        <v>0</v>
      </c>
      <c r="P8" s="176">
        <f t="shared" si="4"/>
        <v>15213</v>
      </c>
      <c r="Q8" s="2741">
        <v>0.05</v>
      </c>
      <c r="R8" s="177">
        <f>SUMIF('数据-汇总表'!C$19:C$33,A8,'数据-汇总表'!R$19:R$33)</f>
        <v>12113.07</v>
      </c>
      <c r="S8" s="132">
        <f>IF('数据-汇总表'!$I$17="按面积比例",SUMIF('数据-汇总表'!C$19:C$33,A8,'数据-汇总表'!K$19:K$33),SUMIF('数据-汇总表'!C$19:C$33,A8,'数据-汇总表'!N$19:N$33))</f>
        <v>0</v>
      </c>
      <c r="T8" s="2113" t="str">
        <f t="shared" si="5"/>
        <v>0</v>
      </c>
      <c r="U8" s="178">
        <v>0.4</v>
      </c>
      <c r="V8" s="179">
        <v>0.03</v>
      </c>
      <c r="W8" s="179">
        <v>0.1</v>
      </c>
      <c r="X8" s="2200"/>
      <c r="Y8" s="180">
        <v>1</v>
      </c>
      <c r="Z8" s="181"/>
      <c r="AA8" s="174"/>
      <c r="AB8" s="174"/>
      <c r="AC8" s="2203"/>
      <c r="AD8" s="182"/>
      <c r="AE8" s="959">
        <f t="shared" ca="1" si="6"/>
        <v>46.76</v>
      </c>
      <c r="AF8" s="139"/>
      <c r="AG8" s="1195">
        <f t="shared" si="7"/>
        <v>0</v>
      </c>
      <c r="AH8" s="139"/>
      <c r="AI8" s="185">
        <v>365</v>
      </c>
      <c r="AJ8" s="186"/>
      <c r="AK8" s="187">
        <v>0.01</v>
      </c>
      <c r="AL8" s="188">
        <v>1E-3</v>
      </c>
      <c r="AM8" s="2244">
        <v>0.01</v>
      </c>
      <c r="AN8" s="2246" t="s">
        <v>3399</v>
      </c>
      <c r="AO8" s="3092"/>
      <c r="AP8" s="1186">
        <f t="shared" si="8"/>
        <v>0.88800000000000001</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2"/>
      <c r="AP9" s="1186">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2"/>
      <c r="AP10" s="1186">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2"/>
      <c r="AP11" s="1186">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2"/>
      <c r="AP12" s="1186">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2"/>
      <c r="AP13" s="1186">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2299</v>
      </c>
      <c r="B14" s="2185" t="s">
        <v>1670</v>
      </c>
      <c r="C14" s="2186" t="s">
        <v>2299</v>
      </c>
      <c r="D14" s="2187"/>
      <c r="E14" s="2188"/>
      <c r="F14" s="172"/>
      <c r="G14" s="173"/>
      <c r="H14" s="2189"/>
      <c r="I14" s="2189"/>
      <c r="J14" s="2189"/>
      <c r="K14" s="177">
        <f>SUMIF('数据-汇总表'!C$19:C$33,'数据-取费表'!A14,'数据-汇总表'!E$19:E$33)</f>
        <v>0</v>
      </c>
      <c r="L14" s="191">
        <v>2200</v>
      </c>
      <c r="M14" s="175">
        <f t="shared" si="0"/>
        <v>0</v>
      </c>
      <c r="N14" s="192">
        <v>0</v>
      </c>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2301</v>
      </c>
      <c r="B15" s="2185" t="s">
        <v>1670</v>
      </c>
      <c r="C15" s="2186" t="s">
        <v>2300</v>
      </c>
      <c r="D15" s="2187"/>
      <c r="E15" s="2188"/>
      <c r="F15" s="172"/>
      <c r="G15" s="173"/>
      <c r="H15" s="2189"/>
      <c r="I15" s="2189"/>
      <c r="J15" s="2189"/>
      <c r="K15" s="177">
        <f>SUMIF('数据-汇总表'!C$19:C$33,'数据-取费表'!A15,'数据-汇总表'!E$19:E$33)</f>
        <v>6973.47</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274652.19</v>
      </c>
      <c r="L16" s="204">
        <f>ROUND(M16*10000/SUM(K6:K14),0)</f>
        <v>3011</v>
      </c>
      <c r="M16" s="204">
        <f>SUM(M6:M14)</f>
        <v>80586</v>
      </c>
      <c r="N16" s="205">
        <f>ROUND(SUMPRODUCT(M6:M14,N6:N14)/M16,3)</f>
        <v>0</v>
      </c>
      <c r="O16" s="204">
        <f>SUM(O6:O14)</f>
        <v>0</v>
      </c>
      <c r="P16" s="204">
        <f>SUM(P6:P14)</f>
        <v>80586</v>
      </c>
      <c r="Q16" s="206">
        <f>ROUND(SUMPRODUCT(Q6:Q13,K6:K13)/SUMPRODUCT((Q6:Q13&gt;0)*(K6:K13)),2)</f>
        <v>0.13</v>
      </c>
      <c r="R16" s="2190">
        <f>SUM(R6:R13)</f>
        <v>52485.590000000004</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6">
        <f>ROUND(SUMPRODUCT(AP6:AP13,K6:K13)/SUMPRODUCT((AP6:AP13&gt;0)*(K6:K13)),3)</f>
        <v>0.93799999999999994</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291" t="s">
        <v>3377</v>
      </c>
      <c r="L18" s="3406" t="s">
        <v>3378</v>
      </c>
      <c r="M18" s="3406"/>
      <c r="N18" s="3406"/>
      <c r="O18" s="3407" t="s">
        <v>3379</v>
      </c>
      <c r="P18" s="3407"/>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2982</v>
      </c>
      <c r="D19" s="3093"/>
      <c r="E19" s="3092"/>
      <c r="F19" s="3092"/>
      <c r="G19" s="3092"/>
      <c r="H19" s="3092"/>
      <c r="I19" s="3092"/>
      <c r="J19" s="3092"/>
      <c r="K19" s="3292"/>
      <c r="L19" s="3293" t="s">
        <v>3380</v>
      </c>
      <c r="M19" s="3293" t="s">
        <v>3381</v>
      </c>
      <c r="N19" s="3293" t="s">
        <v>3382</v>
      </c>
      <c r="O19" s="3408"/>
      <c r="P19" s="3408"/>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3</v>
      </c>
      <c r="C20" s="3104" t="s">
        <v>2320</v>
      </c>
      <c r="D20" s="3093"/>
      <c r="E20" s="3092"/>
      <c r="F20" s="3092"/>
      <c r="G20" s="3092"/>
      <c r="H20" s="3092"/>
      <c r="I20" s="3092"/>
      <c r="J20" s="3092"/>
      <c r="K20" s="3294" t="s">
        <v>3383</v>
      </c>
      <c r="L20" s="3295">
        <v>1447</v>
      </c>
      <c r="M20" s="3295">
        <v>1732</v>
      </c>
      <c r="N20" s="3295">
        <v>1835</v>
      </c>
      <c r="O20" s="3409"/>
      <c r="P20" s="340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3</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3</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89"/>
      <c r="B25" s="1186"/>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7" customFormat="1" ht="27.75">
      <c r="A27" s="224" t="s">
        <v>2322</v>
      </c>
      <c r="B27" s="225">
        <v>170</v>
      </c>
      <c r="C27" s="3105" t="s">
        <v>2983</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2323</v>
      </c>
      <c r="B28" s="227">
        <v>170</v>
      </c>
      <c r="C28" s="3282" t="s">
        <v>3027</v>
      </c>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2321</v>
      </c>
      <c r="B29" s="230"/>
      <c r="C29" s="3106" t="s">
        <v>2324</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7" t="s">
        <v>2970</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0.08</v>
      </c>
      <c r="C34" s="3107" t="s">
        <v>2971</v>
      </c>
      <c r="D34" s="3108" t="s">
        <v>2979</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2972</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2973</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2974</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0.03</v>
      </c>
      <c r="C38" s="3107" t="s">
        <v>2974</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2435</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2436</v>
      </c>
      <c r="B40" s="2333">
        <f ca="1">存贷款利率!E2</f>
        <v>4.7500000000000001E-2</v>
      </c>
      <c r="C40" s="3107" t="s">
        <v>2975</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6"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6"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2980</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2976</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2977</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2984</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0.04</v>
      </c>
      <c r="C48" s="3110" t="s">
        <v>2976</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2978</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18</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1087</v>
      </c>
      <c r="C53" s="3100" t="s">
        <v>2865</v>
      </c>
      <c r="D53" s="3111" t="s">
        <v>2981</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2866</v>
      </c>
      <c r="B54" s="3300">
        <v>18</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2867</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2868</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2869</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2870</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2871</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2872</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2873</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2874</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2875</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mergeCells count="4">
    <mergeCell ref="L18:N18"/>
    <mergeCell ref="O18:P18"/>
    <mergeCell ref="O19:P19"/>
    <mergeCell ref="O20:P20"/>
  </mergeCells>
  <phoneticPr fontId="4" type="noConversion"/>
  <conditionalFormatting sqref="T6:T15">
    <cfRule type="containsText" dxfId="185" priority="12" stopIfTrue="1" operator="containsText" text="自行计算">
      <formula>NOT(ISERROR(SEARCH("自行计算",T6)))</formula>
    </cfRule>
    <cfRule type="containsText" dxfId="184" priority="13" stopIfTrue="1" operator="containsText" text="自行计算">
      <formula>NOT(ISERROR(SEARCH("自行计算",T6)))</formula>
    </cfRule>
  </conditionalFormatting>
  <conditionalFormatting sqref="T6:T13">
    <cfRule type="containsText" dxfId="183" priority="10" stopIfTrue="1" operator="containsText" text="自行计算">
      <formula>NOT(ISERROR(SEARCH("自行计算",T6)))</formula>
    </cfRule>
    <cfRule type="containsText" dxfId="182" priority="11" stopIfTrue="1" operator="containsText" text="自行计算">
      <formula>NOT(ISERROR(SEARCH("自行计算",T6)))</formula>
    </cfRule>
  </conditionalFormatting>
  <conditionalFormatting sqref="T12:T13">
    <cfRule type="containsText" dxfId="181" priority="4" stopIfTrue="1" operator="containsText" text="自行计算">
      <formula>NOT(ISERROR(SEARCH("自行计算",T12)))</formula>
    </cfRule>
    <cfRule type="containsText" dxfId="180" priority="5" stopIfTrue="1" operator="containsText" text="自行计算">
      <formula>NOT(ISERROR(SEARCH("自行计算",T12)))</formula>
    </cfRule>
  </conditionalFormatting>
  <conditionalFormatting sqref="T12:T13">
    <cfRule type="containsText" dxfId="179" priority="2" stopIfTrue="1" operator="containsText" text="自行计算">
      <formula>NOT(ISERROR(SEARCH("自行计算",T12)))</formula>
    </cfRule>
    <cfRule type="containsText" dxfId="178" priority="3" stopIfTrue="1" operator="containsText" text="自行计算">
      <formula>NOT(ISERROR(SEARCH("自行计算",T12)))</formula>
    </cfRule>
  </conditionalFormatting>
  <conditionalFormatting sqref="T6:T15">
    <cfRule type="expression" dxfId="17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10" t="s">
        <v>1654</v>
      </c>
      <c r="B1" s="3411"/>
      <c r="C1" s="3411"/>
      <c r="D1" s="3411"/>
      <c r="E1" s="3411"/>
      <c r="F1" s="3411"/>
      <c r="G1" s="3411"/>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2882</v>
      </c>
      <c r="D3" s="3127"/>
      <c r="E3" s="3128" t="s">
        <v>1657</v>
      </c>
      <c r="F3" s="3129" t="s">
        <v>1645</v>
      </c>
      <c r="G3" s="3130" t="s">
        <v>2881</v>
      </c>
      <c r="H3" s="3123"/>
      <c r="I3" s="3123"/>
      <c r="J3" s="3123"/>
      <c r="K3" s="3123"/>
      <c r="L3" s="3123"/>
      <c r="M3" s="3123"/>
      <c r="N3" s="3123"/>
      <c r="O3" s="3123"/>
      <c r="P3" s="3123"/>
      <c r="Q3" s="3123"/>
      <c r="R3" s="3123"/>
    </row>
    <row r="4" spans="1:18" ht="40.5">
      <c r="A4" s="3128"/>
      <c r="B4" s="3131" t="s">
        <v>1658</v>
      </c>
      <c r="C4" s="3132" t="s">
        <v>2883</v>
      </c>
      <c r="D4" s="3127"/>
      <c r="E4" s="3133"/>
      <c r="F4" s="3134" t="s">
        <v>1659</v>
      </c>
      <c r="G4" s="3135" t="s">
        <v>2878</v>
      </c>
      <c r="H4" s="3123"/>
      <c r="I4" s="3123"/>
      <c r="J4" s="3123"/>
      <c r="K4" s="3123"/>
      <c r="L4" s="3123"/>
      <c r="M4" s="3123"/>
      <c r="N4" s="3123"/>
      <c r="O4" s="3123"/>
      <c r="P4" s="3123"/>
      <c r="Q4" s="3123"/>
      <c r="R4" s="3123"/>
    </row>
    <row r="5" spans="1:18" ht="41.25">
      <c r="A5" s="3128"/>
      <c r="B5" s="3131" t="s">
        <v>1660</v>
      </c>
      <c r="C5" s="3132" t="s">
        <v>2884</v>
      </c>
      <c r="D5" s="3127"/>
      <c r="E5" s="3133"/>
      <c r="F5" s="3131" t="s">
        <v>2525</v>
      </c>
      <c r="G5" s="3135" t="s">
        <v>2879</v>
      </c>
      <c r="H5" s="3123"/>
      <c r="I5" s="3123"/>
      <c r="J5" s="3123"/>
      <c r="K5" s="3123"/>
      <c r="L5" s="3123"/>
      <c r="M5" s="3123"/>
      <c r="N5" s="3123"/>
      <c r="O5" s="3123"/>
      <c r="P5" s="3123"/>
      <c r="Q5" s="3123"/>
      <c r="R5" s="3123"/>
    </row>
    <row r="6" spans="1:18" ht="40.5">
      <c r="A6" s="3128"/>
      <c r="B6" s="3131" t="s">
        <v>1646</v>
      </c>
      <c r="C6" s="3135" t="s">
        <v>2878</v>
      </c>
      <c r="D6" s="3127"/>
      <c r="E6" s="3133"/>
      <c r="F6" s="3131" t="s">
        <v>2526</v>
      </c>
      <c r="G6" s="3135" t="s">
        <v>2876</v>
      </c>
      <c r="H6" s="3123"/>
      <c r="I6" s="3123"/>
      <c r="J6" s="3123"/>
      <c r="K6" s="3123"/>
      <c r="L6" s="3123"/>
      <c r="M6" s="3123"/>
      <c r="N6" s="3123"/>
      <c r="O6" s="3123"/>
      <c r="P6" s="3123"/>
      <c r="Q6" s="3123"/>
      <c r="R6" s="3123"/>
    </row>
    <row r="7" spans="1:18" ht="27.75" thickBot="1">
      <c r="A7" s="3128"/>
      <c r="B7" s="3131" t="s">
        <v>2525</v>
      </c>
      <c r="C7" s="3135" t="s">
        <v>2879</v>
      </c>
      <c r="D7" s="3136"/>
      <c r="E7" s="3137"/>
      <c r="F7" s="3138" t="s">
        <v>1661</v>
      </c>
      <c r="G7" s="3139" t="s">
        <v>2880</v>
      </c>
      <c r="H7" s="3123"/>
      <c r="I7" s="3123"/>
      <c r="J7" s="3123"/>
      <c r="K7" s="3123"/>
      <c r="L7" s="3123"/>
      <c r="M7" s="3123"/>
      <c r="N7" s="3123"/>
      <c r="O7" s="3123"/>
      <c r="P7" s="3123"/>
      <c r="Q7" s="3123"/>
      <c r="R7" s="3123"/>
    </row>
    <row r="8" spans="1:18">
      <c r="A8" s="3128"/>
      <c r="B8" s="3131" t="s">
        <v>2526</v>
      </c>
      <c r="C8" s="3135" t="s">
        <v>2876</v>
      </c>
      <c r="D8" s="3136"/>
      <c r="E8" s="3136"/>
      <c r="F8" s="3140"/>
      <c r="G8" s="3140"/>
      <c r="H8" s="3123"/>
      <c r="I8" s="3123"/>
      <c r="J8" s="3123"/>
      <c r="K8" s="3123"/>
      <c r="L8" s="3123"/>
      <c r="M8" s="3123"/>
      <c r="N8" s="3123"/>
      <c r="O8" s="3123"/>
      <c r="P8" s="3123"/>
      <c r="Q8" s="3123"/>
      <c r="R8" s="3123"/>
    </row>
    <row r="9" spans="1:18" ht="27">
      <c r="A9" s="3128"/>
      <c r="B9" s="3131" t="s">
        <v>1647</v>
      </c>
      <c r="C9" s="3132" t="s">
        <v>2877</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2525</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2526</v>
      </c>
      <c r="G20" s="3175" t="str">
        <f>G6</f>
        <v>估价对象所在区域基础设施水平</v>
      </c>
    </row>
    <row r="21" spans="1:7" ht="27">
      <c r="A21" s="3170"/>
      <c r="B21" s="3131" t="s">
        <v>2525</v>
      </c>
      <c r="C21" s="3175" t="str">
        <f>C7</f>
        <v>估价对象所在区域公共配套设施齐备情况</v>
      </c>
      <c r="D21" s="3127"/>
      <c r="E21" s="3173"/>
      <c r="F21" s="3174" t="s">
        <v>1652</v>
      </c>
      <c r="G21" s="3177"/>
    </row>
    <row r="22" spans="1:7" ht="14.25">
      <c r="A22" s="3170"/>
      <c r="B22" s="3131" t="s">
        <v>2526</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2820</v>
      </c>
      <c r="B1" s="3185">
        <f>SUM(B14:B23)</f>
        <v>274652.19</v>
      </c>
      <c r="C1" s="3194"/>
      <c r="D1" s="3194"/>
      <c r="E1" s="3194"/>
      <c r="F1" s="3194"/>
      <c r="G1" s="3195"/>
      <c r="H1" s="3195"/>
      <c r="I1" s="3195"/>
      <c r="J1" s="3195"/>
    </row>
    <row r="2" spans="1:10" ht="16.5">
      <c r="A2" s="3185" t="s">
        <v>2821</v>
      </c>
      <c r="B2" s="3185">
        <f>SUM(C14:C23)</f>
        <v>52485.58</v>
      </c>
      <c r="C2" s="3194"/>
      <c r="D2" s="3194"/>
      <c r="E2" s="3194"/>
      <c r="F2" s="3194"/>
      <c r="G2" s="3195"/>
      <c r="H2" s="3195"/>
      <c r="I2" s="3195"/>
      <c r="J2" s="3195"/>
    </row>
    <row r="3" spans="1:10" ht="16.5">
      <c r="A3" s="3185" t="s">
        <v>2822</v>
      </c>
      <c r="B3" s="3187">
        <f>项目基本情况!D3</f>
        <v>44062</v>
      </c>
      <c r="C3" s="3194"/>
      <c r="D3" s="3194"/>
      <c r="E3" s="3194"/>
      <c r="F3" s="3194"/>
      <c r="G3" s="3195"/>
      <c r="H3" s="3195"/>
      <c r="I3" s="3195"/>
      <c r="J3" s="3195"/>
    </row>
    <row r="4" spans="1:10" ht="33">
      <c r="A4" s="3185" t="s">
        <v>2823</v>
      </c>
      <c r="B4" s="3185" t="s">
        <v>2824</v>
      </c>
      <c r="C4" s="3185" t="s">
        <v>2825</v>
      </c>
      <c r="D4" s="3185" t="s">
        <v>2826</v>
      </c>
      <c r="E4" s="3194"/>
      <c r="F4" s="3194"/>
      <c r="G4" s="3195"/>
      <c r="H4" s="3195"/>
      <c r="I4" s="3195"/>
      <c r="J4" s="3195"/>
    </row>
    <row r="5" spans="1:10" ht="16.5">
      <c r="A5" s="3185" t="s">
        <v>2827</v>
      </c>
      <c r="B5" s="3185">
        <f ca="1">SUM(D14:D23)</f>
        <v>87983</v>
      </c>
      <c r="C5" s="3185">
        <f ca="1">ROUND(B5*10000/$B$1,0)</f>
        <v>3203</v>
      </c>
      <c r="D5" s="3185">
        <f ca="1">ROUND(B5*10000/$B$2,0)</f>
        <v>16763</v>
      </c>
      <c r="E5" s="3194"/>
      <c r="F5" s="3194"/>
      <c r="G5" s="3195"/>
      <c r="H5" s="3195"/>
      <c r="I5" s="3195"/>
      <c r="J5" s="3195"/>
    </row>
    <row r="6" spans="1:10" ht="16.5">
      <c r="A6" s="3185" t="s">
        <v>2828</v>
      </c>
      <c r="B6" s="3185">
        <f ca="1">SUM(G14:G23)</f>
        <v>87983</v>
      </c>
      <c r="C6" s="3185">
        <f t="shared" ref="C6:C8" ca="1" si="0">ROUND(B6*10000/$B$1,0)</f>
        <v>3203</v>
      </c>
      <c r="D6" s="3185">
        <f t="shared" ref="D6:D8" ca="1" si="1">ROUND(B6*10000/$B$2,0)</f>
        <v>16763</v>
      </c>
      <c r="E6" s="3194"/>
      <c r="F6" s="3194"/>
      <c r="G6" s="3195"/>
      <c r="H6" s="3195"/>
      <c r="I6" s="3195"/>
      <c r="J6" s="3195"/>
    </row>
    <row r="7" spans="1:10" ht="16.5">
      <c r="A7" s="3185" t="s">
        <v>2829</v>
      </c>
      <c r="B7" s="3185">
        <f>SUM(H14:H23)</f>
        <v>0</v>
      </c>
      <c r="C7" s="3185">
        <f t="shared" si="0"/>
        <v>0</v>
      </c>
      <c r="D7" s="3185">
        <f t="shared" si="1"/>
        <v>0</v>
      </c>
      <c r="E7" s="3194"/>
      <c r="F7" s="3194"/>
      <c r="G7" s="3195"/>
      <c r="H7" s="3195"/>
      <c r="I7" s="3195"/>
      <c r="J7" s="3195"/>
    </row>
    <row r="8" spans="1:10" ht="16.5">
      <c r="A8" s="3185" t="s">
        <v>2830</v>
      </c>
      <c r="B8" s="3185">
        <f>SUM(I14:I23)</f>
        <v>0</v>
      </c>
      <c r="C8" s="3185">
        <f t="shared" si="0"/>
        <v>0</v>
      </c>
      <c r="D8" s="3185">
        <f t="shared" si="1"/>
        <v>0</v>
      </c>
      <c r="E8" s="3194"/>
      <c r="F8" s="3194"/>
      <c r="G8" s="3195"/>
      <c r="H8" s="3195"/>
      <c r="I8" s="3195"/>
      <c r="J8" s="3195"/>
    </row>
    <row r="9" spans="1:10" ht="16.5">
      <c r="A9" s="3185" t="s">
        <v>2831</v>
      </c>
      <c r="B9" s="3193"/>
      <c r="C9" s="3194"/>
      <c r="D9" s="3194"/>
      <c r="E9" s="3194"/>
      <c r="F9" s="3194"/>
      <c r="G9" s="3195"/>
      <c r="H9" s="3195"/>
      <c r="I9" s="3195"/>
      <c r="J9" s="3195"/>
    </row>
    <row r="10" spans="1:10" ht="16.5">
      <c r="A10" s="3185" t="s">
        <v>2832</v>
      </c>
      <c r="B10" s="3193"/>
      <c r="C10" s="3194"/>
      <c r="D10" s="3194"/>
      <c r="E10" s="3194"/>
      <c r="F10" s="3194"/>
      <c r="G10" s="3195"/>
      <c r="H10" s="3195"/>
      <c r="I10" s="3195"/>
      <c r="J10" s="3195"/>
    </row>
    <row r="11" spans="1:10" ht="16.5">
      <c r="A11" s="3185" t="s">
        <v>2849</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2848</v>
      </c>
      <c r="B13" s="3189" t="s">
        <v>2820</v>
      </c>
      <c r="C13" s="3189" t="s">
        <v>2821</v>
      </c>
      <c r="D13" s="3189" t="s">
        <v>2833</v>
      </c>
      <c r="E13" s="3185" t="s">
        <v>2847</v>
      </c>
      <c r="F13" s="3185" t="s">
        <v>2826</v>
      </c>
      <c r="G13" s="3189" t="s">
        <v>2834</v>
      </c>
      <c r="H13" s="3189" t="s">
        <v>2835</v>
      </c>
      <c r="I13" s="3189" t="s">
        <v>2836</v>
      </c>
      <c r="J13" s="3195"/>
    </row>
    <row r="14" spans="1:10" ht="16.5">
      <c r="A14" s="3190" t="s">
        <v>2846</v>
      </c>
      <c r="B14" s="3191">
        <f>结果表!L38</f>
        <v>274652.19</v>
      </c>
      <c r="C14" s="3191">
        <f>结果表!K38</f>
        <v>52485.58</v>
      </c>
      <c r="D14" s="3191">
        <f ca="1">结果表!C42</f>
        <v>87983</v>
      </c>
      <c r="E14" s="3191">
        <f ca="1">ROUND(D14*10000/B14,0)</f>
        <v>3203</v>
      </c>
      <c r="F14" s="3191">
        <f ca="1">ROUND(D14*10000/C14,0)</f>
        <v>16763</v>
      </c>
      <c r="G14" s="3191">
        <f ca="1">结果表!C44</f>
        <v>87983</v>
      </c>
      <c r="H14" s="3191" t="str">
        <f>结果表!C45</f>
        <v>——</v>
      </c>
      <c r="I14" s="3191" t="str">
        <f>结果表!C46</f>
        <v>——</v>
      </c>
      <c r="J14" s="3195"/>
    </row>
    <row r="15" spans="1:10" ht="16.5">
      <c r="A15" s="3190" t="s">
        <v>2837</v>
      </c>
      <c r="B15" s="3192"/>
      <c r="C15" s="3192"/>
      <c r="D15" s="3192"/>
      <c r="E15" s="3191" t="e">
        <f t="shared" ref="E15:E23" si="2">ROUND(D15*10000/B15,0)</f>
        <v>#DIV/0!</v>
      </c>
      <c r="F15" s="3191" t="e">
        <f t="shared" ref="F15:F23" si="3">ROUND(D15*10000/C15,0)</f>
        <v>#DIV/0!</v>
      </c>
      <c r="G15" s="2757"/>
      <c r="H15" s="2757"/>
      <c r="I15" s="3192"/>
      <c r="J15" s="3195"/>
    </row>
    <row r="16" spans="1:10" ht="16.5">
      <c r="A16" s="3190" t="s">
        <v>2838</v>
      </c>
      <c r="B16" s="3192"/>
      <c r="C16" s="3192"/>
      <c r="D16" s="3192"/>
      <c r="E16" s="3191" t="e">
        <f t="shared" si="2"/>
        <v>#DIV/0!</v>
      </c>
      <c r="F16" s="3191" t="e">
        <f t="shared" si="3"/>
        <v>#DIV/0!</v>
      </c>
      <c r="G16" s="2757"/>
      <c r="H16" s="2757"/>
      <c r="I16" s="3192"/>
      <c r="J16" s="3195"/>
    </row>
    <row r="17" spans="1:10" ht="16.5">
      <c r="A17" s="3190" t="s">
        <v>2839</v>
      </c>
      <c r="B17" s="3192"/>
      <c r="C17" s="3192"/>
      <c r="D17" s="3192"/>
      <c r="E17" s="3191" t="e">
        <f t="shared" si="2"/>
        <v>#DIV/0!</v>
      </c>
      <c r="F17" s="3191" t="e">
        <f t="shared" si="3"/>
        <v>#DIV/0!</v>
      </c>
      <c r="G17" s="2757"/>
      <c r="H17" s="2757"/>
      <c r="I17" s="3192"/>
      <c r="J17" s="3195"/>
    </row>
    <row r="18" spans="1:10" ht="16.5">
      <c r="A18" s="3190" t="s">
        <v>2840</v>
      </c>
      <c r="B18" s="3192"/>
      <c r="C18" s="3192"/>
      <c r="D18" s="3192"/>
      <c r="E18" s="3191" t="e">
        <f t="shared" si="2"/>
        <v>#DIV/0!</v>
      </c>
      <c r="F18" s="3191" t="e">
        <f t="shared" si="3"/>
        <v>#DIV/0!</v>
      </c>
      <c r="G18" s="3192"/>
      <c r="H18" s="3192"/>
      <c r="I18" s="3192"/>
      <c r="J18" s="3195"/>
    </row>
    <row r="19" spans="1:10" ht="16.5">
      <c r="A19" s="3190" t="s">
        <v>2841</v>
      </c>
      <c r="B19" s="3192"/>
      <c r="C19" s="3192"/>
      <c r="D19" s="3192"/>
      <c r="E19" s="3191" t="e">
        <f t="shared" si="2"/>
        <v>#DIV/0!</v>
      </c>
      <c r="F19" s="3191" t="e">
        <f t="shared" si="3"/>
        <v>#DIV/0!</v>
      </c>
      <c r="G19" s="3192"/>
      <c r="H19" s="3192"/>
      <c r="I19" s="3192"/>
      <c r="J19" s="3195"/>
    </row>
    <row r="20" spans="1:10" ht="16.5">
      <c r="A20" s="3190" t="s">
        <v>2842</v>
      </c>
      <c r="B20" s="3192"/>
      <c r="C20" s="3192"/>
      <c r="D20" s="3192"/>
      <c r="E20" s="3191" t="e">
        <f t="shared" si="2"/>
        <v>#DIV/0!</v>
      </c>
      <c r="F20" s="3191" t="e">
        <f t="shared" si="3"/>
        <v>#DIV/0!</v>
      </c>
      <c r="G20" s="3192"/>
      <c r="H20" s="3192"/>
      <c r="I20" s="3192"/>
      <c r="J20" s="3195"/>
    </row>
    <row r="21" spans="1:10" ht="16.5">
      <c r="A21" s="3190" t="s">
        <v>2843</v>
      </c>
      <c r="B21" s="3192"/>
      <c r="C21" s="3192"/>
      <c r="D21" s="3192"/>
      <c r="E21" s="3191" t="e">
        <f t="shared" si="2"/>
        <v>#DIV/0!</v>
      </c>
      <c r="F21" s="3191" t="e">
        <f t="shared" si="3"/>
        <v>#DIV/0!</v>
      </c>
      <c r="G21" s="3192"/>
      <c r="H21" s="3192"/>
      <c r="I21" s="3192"/>
      <c r="J21" s="3195"/>
    </row>
    <row r="22" spans="1:10" ht="16.5">
      <c r="A22" s="3190" t="s">
        <v>2844</v>
      </c>
      <c r="B22" s="3192"/>
      <c r="C22" s="3192"/>
      <c r="D22" s="3192"/>
      <c r="E22" s="3191" t="e">
        <f t="shared" si="2"/>
        <v>#DIV/0!</v>
      </c>
      <c r="F22" s="3191" t="e">
        <f t="shared" si="3"/>
        <v>#DIV/0!</v>
      </c>
      <c r="G22" s="3192"/>
      <c r="H22" s="3192"/>
      <c r="I22" s="3192"/>
      <c r="J22" s="3195"/>
    </row>
    <row r="23" spans="1:10" ht="16.5">
      <c r="A23" s="3190" t="s">
        <v>2845</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zoomScaleNormal="100" zoomScaleSheetLayoutView="100" zoomScalePageLayoutView="80" workbookViewId="0">
      <selection activeCell="I22" sqref="I22"/>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2041</v>
      </c>
      <c r="B1" s="1691"/>
      <c r="C1" s="1719" t="s">
        <v>2042</v>
      </c>
      <c r="D1" s="1720" t="s">
        <v>3521</v>
      </c>
      <c r="E1" s="1719" t="s">
        <v>2043</v>
      </c>
      <c r="F1" s="1721" t="s">
        <v>3522</v>
      </c>
      <c r="G1" s="309"/>
      <c r="H1" s="309"/>
      <c r="I1" s="309"/>
      <c r="J1" s="1911"/>
      <c r="K1" s="1911"/>
      <c r="L1" s="1911"/>
      <c r="M1" s="1911"/>
      <c r="N1" s="1911"/>
      <c r="O1" s="1911"/>
      <c r="P1" s="1911"/>
      <c r="Q1" s="1911"/>
      <c r="R1" s="1911"/>
      <c r="S1" s="1911"/>
      <c r="T1" s="1911"/>
      <c r="U1" s="1911"/>
      <c r="V1" s="1911"/>
    </row>
    <row r="2" spans="1:22" ht="21.75" customHeight="1" thickBot="1">
      <c r="A2" s="3456" t="str">
        <f>项目基本情况!K2</f>
        <v>河南省郑州市高新区站北路北、新荣路东出让国有建设用地使用权</v>
      </c>
      <c r="B2" s="3457"/>
      <c r="C2" s="3458"/>
      <c r="D2" s="3458"/>
      <c r="E2" s="3458"/>
      <c r="F2" s="3458"/>
      <c r="G2" s="3457"/>
      <c r="H2" s="3457"/>
      <c r="I2" s="3459"/>
      <c r="J2" s="1912"/>
      <c r="K2" s="1911"/>
      <c r="L2" s="1911"/>
      <c r="M2" s="1911"/>
      <c r="N2" s="1911"/>
      <c r="O2" s="1911"/>
      <c r="P2" s="1911"/>
      <c r="Q2" s="1911"/>
      <c r="R2" s="1911"/>
      <c r="S2" s="1911"/>
      <c r="T2" s="1911"/>
      <c r="U2" s="1911"/>
      <c r="V2" s="1911"/>
    </row>
    <row r="3" spans="1:22" ht="14.25">
      <c r="A3" s="3467" t="s">
        <v>298</v>
      </c>
      <c r="B3" s="3468"/>
      <c r="C3" s="3468"/>
      <c r="D3" s="3468"/>
      <c r="E3" s="3468"/>
      <c r="F3" s="3468"/>
      <c r="G3" s="3468"/>
      <c r="H3" s="3468"/>
      <c r="I3" s="3468"/>
      <c r="J3" s="1912"/>
      <c r="K3" s="1911"/>
      <c r="L3" s="1911"/>
      <c r="M3" s="1911"/>
      <c r="N3" s="1911"/>
      <c r="O3" s="1911"/>
      <c r="P3" s="1911"/>
      <c r="Q3" s="1911"/>
      <c r="R3" s="1911"/>
      <c r="S3" s="1911"/>
      <c r="T3" s="1911"/>
      <c r="U3" s="1911"/>
      <c r="V3" s="1911"/>
    </row>
    <row r="4" spans="1:22" ht="14.25">
      <c r="A4" s="256" t="s">
        <v>299</v>
      </c>
      <c r="B4" s="257" t="s">
        <v>300</v>
      </c>
      <c r="C4" s="258" t="s">
        <v>3524</v>
      </c>
      <c r="D4" s="258" t="s">
        <v>3525</v>
      </c>
      <c r="E4" s="3431" t="s">
        <v>301</v>
      </c>
      <c r="F4" s="3473"/>
      <c r="G4" s="3473"/>
      <c r="H4" s="3473"/>
      <c r="I4" s="3432"/>
      <c r="J4" s="1912"/>
      <c r="K4" s="1911"/>
      <c r="L4" s="3196"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60" t="s">
        <v>302</v>
      </c>
      <c r="B5" s="3461">
        <v>25</v>
      </c>
      <c r="C5" s="3469"/>
      <c r="D5" s="3472"/>
      <c r="E5" s="259" t="s">
        <v>303</v>
      </c>
      <c r="F5" s="260"/>
      <c r="G5" s="260"/>
      <c r="H5" s="260"/>
      <c r="I5" s="261"/>
      <c r="J5" s="1912"/>
      <c r="K5" s="1911"/>
      <c r="L5" s="1911"/>
      <c r="M5" s="1911"/>
      <c r="N5" s="1911"/>
      <c r="O5" s="1911"/>
      <c r="P5" s="1911"/>
      <c r="Q5" s="1911"/>
      <c r="R5" s="1911"/>
      <c r="S5" s="1911"/>
      <c r="T5" s="1911"/>
      <c r="U5" s="1911"/>
      <c r="V5" s="1911"/>
    </row>
    <row r="6" spans="1:22" ht="14.25">
      <c r="A6" s="3460"/>
      <c r="B6" s="3461"/>
      <c r="C6" s="3470"/>
      <c r="D6" s="3472"/>
      <c r="E6" s="259" t="s">
        <v>304</v>
      </c>
      <c r="F6" s="260"/>
      <c r="G6" s="260"/>
      <c r="H6" s="260"/>
      <c r="I6" s="261"/>
      <c r="J6" s="1912"/>
      <c r="K6" s="1911"/>
      <c r="L6" s="1911"/>
      <c r="M6" s="1911"/>
      <c r="N6" s="1911"/>
      <c r="O6" s="1911"/>
      <c r="P6" s="1911"/>
      <c r="Q6" s="1911"/>
      <c r="R6" s="1911"/>
      <c r="S6" s="1911"/>
      <c r="T6" s="1911"/>
      <c r="U6" s="1911"/>
      <c r="V6" s="1911"/>
    </row>
    <row r="7" spans="1:22" ht="14.25">
      <c r="A7" s="3460"/>
      <c r="B7" s="3461"/>
      <c r="C7" s="3471"/>
      <c r="D7" s="3472"/>
      <c r="E7" s="259" t="s">
        <v>305</v>
      </c>
      <c r="F7" s="260"/>
      <c r="G7" s="260"/>
      <c r="H7" s="260"/>
      <c r="I7" s="261"/>
      <c r="J7" s="1912"/>
      <c r="K7" s="1911"/>
      <c r="L7" s="1911"/>
      <c r="M7" s="1911"/>
      <c r="N7" s="1911"/>
      <c r="O7" s="1911"/>
      <c r="P7" s="1911"/>
      <c r="Q7" s="1911"/>
      <c r="R7" s="1911"/>
      <c r="S7" s="1911"/>
      <c r="T7" s="1911"/>
      <c r="U7" s="1911"/>
      <c r="V7" s="1911"/>
    </row>
    <row r="8" spans="1:22" ht="14.25">
      <c r="A8" s="3460" t="s">
        <v>306</v>
      </c>
      <c r="B8" s="3461">
        <v>15</v>
      </c>
      <c r="C8" s="3469"/>
      <c r="D8" s="3472"/>
      <c r="E8" s="259" t="s">
        <v>307</v>
      </c>
      <c r="F8" s="260"/>
      <c r="G8" s="260"/>
      <c r="H8" s="260"/>
      <c r="I8" s="261"/>
      <c r="J8" s="1912"/>
      <c r="K8" s="1911"/>
      <c r="L8" s="1911"/>
      <c r="M8" s="1911"/>
      <c r="N8" s="1911"/>
      <c r="O8" s="1911"/>
      <c r="P8" s="1911"/>
      <c r="Q8" s="1911"/>
      <c r="R8" s="1911"/>
      <c r="S8" s="1911"/>
      <c r="T8" s="1911"/>
      <c r="U8" s="1911"/>
      <c r="V8" s="1911"/>
    </row>
    <row r="9" spans="1:22" ht="14.25">
      <c r="A9" s="3460"/>
      <c r="B9" s="3461"/>
      <c r="C9" s="3471"/>
      <c r="D9" s="3472"/>
      <c r="E9" s="259" t="s">
        <v>308</v>
      </c>
      <c r="F9" s="260"/>
      <c r="G9" s="260"/>
      <c r="H9" s="260"/>
      <c r="I9" s="261"/>
      <c r="J9" s="1912"/>
      <c r="K9" s="1911"/>
      <c r="L9" s="1911"/>
      <c r="M9" s="1911"/>
      <c r="N9" s="1911"/>
      <c r="O9" s="1911"/>
      <c r="P9" s="1911"/>
      <c r="Q9" s="1911"/>
      <c r="R9" s="1911"/>
      <c r="S9" s="1911"/>
      <c r="T9" s="1911"/>
      <c r="U9" s="1911"/>
      <c r="V9" s="1911"/>
    </row>
    <row r="10" spans="1:22" ht="14.25">
      <c r="A10" s="3460" t="s">
        <v>309</v>
      </c>
      <c r="B10" s="3461">
        <v>15</v>
      </c>
      <c r="C10" s="3469"/>
      <c r="D10" s="3472"/>
      <c r="E10" s="259" t="s">
        <v>310</v>
      </c>
      <c r="F10" s="260"/>
      <c r="G10" s="260"/>
      <c r="H10" s="260"/>
      <c r="I10" s="261"/>
      <c r="J10" s="1912"/>
      <c r="K10" s="1911"/>
      <c r="L10" s="1911"/>
      <c r="M10" s="1911"/>
      <c r="N10" s="1911"/>
      <c r="O10" s="1911"/>
      <c r="P10" s="1911"/>
      <c r="Q10" s="1911"/>
      <c r="R10" s="1911"/>
      <c r="S10" s="1911"/>
      <c r="T10" s="1911"/>
      <c r="U10" s="1911"/>
      <c r="V10" s="1911"/>
    </row>
    <row r="11" spans="1:22" ht="14.25">
      <c r="A11" s="3460"/>
      <c r="B11" s="3461"/>
      <c r="C11" s="3471"/>
      <c r="D11" s="3472"/>
      <c r="E11" s="259" t="s">
        <v>311</v>
      </c>
      <c r="F11" s="260"/>
      <c r="G11" s="260"/>
      <c r="H11" s="260"/>
      <c r="I11" s="261"/>
      <c r="J11" s="1912"/>
      <c r="K11" s="1911"/>
      <c r="L11" s="1911"/>
      <c r="M11" s="1911"/>
      <c r="N11" s="1911"/>
      <c r="O11" s="1911"/>
      <c r="P11" s="1911"/>
      <c r="Q11" s="1911"/>
      <c r="R11" s="1911"/>
      <c r="S11" s="1911"/>
      <c r="T11" s="1911"/>
      <c r="U11" s="1911"/>
      <c r="V11" s="1911"/>
    </row>
    <row r="12" spans="1:22" ht="14.25">
      <c r="A12" s="3460" t="s">
        <v>312</v>
      </c>
      <c r="B12" s="3461">
        <v>15</v>
      </c>
      <c r="C12" s="3469"/>
      <c r="D12" s="3472"/>
      <c r="E12" s="259" t="s">
        <v>313</v>
      </c>
      <c r="F12" s="260"/>
      <c r="G12" s="260"/>
      <c r="H12" s="260"/>
      <c r="I12" s="261"/>
      <c r="J12" s="1912"/>
      <c r="K12" s="1911"/>
      <c r="L12" s="1911"/>
      <c r="M12" s="1911"/>
      <c r="N12" s="1911"/>
      <c r="O12" s="1911"/>
      <c r="P12" s="1911"/>
      <c r="Q12" s="1911"/>
      <c r="R12" s="1911"/>
      <c r="S12" s="1911"/>
      <c r="T12" s="1911"/>
      <c r="U12" s="1911"/>
      <c r="V12" s="1911"/>
    </row>
    <row r="13" spans="1:22" ht="14.25">
      <c r="A13" s="3460"/>
      <c r="B13" s="3461"/>
      <c r="C13" s="3471"/>
      <c r="D13" s="3472"/>
      <c r="E13" s="259" t="s">
        <v>314</v>
      </c>
      <c r="F13" s="260"/>
      <c r="G13" s="260"/>
      <c r="H13" s="260"/>
      <c r="I13" s="261"/>
      <c r="J13" s="1912"/>
      <c r="K13" s="1911"/>
      <c r="L13" s="1911"/>
      <c r="M13" s="1911"/>
      <c r="N13" s="1911"/>
      <c r="O13" s="1911"/>
      <c r="P13" s="1911"/>
      <c r="Q13" s="1911"/>
      <c r="R13" s="1911"/>
      <c r="S13" s="1911"/>
      <c r="T13" s="1911"/>
      <c r="U13" s="1911"/>
      <c r="V13" s="1911"/>
    </row>
    <row r="14" spans="1:22" ht="14.25">
      <c r="A14" s="3460" t="s">
        <v>315</v>
      </c>
      <c r="B14" s="3461">
        <v>30</v>
      </c>
      <c r="C14" s="3469">
        <v>4</v>
      </c>
      <c r="D14" s="3472">
        <v>6</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60"/>
      <c r="B15" s="3461"/>
      <c r="C15" s="3470"/>
      <c r="D15" s="3472"/>
      <c r="E15" s="259" t="s">
        <v>317</v>
      </c>
      <c r="F15" s="260"/>
      <c r="G15" s="260"/>
      <c r="H15" s="260"/>
      <c r="I15" s="261"/>
      <c r="J15" s="1912"/>
      <c r="K15" s="1911"/>
      <c r="L15" s="1911"/>
      <c r="M15" s="1911"/>
      <c r="N15" s="1911"/>
      <c r="O15" s="1911"/>
      <c r="P15" s="1911"/>
      <c r="Q15" s="1911"/>
      <c r="R15" s="1911"/>
      <c r="S15" s="1911"/>
      <c r="T15" s="1911"/>
      <c r="U15" s="1911"/>
      <c r="V15" s="1911"/>
    </row>
    <row r="16" spans="1:22" ht="14.25">
      <c r="A16" s="3460"/>
      <c r="B16" s="3461"/>
      <c r="C16" s="3471"/>
      <c r="D16" s="3472"/>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4</v>
      </c>
      <c r="D17" s="263">
        <f>SUM(D5:D16)</f>
        <v>6</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0.4</v>
      </c>
      <c r="D18" s="265">
        <f>1-C18</f>
        <v>0.6</v>
      </c>
      <c r="E18" s="3474" t="s">
        <v>2958</v>
      </c>
      <c r="F18" s="3475"/>
      <c r="G18" s="3475"/>
      <c r="H18" s="3475"/>
      <c r="I18" s="3475"/>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63841</v>
      </c>
      <c r="D19" s="269">
        <f ca="1">SUMIF(INDIRECT("'"&amp;D4&amp;"'"&amp;"!A:A"),结果表!B19,INDIRECT("'"&amp;D4&amp;"'"&amp;"!B:B"))</f>
        <v>104078</v>
      </c>
      <c r="E19" s="266" t="s">
        <v>323</v>
      </c>
      <c r="F19" s="267" t="s">
        <v>322</v>
      </c>
      <c r="G19" s="270">
        <f ca="1">ROUND(C19*$C$18+D19*$D$18,0)</f>
        <v>87983</v>
      </c>
      <c r="H19" s="271" t="s">
        <v>324</v>
      </c>
      <c r="I19" s="309"/>
      <c r="J19" s="1911"/>
      <c r="K19" s="3315" t="s">
        <v>3526</v>
      </c>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2324</v>
      </c>
      <c r="D20" s="275">
        <f ca="1">SUMIF(INDIRECT("'"&amp;D4&amp;"'"&amp;"!A:A"),结果表!B20,INDIRECT("'"&amp;D4&amp;"'"&amp;"!B:B"))</f>
        <v>3789</v>
      </c>
      <c r="E20" s="272"/>
      <c r="F20" s="273" t="s">
        <v>325</v>
      </c>
      <c r="G20" s="276">
        <f ca="1">ROUND(C20*$C$18+D20*$D$18,0)</f>
        <v>3203</v>
      </c>
      <c r="H20" s="277" t="s">
        <v>326</v>
      </c>
      <c r="I20" s="309"/>
      <c r="J20" s="1911"/>
      <c r="K20" s="3316">
        <f ca="1">G19/'数据-汇总表'!F31*10000</f>
        <v>4184.2743325589508</v>
      </c>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12164</v>
      </c>
      <c r="D21" s="149">
        <f ca="1">SUMIF(INDIRECT("'"&amp;D4&amp;"'"&amp;"!A:A"),结果表!B21,INDIRECT("'"&amp;D4&amp;"'"&amp;"!B:B"))</f>
        <v>19830</v>
      </c>
      <c r="E21" s="272"/>
      <c r="F21" s="278" t="s">
        <v>327</v>
      </c>
      <c r="G21" s="280">
        <f ca="1">ROUND(C21*$C$18+D21*$D$18,0)</f>
        <v>16764</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0.63026894942121836</v>
      </c>
      <c r="E22" s="282"/>
      <c r="F22" s="283"/>
      <c r="G22" s="284">
        <f ca="1">ROUND(G19/('数据-汇总表'!D3/666.67),0)</f>
        <v>1118</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33"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80"/>
      <c r="B25" s="1274" t="s">
        <v>331</v>
      </c>
      <c r="C25" s="288">
        <f>IF(B30=0,0,C30)</f>
        <v>0</v>
      </c>
      <c r="D25" s="289"/>
      <c r="E25" s="309"/>
      <c r="F25" s="309"/>
      <c r="G25" s="309"/>
      <c r="H25" s="309"/>
      <c r="I25" s="309"/>
      <c r="J25" s="1911"/>
      <c r="K25" s="1208" t="str">
        <f ca="1">项目基本情况!B16&amp;"国有建设用地使用权价格："&amp;O38&amp;"万元"</f>
        <v>出让国有建设用地使用权价格：87983万元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大写金额：人民币捌亿柒仟玖佰捌拾叁万元整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单位面积地价：16763元/平方米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楼面地价：3203元/平方米</v>
      </c>
      <c r="L28" s="1205"/>
      <c r="M28" s="1205"/>
      <c r="N28" s="1205"/>
      <c r="O28" s="1204"/>
      <c r="P28" s="1911"/>
      <c r="V28" s="1911"/>
    </row>
    <row r="29" spans="1:26" ht="18">
      <c r="A29" s="291"/>
      <c r="B29" s="292"/>
      <c r="C29" s="292"/>
      <c r="D29" s="293"/>
      <c r="E29" s="309"/>
      <c r="F29" s="309"/>
      <c r="G29" s="309"/>
      <c r="H29" s="309"/>
      <c r="I29" s="309"/>
      <c r="J29" s="1911"/>
      <c r="K29" s="1211" t="str">
        <f ca="1">IF(OR(项目基本情况!E8="抵押价格",项目基本情况!E8="已注销及未注销"),"抵押价格："&amp;O39&amp;"万元","——")</f>
        <v>抵押价格：87983万元</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str">
        <f ca="1">IF(K29="——","——","大写金额：人民币"&amp;NUMBERSTRING(INT(O39*10000),2)&amp;"元整")</f>
        <v>大写金额：人民币捌亿柒仟玖佰捌拾叁万元整</v>
      </c>
      <c r="L30" s="1205"/>
      <c r="M30" s="1205"/>
      <c r="N30" s="1205"/>
      <c r="O30" s="1204"/>
      <c r="P30" s="1911"/>
      <c r="V30" s="1911"/>
    </row>
    <row r="31" spans="1:26" ht="24" customHeight="1" thickBot="1">
      <c r="A31" s="3476" t="s">
        <v>2960</v>
      </c>
      <c r="B31" s="3476"/>
      <c r="C31" s="3476"/>
      <c r="D31" s="3476"/>
      <c r="E31" s="3476"/>
      <c r="F31" s="3476"/>
      <c r="G31" s="3476"/>
      <c r="H31" s="3476"/>
      <c r="I31" s="3476"/>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1679</v>
      </c>
      <c r="C32" s="264">
        <f ca="1">G19-C24</f>
        <v>87983</v>
      </c>
      <c r="D32" s="3005" t="s">
        <v>1680</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1681</v>
      </c>
      <c r="C33" s="262">
        <f ca="1">ROUND(C32*10000/'数据-汇总表'!E3,0)</f>
        <v>3203</v>
      </c>
      <c r="D33" s="1333" t="s">
        <v>1682</v>
      </c>
      <c r="E33" s="3433" t="s">
        <v>338</v>
      </c>
      <c r="F33" s="294" t="s">
        <v>339</v>
      </c>
      <c r="G33" s="295"/>
      <c r="H33" s="967"/>
      <c r="I33" s="1212"/>
      <c r="J33" s="1911"/>
      <c r="K33" s="1211" t="str">
        <f>IF(项目基本情况!E9="——","——","抵押净值："&amp;C46&amp;"万元")</f>
        <v>——</v>
      </c>
      <c r="L33" s="1205"/>
      <c r="M33" s="1205"/>
      <c r="N33" s="1205"/>
      <c r="O33" s="1204"/>
      <c r="P33" s="1911"/>
      <c r="V33" s="1911"/>
    </row>
    <row r="34" spans="1:26" s="1207" customFormat="1" ht="18.75" thickBot="1">
      <c r="A34" s="298"/>
      <c r="B34" s="1334" t="s">
        <v>1683</v>
      </c>
      <c r="C34" s="262">
        <f ca="1">ROUND(C32*10000/'数据-汇总表'!D3,0)</f>
        <v>16763</v>
      </c>
      <c r="D34" s="1335" t="s">
        <v>1682</v>
      </c>
      <c r="E34" s="3434"/>
      <c r="F34" s="127" t="s">
        <v>341</v>
      </c>
      <c r="G34" s="297"/>
      <c r="H34" s="105"/>
      <c r="I34" s="309"/>
      <c r="J34" s="1911"/>
      <c r="K34" s="1214" t="str">
        <f>IF(K33="——","——","大写金额：人民币"&amp;NUMBERSTRING(INT(O41*10000),2)&amp;"元整")</f>
        <v>——</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1118</v>
      </c>
      <c r="D35" s="1338" t="s">
        <v>1684</v>
      </c>
      <c r="E35" s="3435"/>
      <c r="F35" s="299" t="s">
        <v>342</v>
      </c>
      <c r="G35" s="969"/>
      <c r="H35" s="968" t="s">
        <v>343</v>
      </c>
      <c r="I35" s="309"/>
      <c r="J35" s="1911"/>
      <c r="K35" s="3439" t="s">
        <v>350</v>
      </c>
      <c r="L35" s="3439" t="s">
        <v>351</v>
      </c>
      <c r="M35" s="1217" t="s">
        <v>352</v>
      </c>
      <c r="N35" s="3439" t="s">
        <v>353</v>
      </c>
      <c r="O35" s="3439" t="s">
        <v>354</v>
      </c>
      <c r="P35" s="1911"/>
      <c r="V35" s="1911"/>
    </row>
    <row r="36" spans="1:26" ht="16.5" customHeight="1">
      <c r="A36" s="301" t="s">
        <v>344</v>
      </c>
      <c r="B36" s="302" t="s">
        <v>333</v>
      </c>
      <c r="C36" s="303" t="s">
        <v>345</v>
      </c>
      <c r="D36" s="303" t="s">
        <v>346</v>
      </c>
      <c r="E36" s="304" t="s">
        <v>347</v>
      </c>
      <c r="F36" s="309"/>
      <c r="G36" s="309"/>
      <c r="H36" s="309"/>
      <c r="I36" s="309"/>
      <c r="J36" s="1913"/>
      <c r="K36" s="3440"/>
      <c r="L36" s="3440"/>
      <c r="M36" s="1219" t="s">
        <v>355</v>
      </c>
      <c r="N36" s="3440"/>
      <c r="O36" s="3440"/>
      <c r="P36" s="1911"/>
      <c r="V36" s="1911"/>
    </row>
    <row r="37" spans="1:26" ht="16.5" customHeight="1" thickBot="1">
      <c r="A37" s="1213" t="s">
        <v>348</v>
      </c>
      <c r="B37" s="305"/>
      <c r="C37" s="292"/>
      <c r="D37" s="292"/>
      <c r="E37" s="293"/>
      <c r="F37" s="309"/>
      <c r="G37" s="309"/>
      <c r="H37" s="309"/>
      <c r="I37" s="309"/>
      <c r="J37" s="1913"/>
      <c r="K37" s="3441"/>
      <c r="L37" s="3441"/>
      <c r="M37" s="1220"/>
      <c r="N37" s="3441"/>
      <c r="O37" s="3441"/>
      <c r="P37" s="1911"/>
      <c r="V37" s="1911"/>
    </row>
    <row r="38" spans="1:26" ht="16.5" customHeight="1" thickBot="1">
      <c r="A38" s="1213" t="s">
        <v>349</v>
      </c>
      <c r="B38" s="305"/>
      <c r="C38" s="292"/>
      <c r="D38" s="292"/>
      <c r="E38" s="293"/>
      <c r="F38" s="309"/>
      <c r="G38" s="309"/>
      <c r="H38" s="309"/>
      <c r="I38" s="309"/>
      <c r="J38" s="1913"/>
      <c r="K38" s="1221">
        <f>'数据-汇总表'!D3</f>
        <v>52485.58</v>
      </c>
      <c r="L38" s="1222">
        <f>'数据-汇总表'!E3</f>
        <v>274652.19</v>
      </c>
      <c r="M38" s="1222">
        <f ca="1">C34</f>
        <v>16763</v>
      </c>
      <c r="N38" s="1222">
        <f ca="1">C33</f>
        <v>3203</v>
      </c>
      <c r="O38" s="1223">
        <f ca="1">C32</f>
        <v>87983</v>
      </c>
      <c r="P38" s="1911"/>
      <c r="V38" s="1911"/>
    </row>
    <row r="39" spans="1:26" ht="16.5" customHeight="1" thickBot="1">
      <c r="A39" s="1218"/>
      <c r="B39" s="306"/>
      <c r="C39" s="307"/>
      <c r="D39" s="307"/>
      <c r="E39" s="308"/>
      <c r="F39" s="309"/>
      <c r="G39" s="309"/>
      <c r="H39" s="309"/>
      <c r="I39" s="309"/>
      <c r="J39" s="1913"/>
      <c r="K39" s="3452" t="str">
        <f>MID(A44,3,LEN(A44)-2)</f>
        <v>抵押价格</v>
      </c>
      <c r="L39" s="3453"/>
      <c r="M39" s="3453"/>
      <c r="N39" s="3454"/>
      <c r="O39" s="1340">
        <f ca="1">C44</f>
        <v>87983</v>
      </c>
      <c r="P39" s="1911"/>
      <c r="V39" s="1911"/>
    </row>
    <row r="40" spans="1:26" ht="19.5" thickBot="1">
      <c r="A40" s="104" t="s">
        <v>864</v>
      </c>
      <c r="B40" s="309"/>
      <c r="C40" s="309"/>
      <c r="D40" s="309"/>
      <c r="E40" s="309"/>
      <c r="F40" s="309"/>
      <c r="G40" s="309"/>
      <c r="H40" s="309"/>
      <c r="I40" s="309"/>
      <c r="J40" s="1913"/>
      <c r="K40" s="3452" t="str">
        <f t="shared" ref="K40:K41" si="0">MID(A45,3,LEN(A45)-2)</f>
        <v/>
      </c>
      <c r="L40" s="3453"/>
      <c r="M40" s="3453"/>
      <c r="N40" s="3454"/>
      <c r="O40" s="1340" t="str">
        <f>C45</f>
        <v>——</v>
      </c>
      <c r="P40" s="1911"/>
      <c r="V40" s="1911"/>
    </row>
    <row r="41" spans="1:26" ht="16.5" thickBot="1">
      <c r="A41" s="310" t="s">
        <v>356</v>
      </c>
      <c r="B41" s="311"/>
      <c r="C41" s="312" t="s">
        <v>357</v>
      </c>
      <c r="D41" s="313" t="s">
        <v>358</v>
      </c>
      <c r="E41" s="313" t="s">
        <v>359</v>
      </c>
      <c r="F41" s="314" t="s">
        <v>360</v>
      </c>
      <c r="G41" s="309"/>
      <c r="H41" s="309"/>
      <c r="I41" s="309"/>
      <c r="J41" s="1913"/>
      <c r="K41" s="3452" t="str">
        <f t="shared" si="0"/>
        <v/>
      </c>
      <c r="L41" s="3453"/>
      <c r="M41" s="3453"/>
      <c r="N41" s="3454"/>
      <c r="O41" s="1340" t="str">
        <f>C46</f>
        <v>——</v>
      </c>
      <c r="P41" s="1911"/>
      <c r="V41" s="1911"/>
    </row>
    <row r="42" spans="1:26" ht="29.25">
      <c r="A42" s="3481" t="s">
        <v>2053</v>
      </c>
      <c r="B42" s="3482"/>
      <c r="C42" s="262">
        <f ca="1">C32</f>
        <v>87983</v>
      </c>
      <c r="D42" s="315">
        <f ca="1">C33</f>
        <v>3203</v>
      </c>
      <c r="E42" s="315">
        <f ca="1">C34</f>
        <v>16763</v>
      </c>
      <c r="F42" s="316">
        <f ca="1">C35</f>
        <v>1118</v>
      </c>
      <c r="G42" s="309"/>
      <c r="H42" s="309"/>
      <c r="I42" s="317"/>
      <c r="J42" s="1913"/>
      <c r="K42" s="1224" t="s">
        <v>361</v>
      </c>
      <c r="L42" s="1930" t="s">
        <v>362</v>
      </c>
      <c r="M42" s="1225" t="s">
        <v>363</v>
      </c>
      <c r="N42" s="1931" t="s">
        <v>364</v>
      </c>
      <c r="O42" s="1932" t="s">
        <v>365</v>
      </c>
      <c r="P42" s="1911"/>
      <c r="V42" s="1911"/>
    </row>
    <row r="43" spans="1:26" ht="30">
      <c r="A43" s="3491" t="s">
        <v>2707</v>
      </c>
      <c r="B43" s="3492"/>
      <c r="C43" s="262">
        <f>IF(H33="正常操作",G33+G34+G35,G34+G35)</f>
        <v>0</v>
      </c>
      <c r="D43" s="315" t="s">
        <v>43</v>
      </c>
      <c r="E43" s="315" t="s">
        <v>44</v>
      </c>
      <c r="F43" s="316" t="s">
        <v>44</v>
      </c>
      <c r="G43" s="2583" t="s">
        <v>943</v>
      </c>
      <c r="H43" s="309"/>
      <c r="I43" s="317"/>
      <c r="J43" s="1913"/>
      <c r="K43" s="1226" t="str">
        <f>C4</f>
        <v>比较法-住宅、综合</v>
      </c>
      <c r="L43" s="1227">
        <f ca="1">IF(L42="估价结果/万元",C19,C20)</f>
        <v>63841</v>
      </c>
      <c r="M43" s="1228">
        <f>C18</f>
        <v>0.4</v>
      </c>
      <c r="N43" s="1229">
        <f ca="1">IF(N42="测算结果/万元",G19,G20)</f>
        <v>87983</v>
      </c>
      <c r="O43" s="1230">
        <f ca="1">IF(O42="最终结果/万元",C32,C33)</f>
        <v>87983</v>
      </c>
      <c r="P43" s="1911"/>
      <c r="V43" s="1911"/>
    </row>
    <row r="44" spans="1:26" ht="30.75" thickBot="1">
      <c r="A44" s="3481" t="str">
        <f>IF(OR(项目基本情况!E8="抵押价格",项目基本情况!E8="已注销及未注销"),"3.抵押价格","——")</f>
        <v>3.抵押价格</v>
      </c>
      <c r="B44" s="3482"/>
      <c r="C44" s="262">
        <f ca="1">IF(A44="——","——",C42-C43)</f>
        <v>87983</v>
      </c>
      <c r="D44" s="315">
        <f ca="1">ROUND(C44*10000/'数据-汇总表'!E3,0)</f>
        <v>3203</v>
      </c>
      <c r="E44" s="315">
        <f ca="1">ROUND(C44*10000/'数据-汇总表'!D3,0)</f>
        <v>16763</v>
      </c>
      <c r="F44" s="316">
        <f ca="1">ROUND(C44/('数据-汇总表'!D3/666.67),0)</f>
        <v>1118</v>
      </c>
      <c r="G44" s="309"/>
      <c r="H44" s="309"/>
      <c r="I44" s="317"/>
      <c r="J44" s="1913"/>
      <c r="K44" s="1231" t="str">
        <f>D4</f>
        <v>剩余法-待开发</v>
      </c>
      <c r="L44" s="1232">
        <f ca="1">IF(L42="估价结果/万元",D19,D20)</f>
        <v>104078</v>
      </c>
      <c r="M44" s="1233">
        <f>D18</f>
        <v>0.6</v>
      </c>
      <c r="N44" s="1234"/>
      <c r="O44" s="1235"/>
      <c r="P44" s="1911"/>
      <c r="V44" s="1911"/>
    </row>
    <row r="45" spans="1:26" ht="15">
      <c r="A45" s="3486" t="str">
        <f>IF(项目基本情况!E8="已注销及未注销","4.抵押担保权已注销时的抵押价格",IF(项目基本情况!E8="已注销","3.抵押担保权已注销时的抵押价格","——"))</f>
        <v>——</v>
      </c>
      <c r="B45" s="3487"/>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83" t="str">
        <f>IF(项目基本情况!E9="抵押净值",IF(A45="——","4.抵押净值","5.抵押净值"),"——")</f>
        <v>——</v>
      </c>
      <c r="B46" s="3484"/>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44" t="s">
        <v>374</v>
      </c>
      <c r="B63" s="3445"/>
      <c r="C63" s="3446"/>
      <c r="D63" s="339">
        <f ca="1">ROUND(C42*F63,0)</f>
        <v>87983</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88" t="s">
        <v>378</v>
      </c>
      <c r="B64" s="3489"/>
      <c r="C64" s="3489"/>
      <c r="D64" s="3489"/>
      <c r="E64" s="3489"/>
      <c r="F64" s="3489"/>
      <c r="G64" s="3490"/>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85" t="s">
        <v>386</v>
      </c>
      <c r="B66" s="3451"/>
      <c r="C66" s="3451"/>
      <c r="D66" s="259">
        <f ca="1">IF(H66="情况1",0,IF(H66="情况2",D70,IF(H66="情况3",D71,IF(H66="情况4",D72))))</f>
        <v>4692</v>
      </c>
      <c r="E66" s="980" t="str">
        <f>IF(H66="情况4","(销售额-原购置价)×税（费）率","销售额×税（费）率")</f>
        <v>销售额×税（费）率</v>
      </c>
      <c r="F66" s="348">
        <f>IF(H66="情况1","免征",'数据-取费表'!B41)</f>
        <v>5.6000000000000001E-2</v>
      </c>
      <c r="G66" s="349" t="s">
        <v>387</v>
      </c>
      <c r="H66" s="189" t="s">
        <v>3518</v>
      </c>
      <c r="I66" s="1241"/>
      <c r="J66" s="1917"/>
      <c r="K66" s="1244">
        <v>1</v>
      </c>
      <c r="L66" s="3412" t="s">
        <v>385</v>
      </c>
      <c r="M66" s="3413"/>
      <c r="N66" s="2312"/>
      <c r="O66" s="2313"/>
      <c r="P66" s="2314"/>
      <c r="Q66" s="1911"/>
      <c r="R66" s="1911"/>
      <c r="S66" s="1911"/>
      <c r="T66" s="1911"/>
      <c r="U66" s="1911"/>
      <c r="V66" s="1911"/>
    </row>
    <row r="67" spans="1:22" ht="25.5" customHeight="1">
      <c r="A67" s="350" t="s">
        <v>389</v>
      </c>
      <c r="B67" s="3463" t="s">
        <v>390</v>
      </c>
      <c r="C67" s="3463"/>
      <c r="D67" s="351">
        <v>0</v>
      </c>
      <c r="E67" s="41" t="s">
        <v>391</v>
      </c>
      <c r="F67" s="62" t="s">
        <v>21</v>
      </c>
      <c r="G67" s="3447"/>
      <c r="H67" s="3006" t="s">
        <v>2961</v>
      </c>
      <c r="I67" s="3008"/>
      <c r="J67" s="1918"/>
      <c r="K67" s="1890">
        <v>2</v>
      </c>
      <c r="L67" s="3417" t="s">
        <v>388</v>
      </c>
      <c r="M67" s="3417"/>
      <c r="N67" s="1278">
        <f>'数据-取费表'!B2</f>
        <v>44062</v>
      </c>
      <c r="O67" s="1278"/>
      <c r="P67" s="1278"/>
      <c r="Q67" s="1911"/>
      <c r="R67" s="1911"/>
      <c r="S67" s="1911"/>
      <c r="T67" s="1911"/>
      <c r="U67" s="1911"/>
      <c r="V67" s="1911"/>
    </row>
    <row r="68" spans="1:22" ht="25.5" customHeight="1">
      <c r="A68" s="352"/>
      <c r="B68" s="3463" t="s">
        <v>393</v>
      </c>
      <c r="C68" s="3463"/>
      <c r="D68" s="353"/>
      <c r="E68" s="77"/>
      <c r="F68" s="354"/>
      <c r="G68" s="3448"/>
      <c r="H68" s="3007" t="s">
        <v>2962</v>
      </c>
      <c r="I68" s="3008"/>
      <c r="J68" s="1918"/>
      <c r="K68" s="1890">
        <v>3</v>
      </c>
      <c r="L68" s="3417" t="s">
        <v>392</v>
      </c>
      <c r="M68" s="3417"/>
      <c r="N68" s="1246">
        <f ca="1">C42</f>
        <v>87983</v>
      </c>
      <c r="O68" s="1246"/>
      <c r="P68" s="1246"/>
      <c r="Q68" s="1911"/>
      <c r="R68" s="1911"/>
      <c r="S68" s="1911"/>
      <c r="T68" s="1911"/>
      <c r="U68" s="1911"/>
      <c r="V68" s="1911"/>
    </row>
    <row r="69" spans="1:22" ht="23.45" customHeight="1">
      <c r="A69" s="355"/>
      <c r="B69" s="3463" t="s">
        <v>394</v>
      </c>
      <c r="C69" s="3463"/>
      <c r="D69" s="356"/>
      <c r="E69" s="73"/>
      <c r="F69" s="354"/>
      <c r="G69" s="3449"/>
      <c r="H69" s="3007" t="s">
        <v>2963</v>
      </c>
      <c r="I69" s="3008"/>
      <c r="J69" s="1918"/>
      <c r="K69" s="1247">
        <v>4</v>
      </c>
      <c r="L69" s="3418" t="s">
        <v>2859</v>
      </c>
      <c r="M69" s="3419"/>
      <c r="N69" s="1248">
        <f ca="1">C44</f>
        <v>87983</v>
      </c>
      <c r="O69" s="1248"/>
      <c r="P69" s="1248"/>
      <c r="Q69" s="1911"/>
      <c r="R69" s="1911"/>
      <c r="S69" s="1911"/>
      <c r="T69" s="1911"/>
      <c r="U69" s="1911"/>
      <c r="V69" s="1911"/>
    </row>
    <row r="70" spans="1:22" ht="24" customHeight="1">
      <c r="A70" s="357" t="s">
        <v>395</v>
      </c>
      <c r="B70" s="3463" t="s">
        <v>396</v>
      </c>
      <c r="C70" s="3463"/>
      <c r="D70" s="356">
        <f ca="1">ROUND(D63*'数据-取费表'!B41/(1+'数据-取费表'!C42),0)</f>
        <v>4692</v>
      </c>
      <c r="E70" s="17" t="s">
        <v>397</v>
      </c>
      <c r="F70" s="358">
        <f>'数据-取费表'!B41</f>
        <v>5.6000000000000001E-2</v>
      </c>
      <c r="G70" s="359"/>
      <c r="H70" s="309"/>
      <c r="I70" s="1245"/>
      <c r="J70" s="1918"/>
      <c r="K70" s="2765"/>
      <c r="L70" s="2766"/>
      <c r="M70" s="2766"/>
      <c r="N70" s="2767" t="s">
        <v>2863</v>
      </c>
      <c r="O70" s="2766"/>
      <c r="P70" s="2768"/>
      <c r="Q70" s="1911"/>
      <c r="R70" s="1911"/>
      <c r="S70" s="1911"/>
      <c r="T70" s="1911"/>
      <c r="U70" s="1911"/>
      <c r="V70" s="1911"/>
    </row>
    <row r="71" spans="1:22" ht="12" customHeight="1">
      <c r="A71" s="357" t="s">
        <v>403</v>
      </c>
      <c r="B71" s="3462" t="s">
        <v>2993</v>
      </c>
      <c r="C71" s="3479"/>
      <c r="D71" s="356">
        <f ca="1">ROUND(D63*'数据-取费表'!B41/(1+'数据-取费表'!C42),0)</f>
        <v>4692</v>
      </c>
      <c r="E71" s="17" t="s">
        <v>397</v>
      </c>
      <c r="F71" s="358">
        <f>'数据-取费表'!B41</f>
        <v>5.6000000000000001E-2</v>
      </c>
      <c r="G71" s="359"/>
      <c r="H71" s="309"/>
      <c r="I71" s="1245"/>
      <c r="J71" s="1918"/>
      <c r="K71" s="2764" t="s">
        <v>398</v>
      </c>
      <c r="L71" s="3420" t="s">
        <v>399</v>
      </c>
      <c r="M71" s="3420"/>
      <c r="N71" s="2764" t="s">
        <v>400</v>
      </c>
      <c r="O71" s="2764" t="s">
        <v>401</v>
      </c>
      <c r="P71" s="2764" t="s">
        <v>402</v>
      </c>
      <c r="Q71" s="1911"/>
      <c r="R71" s="1911"/>
      <c r="S71" s="1911"/>
      <c r="T71" s="1911"/>
      <c r="U71" s="1911"/>
      <c r="V71" s="1911"/>
    </row>
    <row r="72" spans="1:22" ht="12" customHeight="1">
      <c r="A72" s="357" t="s">
        <v>405</v>
      </c>
      <c r="B72" s="3462" t="s">
        <v>2994</v>
      </c>
      <c r="C72" s="3479"/>
      <c r="D72" s="356">
        <f ca="1">C86</f>
        <v>4692</v>
      </c>
      <c r="E72" s="73" t="s">
        <v>406</v>
      </c>
      <c r="F72" s="358">
        <f>'数据-取费表'!B41</f>
        <v>5.6000000000000001E-2</v>
      </c>
      <c r="G72" s="359"/>
      <c r="H72" s="1251"/>
      <c r="I72" s="1245"/>
      <c r="J72" s="1918"/>
      <c r="K72" s="1890">
        <v>1</v>
      </c>
      <c r="L72" s="3416" t="s">
        <v>404</v>
      </c>
      <c r="M72" s="3416"/>
      <c r="N72" s="1249">
        <f ca="1">D66</f>
        <v>4692</v>
      </c>
      <c r="O72" s="1773" t="str">
        <f>E66</f>
        <v>销售额×税（费）率</v>
      </c>
      <c r="P72" s="1250">
        <f>F66</f>
        <v>5.6000000000000001E-2</v>
      </c>
      <c r="Q72" s="1911"/>
      <c r="R72" s="1911"/>
      <c r="S72" s="1911"/>
      <c r="T72" s="1911"/>
      <c r="U72" s="1911"/>
      <c r="V72" s="1911"/>
    </row>
    <row r="73" spans="1:22" ht="24" customHeight="1">
      <c r="A73" s="3450" t="s">
        <v>408</v>
      </c>
      <c r="B73" s="3451"/>
      <c r="C73" s="3451"/>
      <c r="D73" s="360">
        <f ca="1">IF(H73="个人住宅",0,ROUND(D63*I73,0))</f>
        <v>44</v>
      </c>
      <c r="E73" s="17" t="s">
        <v>409</v>
      </c>
      <c r="F73" s="358">
        <f>IF(H73="正常",I73,"免征")</f>
        <v>5.0000000000000001E-4</v>
      </c>
      <c r="G73" s="359"/>
      <c r="H73" s="189" t="s">
        <v>3037</v>
      </c>
      <c r="I73" s="358">
        <f>'数据-取费表'!B49</f>
        <v>5.0000000000000001E-4</v>
      </c>
      <c r="J73" s="1918"/>
      <c r="K73" s="1890">
        <v>2</v>
      </c>
      <c r="L73" s="3416" t="s">
        <v>407</v>
      </c>
      <c r="M73" s="3416"/>
      <c r="N73" s="1249">
        <f t="shared" ref="N73:P74" ca="1" si="1">D73</f>
        <v>44</v>
      </c>
      <c r="O73" s="1773" t="str">
        <f t="shared" si="1"/>
        <v>销售额×税（费）率</v>
      </c>
      <c r="P73" s="1250">
        <f t="shared" si="1"/>
        <v>5.0000000000000001E-4</v>
      </c>
      <c r="Q73" s="1911"/>
      <c r="R73" s="1911"/>
      <c r="S73" s="1911"/>
      <c r="T73" s="1911"/>
      <c r="U73" s="1911"/>
      <c r="V73" s="1911"/>
    </row>
    <row r="74" spans="1:22" ht="24.75">
      <c r="A74" s="3450" t="s">
        <v>411</v>
      </c>
      <c r="B74" s="3451"/>
      <c r="C74" s="3451"/>
      <c r="D74" s="360">
        <f ca="1">IF(H74="个人住宅",D75,D76)</f>
        <v>49798</v>
      </c>
      <c r="E74" s="17" t="s">
        <v>412</v>
      </c>
      <c r="F74" s="358" t="str">
        <f>IF(H74="正常",F76,"免征")</f>
        <v>——</v>
      </c>
      <c r="G74" s="970" t="s">
        <v>413</v>
      </c>
      <c r="H74" s="361" t="s">
        <v>3037</v>
      </c>
      <c r="I74" s="42"/>
      <c r="J74" s="1918"/>
      <c r="K74" s="1890">
        <v>3</v>
      </c>
      <c r="L74" s="3416" t="s">
        <v>410</v>
      </c>
      <c r="M74" s="3416"/>
      <c r="N74" s="1249">
        <f t="shared" ca="1" si="1"/>
        <v>49798</v>
      </c>
      <c r="O74" s="1773" t="str">
        <f t="shared" si="1"/>
        <v>增值额×税（费）率</v>
      </c>
      <c r="P74" s="1252" t="str">
        <f t="shared" si="1"/>
        <v>——</v>
      </c>
      <c r="Q74" s="1911"/>
      <c r="R74" s="1911"/>
      <c r="S74" s="1911"/>
      <c r="T74" s="1911"/>
      <c r="U74" s="1911"/>
      <c r="V74" s="1911"/>
    </row>
    <row r="75" spans="1:22" ht="12.75">
      <c r="A75" s="357" t="s">
        <v>414</v>
      </c>
      <c r="B75" s="3431" t="s">
        <v>415</v>
      </c>
      <c r="C75" s="3432"/>
      <c r="D75" s="362">
        <v>0</v>
      </c>
      <c r="E75" s="41" t="s">
        <v>416</v>
      </c>
      <c r="F75" s="363"/>
      <c r="G75" s="359"/>
      <c r="H75" s="42"/>
      <c r="I75" s="42"/>
      <c r="J75" s="1918"/>
      <c r="K75" s="2758" t="str">
        <f>IF(H77="非个人房产","",4)</f>
        <v/>
      </c>
      <c r="L75" s="3416" t="str">
        <f>IF(H77="非个人房产","——","个人所得税")</f>
        <v>——</v>
      </c>
      <c r="M75" s="3416"/>
      <c r="N75" s="1253" t="str">
        <f>D77</f>
        <v>——</v>
      </c>
      <c r="O75" s="1786" t="str">
        <f>E77</f>
        <v>——</v>
      </c>
      <c r="P75" s="1254" t="str">
        <f>F77</f>
        <v>——</v>
      </c>
      <c r="Q75" s="1911"/>
      <c r="R75" s="1911"/>
      <c r="S75" s="1911"/>
      <c r="T75" s="1911"/>
      <c r="U75" s="1911"/>
      <c r="V75" s="1911"/>
    </row>
    <row r="76" spans="1:22" ht="24.75">
      <c r="A76" s="357" t="s">
        <v>395</v>
      </c>
      <c r="B76" s="3431" t="s">
        <v>418</v>
      </c>
      <c r="C76" s="3473"/>
      <c r="D76" s="360">
        <f ca="1">IF(H76="转让取得",C99,C115)</f>
        <v>49798</v>
      </c>
      <c r="E76" s="17" t="s">
        <v>419</v>
      </c>
      <c r="F76" s="53" t="s">
        <v>21</v>
      </c>
      <c r="G76" s="359"/>
      <c r="H76" s="361" t="s">
        <v>3519</v>
      </c>
      <c r="I76" s="42"/>
      <c r="J76" s="1918"/>
      <c r="K76" s="2758" t="str">
        <f>IF(项目基本情况!K6="上海银行",IF(K75="",4,K75+1),"")</f>
        <v/>
      </c>
      <c r="L76" s="3427" t="str">
        <f>IF(项目基本情况!K6="上海银行","其他处置费用","")</f>
        <v/>
      </c>
      <c r="M76" s="3428"/>
      <c r="N76" s="1249" t="str">
        <f>IF(项目基本情况!K6="上海银行",N89,"")</f>
        <v/>
      </c>
      <c r="O76" s="3429" t="str">
        <f>IF(项目基本情况!K6="上海银行","包含处置中涉及的律师、诉讼、拍卖、评估等费用","")</f>
        <v/>
      </c>
      <c r="P76" s="3430"/>
      <c r="Q76" s="1911"/>
      <c r="R76" s="1911"/>
      <c r="S76" s="1911"/>
      <c r="T76" s="1911"/>
      <c r="U76" s="1911"/>
      <c r="V76" s="1911"/>
    </row>
    <row r="77" spans="1:22" ht="24.75" thickBot="1">
      <c r="A77" s="3442" t="s">
        <v>421</v>
      </c>
      <c r="B77" s="3443"/>
      <c r="C77" s="3443"/>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413</v>
      </c>
      <c r="H77" s="3010" t="s">
        <v>3520</v>
      </c>
      <c r="I77" s="3009" t="s">
        <v>2964</v>
      </c>
      <c r="J77" s="1918"/>
      <c r="K77" s="3438">
        <f>IF(AND(K75="",K76=""),4,IF(项目基本情况!K6="上海银行",K76+1,K75+1))</f>
        <v>4</v>
      </c>
      <c r="L77" s="3416" t="s">
        <v>2860</v>
      </c>
      <c r="M77" s="2763" t="s">
        <v>417</v>
      </c>
      <c r="N77" s="1255"/>
      <c r="O77" s="1256">
        <f ca="1">SUMIF(N72:N76,"&lt;9e307")</f>
        <v>54534</v>
      </c>
      <c r="P77" s="1257"/>
      <c r="Q77" s="2761">
        <f ca="1">O77/N69</f>
        <v>0.61982428423672753</v>
      </c>
      <c r="R77" s="1911"/>
      <c r="S77" s="1911"/>
      <c r="T77" s="1911"/>
      <c r="U77" s="1911"/>
      <c r="V77" s="1911"/>
    </row>
    <row r="78" spans="1:22" ht="12" customHeight="1">
      <c r="A78" s="1258"/>
      <c r="B78" s="309"/>
      <c r="C78" s="309"/>
      <c r="D78" s="309"/>
      <c r="E78" s="42"/>
      <c r="F78" s="42"/>
      <c r="G78" s="42"/>
      <c r="H78" s="990"/>
      <c r="I78" s="309"/>
      <c r="J78" s="1918"/>
      <c r="K78" s="3438"/>
      <c r="L78" s="3416"/>
      <c r="M78" s="2763" t="s">
        <v>420</v>
      </c>
      <c r="N78" s="1255"/>
      <c r="O78" s="1256" t="str">
        <f ca="1">NUMBERSTRING(INT(O77*10000),2)&amp;"元整"</f>
        <v>伍亿肆仟伍佰叁拾肆万元整</v>
      </c>
      <c r="P78" s="1257"/>
      <c r="Q78" s="1911"/>
      <c r="R78" s="1911"/>
      <c r="S78" s="1911"/>
      <c r="T78" s="1911"/>
      <c r="U78" s="1911"/>
      <c r="V78" s="1911"/>
    </row>
    <row r="79" spans="1:22" ht="13.5" thickBot="1">
      <c r="A79" s="3493" t="s">
        <v>422</v>
      </c>
      <c r="B79" s="3493"/>
      <c r="C79" s="3493"/>
      <c r="D79" s="3493"/>
      <c r="E79" s="3493"/>
      <c r="F79" s="42"/>
      <c r="G79" s="42"/>
      <c r="H79" s="990"/>
      <c r="I79" s="309"/>
      <c r="J79" s="1918"/>
      <c r="K79" s="3414">
        <f>K77+1</f>
        <v>5</v>
      </c>
      <c r="L79" s="3416" t="s">
        <v>2861</v>
      </c>
      <c r="M79" s="2763" t="s">
        <v>417</v>
      </c>
      <c r="N79" s="1255"/>
      <c r="O79" s="1256">
        <f ca="1">N69-O77</f>
        <v>33449</v>
      </c>
      <c r="P79" s="1257"/>
      <c r="Q79" s="1911"/>
      <c r="R79" s="1911"/>
      <c r="S79" s="1911"/>
      <c r="T79" s="1911"/>
      <c r="U79" s="1911"/>
      <c r="V79" s="1911"/>
    </row>
    <row r="80" spans="1:22" ht="25.5">
      <c r="A80" s="3424" t="s">
        <v>423</v>
      </c>
      <c r="B80" s="3425"/>
      <c r="C80" s="981"/>
      <c r="D80" s="981" t="s">
        <v>424</v>
      </c>
      <c r="E80" s="364" t="s">
        <v>425</v>
      </c>
      <c r="F80" s="42"/>
      <c r="G80" s="42"/>
      <c r="H80" s="990"/>
      <c r="I80" s="309"/>
      <c r="J80" s="1911"/>
      <c r="K80" s="3415"/>
      <c r="L80" s="3416"/>
      <c r="M80" s="2763" t="s">
        <v>420</v>
      </c>
      <c r="N80" s="1255"/>
      <c r="O80" s="1256" t="str">
        <f ca="1">NUMBERSTRING(INT(O79*10000),2)&amp;"元整"</f>
        <v>叁亿叁仟肆佰肆拾玖万元整</v>
      </c>
      <c r="P80" s="1257"/>
      <c r="Q80" s="1911"/>
      <c r="R80" s="1911"/>
      <c r="S80" s="1911"/>
      <c r="T80" s="1911"/>
      <c r="U80" s="1911"/>
      <c r="V80" s="1911"/>
    </row>
    <row r="81" spans="1:26" ht="13.5" thickBot="1">
      <c r="A81" s="375" t="s">
        <v>1814</v>
      </c>
      <c r="B81" s="365" t="s">
        <v>426</v>
      </c>
      <c r="C81" s="366">
        <f ca="1">ROUND((C82+C83)/(1+'数据-取费表'!C42),0)</f>
        <v>83793</v>
      </c>
      <c r="D81" s="367"/>
      <c r="E81" s="368"/>
      <c r="F81" s="42"/>
      <c r="G81" s="42"/>
      <c r="H81" s="990"/>
      <c r="I81" s="309"/>
      <c r="J81" s="1911"/>
      <c r="K81" s="2758">
        <f>K79+1</f>
        <v>6</v>
      </c>
      <c r="L81" s="3436" t="s">
        <v>2862</v>
      </c>
      <c r="M81" s="3437"/>
      <c r="N81" s="1259"/>
      <c r="O81" s="1260">
        <f ca="1">ROUND(O79*10000/'数据-汇总表'!E3,0)</f>
        <v>1218</v>
      </c>
      <c r="P81" s="1261"/>
      <c r="Q81" s="1911"/>
      <c r="R81" s="1911"/>
      <c r="S81" s="1911"/>
      <c r="T81" s="1911"/>
      <c r="U81" s="1911"/>
      <c r="V81" s="1911"/>
    </row>
    <row r="82" spans="1:26" ht="13.5" thickTop="1">
      <c r="A82" s="369" t="s">
        <v>1815</v>
      </c>
      <c r="B82" s="370" t="s">
        <v>427</v>
      </c>
      <c r="C82" s="371">
        <f ca="1">D63</f>
        <v>87983</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0"/>
      <c r="I83" s="309"/>
      <c r="J83" s="1911"/>
      <c r="K83" s="3426" t="s">
        <v>2850</v>
      </c>
      <c r="L83" s="2769" t="s">
        <v>2851</v>
      </c>
      <c r="M83" s="2759">
        <f ca="1">IF(N69&gt;10000,N69*0.5%,IF(AND(N69&gt;1000,N69&lt;=10000),N69*1%,IF(AND(N69&gt;100,N69&lt;=1000),N69*3%,IF(AND(N69&gt;10,N69&lt;=100),N69*5%,N69*8%))))</f>
        <v>439.91500000000002</v>
      </c>
      <c r="N83" s="53">
        <f ca="1">ROUND(M83,1)</f>
        <v>439.9</v>
      </c>
      <c r="O83" s="2762"/>
      <c r="P83" s="1911"/>
      <c r="Q83" s="1911"/>
      <c r="R83" s="1911"/>
      <c r="S83" s="1911"/>
      <c r="T83" s="1911"/>
      <c r="U83" s="1911"/>
      <c r="V83" s="1911"/>
    </row>
    <row r="84" spans="1:26" ht="12.75">
      <c r="A84" s="375" t="s">
        <v>1817</v>
      </c>
      <c r="B84" s="376" t="s">
        <v>429</v>
      </c>
      <c r="C84" s="377"/>
      <c r="D84" s="378" t="s">
        <v>19</v>
      </c>
      <c r="E84" s="2787" t="s">
        <v>2901</v>
      </c>
      <c r="F84" s="42"/>
      <c r="G84" s="42"/>
      <c r="H84" s="990"/>
      <c r="I84" s="309"/>
      <c r="J84" s="1911"/>
      <c r="K84" s="3426"/>
      <c r="L84" s="2769" t="s">
        <v>2852</v>
      </c>
      <c r="M84" s="2759">
        <f ca="1">IF(N69&gt;2000,N69*0.5%,IF(AND(N69&gt;1000,N69&lt;=2000),N69*0.6%,IF(AND(N69&gt;500,N69&lt;=1000),N69*0.7%,IF(AND(N69&gt;200,N69&lt;=500),N69*0.8%,IF(AND(N69&gt;100,N69&lt;=200),N69*0.9%,IF(AND(N69&gt;50,N69&lt;=100),N69*1%,IF(AND(N69&gt;20,N69&lt;=50),N69*1.5%,IF(AND(N69&gt;10,N69&lt;=20),N69*2%,IF(AND(N69&gt;1,N69&lt;=10),N69*2.5%)))))))))</f>
        <v>439.91500000000002</v>
      </c>
      <c r="N84" s="53">
        <f t="shared" ref="N84:N85" ca="1" si="2">ROUND(M84,1)</f>
        <v>439.9</v>
      </c>
      <c r="O84" s="1911" t="s">
        <v>2853</v>
      </c>
      <c r="P84" s="1911"/>
      <c r="Q84" s="1911"/>
      <c r="R84" s="1911"/>
      <c r="S84" s="1911"/>
      <c r="T84" s="1911"/>
      <c r="U84" s="1911"/>
      <c r="V84" s="1911"/>
    </row>
    <row r="85" spans="1:26" ht="12.75">
      <c r="A85" s="375" t="s">
        <v>1818</v>
      </c>
      <c r="B85" s="376" t="s">
        <v>430</v>
      </c>
      <c r="C85" s="379">
        <f ca="1">C81-C84</f>
        <v>83793</v>
      </c>
      <c r="D85" s="372" t="s">
        <v>19</v>
      </c>
      <c r="E85" s="373"/>
      <c r="F85" s="42"/>
      <c r="G85" s="42"/>
      <c r="H85" s="990"/>
      <c r="I85" s="309"/>
      <c r="J85" s="1911"/>
      <c r="K85" s="3426"/>
      <c r="L85" s="2769" t="s">
        <v>2854</v>
      </c>
      <c r="M85" s="2759">
        <f ca="1">IF(N69&gt;1000,N69*0.1%,IF(AND(N69&gt;500,N69&lt;=1000),N69*0.5%,IF(AND(N69&gt;50,N69&lt;=500),N69*1%,IF(AND(N69&gt;1,N69&lt;=50),N69*1.5%))))</f>
        <v>87.983000000000004</v>
      </c>
      <c r="N85" s="53">
        <f t="shared" ca="1" si="2"/>
        <v>88</v>
      </c>
      <c r="O85" s="1911" t="s">
        <v>2853</v>
      </c>
      <c r="P85" s="1911"/>
      <c r="Q85" s="1911"/>
      <c r="R85" s="1911"/>
      <c r="S85" s="1911"/>
      <c r="T85" s="1911"/>
      <c r="U85" s="1911"/>
      <c r="V85" s="1911"/>
    </row>
    <row r="86" spans="1:26" ht="13.5" thickBot="1">
      <c r="A86" s="380" t="s">
        <v>1819</v>
      </c>
      <c r="B86" s="381" t="s">
        <v>431</v>
      </c>
      <c r="C86" s="382">
        <f ca="1">IF(C85&lt;=0,0,ROUND(C85*D86,0))</f>
        <v>4692</v>
      </c>
      <c r="D86" s="383">
        <f>'数据-取费表'!B41</f>
        <v>5.6000000000000001E-2</v>
      </c>
      <c r="E86" s="384"/>
      <c r="F86" s="42"/>
      <c r="G86" s="42"/>
      <c r="H86" s="990"/>
      <c r="I86" s="309"/>
      <c r="J86" s="1911"/>
      <c r="K86" s="3426"/>
      <c r="L86" s="2769" t="s">
        <v>2855</v>
      </c>
      <c r="M86" s="2759">
        <f ca="1">N69*0.5%</f>
        <v>439.91500000000002</v>
      </c>
      <c r="N86" s="53">
        <f ca="1">IF(M86&gt;0.5,0.5,ROUND(M86,0))</f>
        <v>0.5</v>
      </c>
      <c r="O86" s="1911" t="s">
        <v>2856</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26"/>
      <c r="L87" s="2769" t="s">
        <v>2857</v>
      </c>
      <c r="M87" s="2759">
        <f ca="1">IF(N69&gt;=10000,(8.25+(N69-10000)*0.01%),IF(AND(N69&gt;=8000,N69&lt;10000),(7.85+(N69-8000)*0.02%),IF(AND(N69&gt;=5000,N69&lt;8000),(6.65+(N69-5000)*0.04%),IF(AND(N69&gt;=2000,N69&lt;5000),(4.25+(PN69-2000)*0.08%),IF(AND(N69&gt;=1000,N69&lt;2000),(2.75+(N69-1000)*0.15%),IF(AND(N69&gt;=100,N69&lt;1000),(0.5+(N69-100)*0.25%),IF(AND(N69&gt;0,N69&lt;100),N69*0.5%)))))))</f>
        <v>16.048300000000001</v>
      </c>
      <c r="N87" s="53">
        <f ca="1">ROUND(M87*0.9,1)</f>
        <v>14.4</v>
      </c>
      <c r="O87" s="2762"/>
      <c r="P87" s="1911"/>
      <c r="Q87" s="1911"/>
      <c r="R87" s="1911"/>
      <c r="S87" s="1911"/>
      <c r="T87" s="1911"/>
      <c r="U87" s="1911"/>
      <c r="V87" s="1911"/>
      <c r="W87" s="290"/>
      <c r="X87" s="290"/>
      <c r="Y87" s="290"/>
      <c r="Z87" s="290"/>
    </row>
    <row r="88" spans="1:26" s="1267" customFormat="1" ht="15" thickBot="1">
      <c r="A88" s="3465" t="s">
        <v>432</v>
      </c>
      <c r="B88" s="3466"/>
      <c r="C88" s="3466"/>
      <c r="D88" s="3466"/>
      <c r="E88" s="3466"/>
      <c r="F88" s="3466"/>
      <c r="G88" s="3466"/>
      <c r="H88" s="3466"/>
      <c r="I88" s="1268"/>
      <c r="J88" s="1919"/>
      <c r="K88" s="3426"/>
      <c r="L88" s="2769" t="s">
        <v>2858</v>
      </c>
      <c r="M88" s="2759">
        <f ca="1">IF(N69&gt;10000,N69*0.5%,IF(AND(N69&gt;5000,N69&lt;=10000),N69*1%,IF(AND(N69&gt;1000,N69&lt;=5000),N69*2%,IF(AND(N69&gt;200,N69&lt;=1000),N69*3%,N69*5%))))</f>
        <v>439.91500000000002</v>
      </c>
      <c r="N88" s="53">
        <f ca="1">ROUND(M88,1)</f>
        <v>439.9</v>
      </c>
      <c r="O88" s="2762"/>
      <c r="P88" s="1916"/>
      <c r="Q88" s="1916"/>
      <c r="R88" s="1916"/>
      <c r="S88" s="1916"/>
      <c r="T88" s="1916"/>
      <c r="U88" s="1916"/>
      <c r="V88" s="1916"/>
      <c r="W88" s="1920"/>
      <c r="X88" s="1920"/>
      <c r="Y88" s="1920"/>
      <c r="Z88" s="1920"/>
    </row>
    <row r="89" spans="1:26" s="1267" customFormat="1" ht="14.25">
      <c r="A89" s="3424" t="s">
        <v>423</v>
      </c>
      <c r="B89" s="3425"/>
      <c r="C89" s="981"/>
      <c r="D89" s="981" t="s">
        <v>424</v>
      </c>
      <c r="E89" s="385" t="s">
        <v>433</v>
      </c>
      <c r="F89" s="386"/>
      <c r="G89" s="386"/>
      <c r="H89" s="387"/>
      <c r="I89" s="1269"/>
      <c r="J89" s="1921"/>
      <c r="K89" s="3426"/>
      <c r="L89" s="2769" t="s">
        <v>27</v>
      </c>
      <c r="M89" s="2760"/>
      <c r="N89" s="53">
        <f ca="1">ROUND(SUM(N83:N88),0)</f>
        <v>1423</v>
      </c>
      <c r="O89" s="2770">
        <f ca="1">N89/N69</f>
        <v>1.6173578986849731E-2</v>
      </c>
      <c r="P89" s="1916"/>
      <c r="Q89" s="1916"/>
      <c r="R89" s="1916"/>
      <c r="S89" s="1916"/>
      <c r="T89" s="1916"/>
      <c r="U89" s="1916"/>
      <c r="V89" s="1916"/>
      <c r="W89" s="1920"/>
      <c r="X89" s="1920"/>
      <c r="Y89" s="1920"/>
      <c r="Z89" s="1920"/>
    </row>
    <row r="90" spans="1:26" s="1267" customFormat="1" ht="14.25">
      <c r="A90" s="375" t="s">
        <v>1814</v>
      </c>
      <c r="B90" s="376" t="s">
        <v>434</v>
      </c>
      <c r="C90" s="379">
        <f ca="1">ROUND(D63/(1+'数据-取费表'!C42),0)</f>
        <v>83793</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1820</v>
      </c>
      <c r="B91" s="346" t="s">
        <v>435</v>
      </c>
      <c r="C91" s="379">
        <f ca="1">C92+C96</f>
        <v>503</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1823</v>
      </c>
      <c r="B94" s="394" t="s">
        <v>440</v>
      </c>
      <c r="C94" s="372">
        <f>IF(F93="购房发票",ROUND(C93*H93*5%,0),0)</f>
        <v>0</v>
      </c>
      <c r="D94" s="395">
        <v>0.05</v>
      </c>
      <c r="E94" s="3462" t="s">
        <v>441</v>
      </c>
      <c r="F94" s="3463"/>
      <c r="G94" s="3463"/>
      <c r="H94" s="3464"/>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1824</v>
      </c>
      <c r="B95" s="370" t="s">
        <v>442</v>
      </c>
      <c r="C95" s="372">
        <f>ROUND(IF(G95="个人买卖住房",0,IF(G95="2016年5月1日前购买",C93*D95,C93*D95/(1+'数据-取费表'!C42))),0)</f>
        <v>0</v>
      </c>
      <c r="D95" s="396">
        <f>'数据-取费表'!B48+'数据-取费表'!B49</f>
        <v>4.0500000000000001E-2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1825</v>
      </c>
      <c r="B96" s="370" t="s">
        <v>444</v>
      </c>
      <c r="C96" s="399">
        <f ca="1">ROUND(D63*D96/(1+'数据-取费表'!C42),0)</f>
        <v>503</v>
      </c>
      <c r="D96" s="400">
        <f>'数据-取费表'!B43</f>
        <v>6.000000000000001E-3</v>
      </c>
      <c r="E96" s="3421" t="s">
        <v>2410</v>
      </c>
      <c r="F96" s="3422"/>
      <c r="G96" s="3422"/>
      <c r="H96" s="3423"/>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6" t="s">
        <v>445</v>
      </c>
      <c r="C97" s="379">
        <f ca="1">C90-C91</f>
        <v>83290</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6" t="s">
        <v>446</v>
      </c>
      <c r="C98" s="401">
        <f ca="1">IF(C97&lt;=0,0,C97/C91)</f>
        <v>165.58648111332008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1" t="s">
        <v>447</v>
      </c>
      <c r="C99" s="402">
        <f ca="1">ROUND(IF(C97&lt;=0,0,IF(C98&gt;=200%,C97*60%-C91*35%,IF(C98&gt;=100%,C97*50%-C91*15%,IF(C98&gt;=50%,C97*40%-C91*5%,IF(C98&lt;50%,C97*30%,0))))),0)</f>
        <v>49798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65" t="s">
        <v>448</v>
      </c>
      <c r="B101" s="3466"/>
      <c r="C101" s="3466"/>
      <c r="D101" s="3466"/>
      <c r="E101" s="3466"/>
      <c r="F101" s="3466"/>
      <c r="G101" s="3466"/>
      <c r="H101" s="3466"/>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24" t="s">
        <v>423</v>
      </c>
      <c r="B102" s="3425"/>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1814</v>
      </c>
      <c r="B103" s="376" t="s">
        <v>434</v>
      </c>
      <c r="C103" s="379">
        <f ca="1">ROUND(D63/(1+'数据-取费表'!C42),0)</f>
        <v>83793</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1820</v>
      </c>
      <c r="B104" s="346" t="s">
        <v>435</v>
      </c>
      <c r="C104" s="379">
        <f ca="1">IF(H106="仅含出让金",C105+C108+C109+C110+C111+C112,C105+C109+C110+C111+C112)</f>
        <v>503</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1821</v>
      </c>
      <c r="B105" s="370" t="s">
        <v>449</v>
      </c>
      <c r="C105" s="399">
        <f>C106+C107</f>
        <v>0</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1822</v>
      </c>
      <c r="B106" s="370" t="s">
        <v>450</v>
      </c>
      <c r="C106" s="410"/>
      <c r="D106" s="400"/>
      <c r="E106" s="411" t="s">
        <v>451</v>
      </c>
      <c r="F106" s="973"/>
      <c r="G106" s="412" t="s">
        <v>452</v>
      </c>
      <c r="H106" s="413" t="s">
        <v>3517</v>
      </c>
      <c r="I106" s="11"/>
      <c r="J106" s="1916"/>
      <c r="K106" s="3244" t="s">
        <v>2986</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1823</v>
      </c>
      <c r="B107" s="370" t="s">
        <v>442</v>
      </c>
      <c r="C107" s="399">
        <f>ROUND(C106*D107,0)</f>
        <v>0</v>
      </c>
      <c r="D107" s="400">
        <f>'数据-取费表'!B48+'数据-取费表'!B49</f>
        <v>4.0500000000000001E-2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1825</v>
      </c>
      <c r="B108" s="370" t="s">
        <v>454</v>
      </c>
      <c r="C108" s="410"/>
      <c r="D108" s="400"/>
      <c r="E108" s="411" t="str">
        <f>IF(H106="-","土地取得成本中已包含该笔费用"," ")</f>
        <v xml:space="preserve"> </v>
      </c>
      <c r="F108" s="973"/>
      <c r="G108" s="3477" t="s">
        <v>2955</v>
      </c>
      <c r="H108" s="3478"/>
      <c r="I108" s="2859"/>
      <c r="J108" s="1916"/>
      <c r="K108" s="3244" t="s">
        <v>2987</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70" t="s">
        <v>455</v>
      </c>
      <c r="C109" s="399">
        <f>IF(H109="——",IF(F1="现房",'剩余法-现房'!C18,0),I109)</f>
        <v>0</v>
      </c>
      <c r="D109" s="400"/>
      <c r="E109" s="3455" t="s">
        <v>456</v>
      </c>
      <c r="F109" s="3422"/>
      <c r="G109" s="3422"/>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70" t="s">
        <v>457</v>
      </c>
      <c r="C110" s="399">
        <f>ROUND((C105+C108+C109)*D110,0)</f>
        <v>0</v>
      </c>
      <c r="D110" s="3275">
        <v>0</v>
      </c>
      <c r="E110" s="3455" t="s">
        <v>458</v>
      </c>
      <c r="F110" s="3422"/>
      <c r="G110" s="3422"/>
      <c r="H110" s="3423"/>
      <c r="I110" s="11"/>
      <c r="J110" s="1916"/>
      <c r="K110" s="3245" t="s">
        <v>2988</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70" t="s">
        <v>444</v>
      </c>
      <c r="C111" s="399">
        <f ca="1">ROUND(D63*D111/(1+'数据-取费表'!C42),0)</f>
        <v>503</v>
      </c>
      <c r="D111" s="400">
        <f>'数据-取费表'!B43</f>
        <v>6.000000000000001E-3</v>
      </c>
      <c r="E111" s="3421" t="s">
        <v>2410</v>
      </c>
      <c r="F111" s="3422"/>
      <c r="G111" s="3422"/>
      <c r="H111" s="3423"/>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70" t="s">
        <v>459</v>
      </c>
      <c r="C112" s="399">
        <f>ROUND(C108*D112,0)</f>
        <v>0</v>
      </c>
      <c r="D112" s="400">
        <v>0.2</v>
      </c>
      <c r="E112" s="3455" t="s">
        <v>2433</v>
      </c>
      <c r="F112" s="3422"/>
      <c r="G112" s="3422"/>
      <c r="H112" s="3423"/>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6" t="s">
        <v>445</v>
      </c>
      <c r="C113" s="379">
        <f ca="1">ROUND(C103-C104,0)</f>
        <v>83290</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6" t="s">
        <v>446</v>
      </c>
      <c r="C114" s="401">
        <f ca="1">IF(C113&lt;=0,0,C113/C104)</f>
        <v>165.58648111332008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1" t="s">
        <v>447</v>
      </c>
      <c r="C115" s="402">
        <f ca="1">ROUND(IF(C113&lt;=0,0,IF(C114&gt;=200%,C113*60%-C104*35%,IF(C114&gt;=100%,C113*50%-C104*15%,IF(C114&gt;=50%,C113*40%-C104*5%,IF(C114&lt;50%,C113*30%,0))))),0)</f>
        <v>49798</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108">
    <cfRule type="expression" dxfId="169" priority="3" stopIfTrue="1">
      <formula>$H$106&lt;&gt;"仅含出让金"</formula>
    </cfRule>
  </conditionalFormatting>
  <conditionalFormatting sqref="C109">
    <cfRule type="expression" dxfId="168" priority="2" stopIfTrue="1">
      <formula>$H$109="由企业提供"</formula>
    </cfRule>
  </conditionalFormatting>
  <conditionalFormatting sqref="I33">
    <cfRule type="expression" dxfId="16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9</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2629</v>
      </c>
      <c r="B6" s="427"/>
      <c r="C6" s="1551">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1" t="s">
        <v>1839</v>
      </c>
      <c r="B13" s="443" t="s">
        <v>473</v>
      </c>
      <c r="C13" s="444">
        <f ca="1">IF(B1="",'数据-取费表'!M16,INDIRECT("'数据-取费表'!M"&amp;$K$1)+INDIRECT("'数据-取费表'!t"&amp;$K$1))</f>
        <v>80586</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2418</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5230</v>
      </c>
      <c r="D15" s="445"/>
      <c r="E15" s="363"/>
      <c r="F15" s="447">
        <f>'数据-取费表'!B34</f>
        <v>0.08</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5493</v>
      </c>
      <c r="D16" s="445">
        <f ca="1">IF(B1="",'数据-汇总表'!E3,INDIRECT("'数据-取费表'!K"&amp;$K$1)+INDIRECT("'数据-取费表'!S"&amp;$K$1))</f>
        <v>274652.19</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1209</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94936</v>
      </c>
      <c r="D18" s="455"/>
      <c r="E18" s="456"/>
      <c r="F18" s="456"/>
      <c r="G18" s="1280" t="s">
        <v>2413</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2" t="s">
        <v>1845</v>
      </c>
      <c r="B19" s="453" t="s">
        <v>487</v>
      </c>
      <c r="C19" s="454">
        <f ca="1">ROUND(C18*F19,0)</f>
        <v>1899</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2" t="s">
        <v>1846</v>
      </c>
      <c r="B20" s="453" t="s">
        <v>498</v>
      </c>
      <c r="C20" s="2743">
        <f>F20</f>
        <v>0.03</v>
      </c>
      <c r="D20" s="463" t="s">
        <v>499</v>
      </c>
      <c r="E20" s="463"/>
      <c r="F20" s="480">
        <f>'数据-取费表'!B38</f>
        <v>0.03</v>
      </c>
      <c r="G20" s="1280"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2" t="s">
        <v>1849</v>
      </c>
      <c r="B21" s="455" t="s">
        <v>488</v>
      </c>
      <c r="C21" s="464">
        <f ca="1">C22</f>
        <v>6981</v>
      </c>
      <c r="D21" s="461">
        <f ca="1">C23</f>
        <v>2.2000000000000001E-3</v>
      </c>
      <c r="E21" s="463" t="s">
        <v>501</v>
      </c>
      <c r="F21" s="465">
        <f ca="1">'数据-取费表'!B40</f>
        <v>4.7500000000000001E-2</v>
      </c>
      <c r="G21" s="1280" t="str">
        <f>IF('数据-取费表'!B22&lt;=1,"单利计息。","复利计息。")&amp;"建造成本、管理费用及销售费用产生的利息。"</f>
        <v>复利计息。建造成本、管理费用及销售费用产生的利息。</v>
      </c>
      <c r="H21" s="441"/>
      <c r="I21" s="441"/>
      <c r="J21" s="441"/>
      <c r="K21" s="442"/>
      <c r="L21" s="3208" t="s">
        <v>2434</v>
      </c>
      <c r="M21" s="3209"/>
      <c r="N21" s="3209"/>
      <c r="O21" s="3209"/>
      <c r="P21" s="3209"/>
      <c r="Q21" s="3202"/>
      <c r="R21" s="3202"/>
      <c r="S21" s="3202"/>
      <c r="T21" s="3202"/>
      <c r="U21" s="3202"/>
      <c r="V21" s="3202"/>
      <c r="W21" s="3202"/>
      <c r="X21" s="3202"/>
      <c r="Y21" s="3202"/>
      <c r="Z21" s="3202"/>
    </row>
    <row r="22" spans="1:26" s="2002" customFormat="1" ht="13.5" customHeight="1">
      <c r="A22" s="1561" t="s">
        <v>1839</v>
      </c>
      <c r="B22" s="1281" t="s">
        <v>2416</v>
      </c>
      <c r="C22" s="481">
        <f ca="1">ROUND(IF('数据-取费表'!B22&lt;=1,(C18+C19)*F21*'数据-取费表'!B20/2,(C18+C19)*(POWER((1+F21),'数据-取费表'!B20/2)-1)),0)</f>
        <v>6981</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1" t="s">
        <v>1840</v>
      </c>
      <c r="B23" s="1281" t="s">
        <v>502</v>
      </c>
      <c r="C23" s="482">
        <f ca="1">ROUND(IF('数据-取费表'!B22&lt;=1,F20*F21*'数据-取费表'!B20/2,F20*(POWER((1+F21),'数据-取费表'!B20/2)-1)),4)</f>
        <v>2.2000000000000001E-3</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2" t="s">
        <v>1850</v>
      </c>
      <c r="B24" s="2745" t="s">
        <v>2808</v>
      </c>
      <c r="C24" s="472">
        <f ca="1">C25</f>
        <v>12589</v>
      </c>
      <c r="D24" s="483">
        <f ca="1">C26</f>
        <v>3.8999999999999998E-3</v>
      </c>
      <c r="E24" s="463" t="s">
        <v>501</v>
      </c>
      <c r="F24" s="473">
        <f ca="1">IF(B1="",'数据-取费表'!Q16,INDIRECT("'数据-取费表'!q"&amp;$K$1))</f>
        <v>0.13</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1" t="s">
        <v>1839</v>
      </c>
      <c r="B25" s="1281" t="s">
        <v>2417</v>
      </c>
      <c r="C25" s="484">
        <f ca="1">ROUND((C18+C19)*F24,0)</f>
        <v>12589</v>
      </c>
      <c r="D25" s="466"/>
      <c r="E25" s="467"/>
      <c r="F25" s="474"/>
      <c r="G25" s="1279" t="s">
        <v>2414</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1" t="s">
        <v>1840</v>
      </c>
      <c r="B26" s="1281" t="s">
        <v>503</v>
      </c>
      <c r="C26" s="485">
        <f ca="1">ROUND(F20*F24,4)</f>
        <v>3.8999999999999998E-3</v>
      </c>
      <c r="D26" s="466"/>
      <c r="E26" s="475"/>
      <c r="F26" s="474"/>
      <c r="G26" s="1279"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5" t="s">
        <v>1858</v>
      </c>
      <c r="B27" s="453" t="s">
        <v>505</v>
      </c>
      <c r="C27" s="2744">
        <f>ROUND(F27/(1+'数据-取费表'!C42),4)</f>
        <v>5.33E-2</v>
      </c>
      <c r="D27" s="456" t="s">
        <v>2806</v>
      </c>
      <c r="E27" s="456"/>
      <c r="F27" s="460">
        <f>'数据-取费表'!B41</f>
        <v>5.6000000000000001E-2</v>
      </c>
      <c r="G27" s="1874" t="s">
        <v>2276</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5" t="s">
        <v>1859</v>
      </c>
      <c r="B28" s="470" t="s">
        <v>506</v>
      </c>
      <c r="C28" s="464">
        <f ca="1">ROUND((C18+C19+C21+C24)/(1-C20-D21-D24-C27),0)</f>
        <v>127833</v>
      </c>
      <c r="D28" s="471"/>
      <c r="E28" s="463"/>
      <c r="F28" s="465"/>
      <c r="G28" s="1280" t="s">
        <v>2415</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2"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3"/>
      <c r="C31" s="494">
        <f>ROUND(C6*F31/(1+'数据-取费表'!C42),0)</f>
        <v>0</v>
      </c>
      <c r="D31" s="1284"/>
      <c r="E31" s="1284"/>
      <c r="F31" s="495">
        <f>'数据-取费表'!B41</f>
        <v>5.6000000000000001E-2</v>
      </c>
      <c r="G31" s="1285"/>
      <c r="H31" s="1285"/>
      <c r="I31" s="1285"/>
      <c r="J31" s="1286"/>
      <c r="K31" s="1287"/>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2930</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17" t="str">
        <f>项目基本情况!B1</f>
        <v>河南省郑州市高新区站北路北、新荣路东出让国有建设用地使用权抵押价格预评估</v>
      </c>
      <c r="C37" s="3317"/>
      <c r="D37" s="3317"/>
      <c r="E37" s="3317"/>
      <c r="F37" s="3317"/>
      <c r="G37" s="3317"/>
      <c r="H37" s="3317"/>
      <c r="I37" s="3317"/>
    </row>
    <row r="38" spans="1:9">
      <c r="A38" s="1584"/>
      <c r="B38" s="1584"/>
    </row>
    <row r="39" spans="1:9">
      <c r="A39" s="1582" t="s">
        <v>1892</v>
      </c>
      <c r="B39" s="1582" t="s">
        <v>2032</v>
      </c>
    </row>
    <row r="40" spans="1:9">
      <c r="A40" s="1582"/>
      <c r="B40" s="1582" t="str">
        <f>项目基本情况!B5</f>
        <v>中诚信托有限责任公司</v>
      </c>
    </row>
    <row r="41" spans="1:9">
      <c r="A41" s="1582"/>
      <c r="B41" s="1582"/>
    </row>
    <row r="42" spans="1:9">
      <c r="A42" s="1582" t="s">
        <v>1892</v>
      </c>
      <c r="B42" s="1582" t="s">
        <v>2033</v>
      </c>
    </row>
    <row r="43" spans="1:9">
      <c r="A43" s="1582"/>
      <c r="B43" s="1582" t="s">
        <v>1894</v>
      </c>
    </row>
    <row r="44" spans="1:9">
      <c r="A44" s="1582"/>
      <c r="B44" s="1582"/>
    </row>
    <row r="45" spans="1:9">
      <c r="A45" s="1582" t="s">
        <v>1892</v>
      </c>
      <c r="B45" s="1582" t="s">
        <v>2031</v>
      </c>
    </row>
    <row r="46" spans="1:9" s="1582" customFormat="1" ht="12.75">
      <c r="B46" s="1582" t="str">
        <f>项目基本情况!K4</f>
        <v>王鹏、郑燚</v>
      </c>
    </row>
    <row r="47" spans="1:9">
      <c r="A47" s="1582"/>
      <c r="B47" s="1582"/>
    </row>
    <row r="48" spans="1:9">
      <c r="A48" s="1582" t="s">
        <v>1892</v>
      </c>
      <c r="B48" s="1582" t="s">
        <v>2034</v>
      </c>
    </row>
    <row r="49" spans="2:2">
      <c r="B49" s="1582"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5" zoomScaleNormal="95" zoomScaleSheetLayoutView="85" workbookViewId="0">
      <selection activeCell="F56" sqref="F56"/>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8"/>
    </row>
    <row r="2" spans="1:30" s="1289" customFormat="1" ht="28.5" customHeight="1">
      <c r="A2" s="417" t="s">
        <v>461</v>
      </c>
      <c r="B2" s="502">
        <f>F68</f>
        <v>63841</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8"/>
    </row>
    <row r="3" spans="1:30" s="1289" customFormat="1" ht="28.5" customHeight="1">
      <c r="A3" s="1330" t="s">
        <v>1675</v>
      </c>
      <c r="B3" s="504">
        <f>ROUND(B2*10000/'数据-汇总表'!E3,0)</f>
        <v>2324</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89" customFormat="1" ht="28.5" customHeight="1">
      <c r="A4" s="505" t="s">
        <v>514</v>
      </c>
      <c r="B4" s="421">
        <f>IF(B48="单位面积地价",C50,ROUND(B2*10000/'数据-汇总表'!D3,0))</f>
        <v>12164</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811</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16" t="s">
        <v>516</v>
      </c>
      <c r="D6" s="3517"/>
      <c r="E6" s="3516" t="s">
        <v>517</v>
      </c>
      <c r="F6" s="3517"/>
      <c r="G6" s="3516" t="s">
        <v>518</v>
      </c>
      <c r="H6" s="3517"/>
      <c r="I6" s="3516" t="s">
        <v>519</v>
      </c>
      <c r="J6" s="3517"/>
      <c r="K6" s="508" t="s">
        <v>520</v>
      </c>
      <c r="L6" s="2015"/>
      <c r="M6" s="2014"/>
      <c r="N6" s="2014"/>
      <c r="O6" s="2016"/>
      <c r="P6" s="3518" t="s">
        <v>521</v>
      </c>
      <c r="Q6" s="3519"/>
      <c r="R6" s="3504" t="s">
        <v>517</v>
      </c>
      <c r="S6" s="3505"/>
      <c r="T6" s="3504" t="s">
        <v>518</v>
      </c>
      <c r="U6" s="3505"/>
      <c r="V6" s="3524" t="s">
        <v>519</v>
      </c>
      <c r="W6" s="3524"/>
      <c r="X6" s="1501"/>
      <c r="Y6" s="3504" t="s">
        <v>521</v>
      </c>
      <c r="Z6" s="3505"/>
      <c r="AA6" s="3499" t="s">
        <v>517</v>
      </c>
      <c r="AB6" s="3500" t="s">
        <v>518</v>
      </c>
      <c r="AC6" s="3499" t="s">
        <v>519</v>
      </c>
    </row>
    <row r="7" spans="1:30" ht="20.25">
      <c r="A7" s="509"/>
      <c r="B7" s="510"/>
      <c r="C7" s="3527" t="s">
        <v>2890</v>
      </c>
      <c r="D7" s="3528"/>
      <c r="E7" s="3527" t="s">
        <v>2891</v>
      </c>
      <c r="F7" s="3528"/>
      <c r="G7" s="3527" t="s">
        <v>2892</v>
      </c>
      <c r="H7" s="3528"/>
      <c r="I7" s="3527" t="s">
        <v>2893</v>
      </c>
      <c r="J7" s="3528"/>
      <c r="K7" s="508"/>
      <c r="L7" s="2015"/>
      <c r="M7" s="2014"/>
      <c r="N7" s="2014"/>
      <c r="O7" s="2016"/>
      <c r="P7" s="3520"/>
      <c r="Q7" s="3521"/>
      <c r="R7" s="3506"/>
      <c r="S7" s="3507"/>
      <c r="T7" s="3506"/>
      <c r="U7" s="3507"/>
      <c r="V7" s="3524"/>
      <c r="W7" s="3524"/>
      <c r="X7" s="1501"/>
      <c r="Y7" s="3506"/>
      <c r="Z7" s="3507"/>
      <c r="AA7" s="3500"/>
      <c r="AB7" s="3500"/>
      <c r="AC7" s="3500"/>
    </row>
    <row r="8" spans="1:30" ht="21" thickBot="1">
      <c r="A8" s="509"/>
      <c r="B8" s="510"/>
      <c r="C8" s="3529" t="s">
        <v>2894</v>
      </c>
      <c r="D8" s="3530"/>
      <c r="E8" s="3529" t="s">
        <v>2894</v>
      </c>
      <c r="F8" s="3530"/>
      <c r="G8" s="3525" t="s">
        <v>2894</v>
      </c>
      <c r="H8" s="3526"/>
      <c r="I8" s="3525" t="s">
        <v>2894</v>
      </c>
      <c r="J8" s="3526"/>
      <c r="K8" s="508" t="s">
        <v>522</v>
      </c>
      <c r="L8" s="2015"/>
      <c r="M8" s="2014"/>
      <c r="N8" s="2014"/>
      <c r="O8" s="2016"/>
      <c r="P8" s="3522"/>
      <c r="Q8" s="3523"/>
      <c r="R8" s="3506"/>
      <c r="S8" s="3507"/>
      <c r="T8" s="3508"/>
      <c r="U8" s="3509"/>
      <c r="V8" s="3524"/>
      <c r="W8" s="3524"/>
      <c r="X8" s="1501"/>
      <c r="Y8" s="3508"/>
      <c r="Z8" s="3509"/>
      <c r="AA8" s="3501"/>
      <c r="AB8" s="3501"/>
      <c r="AC8" s="3501"/>
    </row>
    <row r="9" spans="1:30" s="1202" customFormat="1" ht="21" thickBot="1">
      <c r="A9" s="2629"/>
      <c r="B9" s="2636" t="s">
        <v>523</v>
      </c>
      <c r="C9" s="2628">
        <f>'数据-取费表'!B2</f>
        <v>44062</v>
      </c>
      <c r="D9" s="514">
        <v>100</v>
      </c>
      <c r="E9" s="515" t="str">
        <f>高新区土地案例!AA3</f>
        <v>2020-06-19</v>
      </c>
      <c r="F9" s="516">
        <f>SUMIF(72:72,YEAR(E9)&amp;"-"&amp;INT((MONTH(E9)+2)/3),73:73)</f>
        <v>99.5</v>
      </c>
      <c r="G9" s="517" t="str">
        <f>高新区土地案例!AA22</f>
        <v>2019-06-04</v>
      </c>
      <c r="H9" s="514">
        <f>SUMIF(72:72,YEAR(G9)&amp;"-"&amp;INT((MONTH(G9)+2)/3),73:73)</f>
        <v>97.5</v>
      </c>
      <c r="I9" s="517" t="str">
        <f>高新区土地案例!AA27</f>
        <v>2019-01-11</v>
      </c>
      <c r="J9" s="514">
        <f>SUMIF(72:72,YEAR(I9)&amp;"-"&amp;INT((MONTH(I9)+2)/3),73:73)</f>
        <v>97</v>
      </c>
      <c r="K9" s="518"/>
      <c r="L9" s="2017"/>
      <c r="M9" s="2014"/>
      <c r="N9" s="2014"/>
      <c r="O9" s="2018"/>
      <c r="P9" s="3502" t="s">
        <v>524</v>
      </c>
      <c r="Q9" s="3511"/>
      <c r="R9" s="1502" t="s">
        <v>8</v>
      </c>
      <c r="S9" s="1503">
        <f t="shared" ref="S9:S17" si="0">F9</f>
        <v>99.5</v>
      </c>
      <c r="T9" s="1502" t="s">
        <v>8</v>
      </c>
      <c r="U9" s="1503">
        <f t="shared" ref="U9:U17" si="1">H9</f>
        <v>97.5</v>
      </c>
      <c r="V9" s="1502" t="s">
        <v>8</v>
      </c>
      <c r="W9" s="1503">
        <f t="shared" ref="W9:W17" si="2">J9</f>
        <v>97</v>
      </c>
      <c r="X9" s="1504"/>
      <c r="Y9" s="3502" t="s">
        <v>524</v>
      </c>
      <c r="Z9" s="3503"/>
      <c r="AA9" s="1505">
        <f>D9/F9</f>
        <v>1.0050251256281406</v>
      </c>
      <c r="AB9" s="1505">
        <f>D9/H9</f>
        <v>1.0256410256410255</v>
      </c>
      <c r="AC9" s="1505">
        <f>D9/J9</f>
        <v>1.0309278350515463</v>
      </c>
    </row>
    <row r="10" spans="1:30" s="1202" customFormat="1" ht="21" thickBot="1">
      <c r="A10" s="2630"/>
      <c r="B10" s="2637" t="s">
        <v>525</v>
      </c>
      <c r="C10" s="845" t="s">
        <v>526</v>
      </c>
      <c r="D10" s="514">
        <v>100</v>
      </c>
      <c r="E10" s="519" t="s">
        <v>3037</v>
      </c>
      <c r="F10" s="516">
        <f>SUMIF(75:75,E10,76:76)-SUMIF(75:75,C10,76:76)+100</f>
        <v>100</v>
      </c>
      <c r="G10" s="519" t="s">
        <v>3037</v>
      </c>
      <c r="H10" s="514">
        <f>SUMIF(75:75,G10,76:76)-SUMIF(75:75,C10,76:76)+100</f>
        <v>100</v>
      </c>
      <c r="I10" s="519" t="s">
        <v>3037</v>
      </c>
      <c r="J10" s="514">
        <f>SUMIF(75:75,I10,76:76)-SUMIF(75:75,C10,76:76)+100</f>
        <v>100</v>
      </c>
      <c r="K10" s="518"/>
      <c r="L10" s="2017"/>
      <c r="M10" s="2014"/>
      <c r="N10" s="2014"/>
      <c r="O10" s="2018"/>
      <c r="P10" s="3502" t="s">
        <v>527</v>
      </c>
      <c r="Q10" s="3503"/>
      <c r="R10" s="1502" t="s">
        <v>8</v>
      </c>
      <c r="S10" s="1503">
        <f t="shared" si="0"/>
        <v>100</v>
      </c>
      <c r="T10" s="1502" t="s">
        <v>8</v>
      </c>
      <c r="U10" s="1503">
        <f t="shared" si="1"/>
        <v>100</v>
      </c>
      <c r="V10" s="1502" t="s">
        <v>8</v>
      </c>
      <c r="W10" s="1503">
        <f t="shared" si="2"/>
        <v>100</v>
      </c>
      <c r="X10" s="1504"/>
      <c r="Y10" s="3502" t="s">
        <v>527</v>
      </c>
      <c r="Z10" s="3503"/>
      <c r="AA10" s="1505">
        <f t="shared" ref="AA10:AA47" si="3">D10/F10</f>
        <v>1</v>
      </c>
      <c r="AB10" s="1505">
        <f t="shared" ref="AB10:AB47" si="4">D10/H10</f>
        <v>1</v>
      </c>
      <c r="AC10" s="1505">
        <f t="shared" ref="AC10:AC47" si="5">D10/J10</f>
        <v>1</v>
      </c>
    </row>
    <row r="11" spans="1:30" s="1202" customFormat="1" ht="42.75">
      <c r="A11" s="2631"/>
      <c r="B11" s="2638" t="s">
        <v>2733</v>
      </c>
      <c r="C11" s="2625" t="s">
        <v>914</v>
      </c>
      <c r="D11" s="252">
        <v>100</v>
      </c>
      <c r="E11" s="520" t="s">
        <v>3088</v>
      </c>
      <c r="F11" s="252">
        <f>SUMIF(77:77,E11,78:78)-SUMIF(77:77,C11,78:78)+100</f>
        <v>100</v>
      </c>
      <c r="G11" s="520" t="s">
        <v>3088</v>
      </c>
      <c r="H11" s="252">
        <f>SUMIF(77:77,G11,78:78)-SUMIF(77:77,C11,78:78)+100</f>
        <v>100</v>
      </c>
      <c r="I11" s="520" t="s">
        <v>3088</v>
      </c>
      <c r="J11" s="252">
        <f>SUMIF(77:77,I11,78:78)-SUMIF(77:77,C11,78:78)+100</f>
        <v>100</v>
      </c>
      <c r="K11" s="518"/>
      <c r="L11" s="2017"/>
      <c r="M11" s="2014"/>
      <c r="N11" s="2014"/>
      <c r="O11" s="2019"/>
      <c r="P11" s="3510" t="s">
        <v>529</v>
      </c>
      <c r="Q11" s="1133" t="str">
        <f t="shared" ref="Q11:Q17" si="6">B11</f>
        <v>用途</v>
      </c>
      <c r="R11" s="1502" t="s">
        <v>8</v>
      </c>
      <c r="S11" s="1503">
        <f t="shared" si="0"/>
        <v>100</v>
      </c>
      <c r="T11" s="1502" t="s">
        <v>8</v>
      </c>
      <c r="U11" s="1503">
        <f t="shared" si="1"/>
        <v>100</v>
      </c>
      <c r="V11" s="1502" t="s">
        <v>8</v>
      </c>
      <c r="W11" s="1503">
        <f t="shared" si="2"/>
        <v>100</v>
      </c>
      <c r="X11" s="1504"/>
      <c r="Y11" s="3461" t="s">
        <v>530</v>
      </c>
      <c r="Z11" s="1132" t="str">
        <f t="shared" ref="Z11:Z17" si="7">Q11</f>
        <v>用途</v>
      </c>
      <c r="AA11" s="1505">
        <f t="shared" si="3"/>
        <v>1</v>
      </c>
      <c r="AB11" s="1505">
        <f t="shared" si="4"/>
        <v>1</v>
      </c>
      <c r="AC11" s="1505">
        <f t="shared" si="5"/>
        <v>1</v>
      </c>
    </row>
    <row r="12" spans="1:30" s="1291" customFormat="1" ht="27">
      <c r="A12" s="2632"/>
      <c r="B12" s="2637" t="s">
        <v>2734</v>
      </c>
      <c r="C12" s="898"/>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10"/>
      <c r="Q12" s="1133" t="str">
        <f t="shared" si="6"/>
        <v>土地使用年限（年）</v>
      </c>
      <c r="R12" s="1502" t="s">
        <v>8</v>
      </c>
      <c r="S12" s="1503">
        <f t="shared" si="0"/>
        <v>100</v>
      </c>
      <c r="T12" s="1502" t="s">
        <v>8</v>
      </c>
      <c r="U12" s="1503">
        <f t="shared" si="1"/>
        <v>100</v>
      </c>
      <c r="V12" s="1502" t="s">
        <v>8</v>
      </c>
      <c r="W12" s="1503">
        <f t="shared" si="2"/>
        <v>100</v>
      </c>
      <c r="X12" s="1504"/>
      <c r="Y12" s="3461"/>
      <c r="Z12" s="1132" t="str">
        <f t="shared" si="7"/>
        <v>土地使用年限（年）</v>
      </c>
      <c r="AA12" s="1505">
        <f t="shared" si="3"/>
        <v>1</v>
      </c>
      <c r="AB12" s="1505">
        <f t="shared" si="4"/>
        <v>1</v>
      </c>
      <c r="AC12" s="1505">
        <f t="shared" si="5"/>
        <v>1</v>
      </c>
    </row>
    <row r="13" spans="1:30" ht="20.25">
      <c r="A13" s="2633"/>
      <c r="B13" s="2637" t="s">
        <v>2735</v>
      </c>
      <c r="C13" s="3290">
        <v>4</v>
      </c>
      <c r="D13" s="253">
        <v>100</v>
      </c>
      <c r="E13" s="527">
        <v>2</v>
      </c>
      <c r="F13" s="253">
        <f>LOOKUP(E13,82:82,83:83)-LOOKUP(C13,82:82,83:83)+100</f>
        <v>120</v>
      </c>
      <c r="G13" s="528">
        <v>3</v>
      </c>
      <c r="H13" s="253">
        <f>LOOKUP(G13,82:82,83:83)-LOOKUP(C13,82:82,83:83)+100</f>
        <v>110</v>
      </c>
      <c r="I13" s="527">
        <v>2.5</v>
      </c>
      <c r="J13" s="253">
        <f>LOOKUP(I13,82:82,83:83)-LOOKUP(C13,82:82,83:83)+100</f>
        <v>115</v>
      </c>
      <c r="K13" s="529">
        <v>5</v>
      </c>
      <c r="L13" s="2022"/>
      <c r="M13" s="2014"/>
      <c r="N13" s="2014"/>
      <c r="O13" s="2023"/>
      <c r="P13" s="3510"/>
      <c r="Q13" s="1133" t="str">
        <f t="shared" si="6"/>
        <v>容积率</v>
      </c>
      <c r="R13" s="1502" t="s">
        <v>8</v>
      </c>
      <c r="S13" s="1503">
        <f t="shared" si="0"/>
        <v>120</v>
      </c>
      <c r="T13" s="1502" t="s">
        <v>8</v>
      </c>
      <c r="U13" s="1503">
        <f t="shared" si="1"/>
        <v>110</v>
      </c>
      <c r="V13" s="1502" t="s">
        <v>8</v>
      </c>
      <c r="W13" s="1503">
        <f t="shared" si="2"/>
        <v>115</v>
      </c>
      <c r="X13" s="1504"/>
      <c r="Y13" s="3461"/>
      <c r="Z13" s="1132" t="str">
        <f t="shared" si="7"/>
        <v>容积率</v>
      </c>
      <c r="AA13" s="1505">
        <f t="shared" si="3"/>
        <v>0.83333333333333337</v>
      </c>
      <c r="AB13" s="1505">
        <f t="shared" si="4"/>
        <v>0.90909090909090906</v>
      </c>
      <c r="AC13" s="1505">
        <f t="shared" si="5"/>
        <v>0.86956521739130432</v>
      </c>
    </row>
    <row r="14" spans="1:30" s="1202" customFormat="1" ht="20.25">
      <c r="A14" s="2630"/>
      <c r="B14" s="2639" t="s">
        <v>2736</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510"/>
      <c r="Q14" s="1133" t="str">
        <f t="shared" si="6"/>
        <v>配建</v>
      </c>
      <c r="R14" s="1502" t="s">
        <v>8</v>
      </c>
      <c r="S14" s="1503">
        <f t="shared" si="0"/>
        <v>100</v>
      </c>
      <c r="T14" s="1502" t="s">
        <v>8</v>
      </c>
      <c r="U14" s="1503">
        <f t="shared" si="1"/>
        <v>100</v>
      </c>
      <c r="V14" s="1502" t="s">
        <v>8</v>
      </c>
      <c r="W14" s="1503">
        <f t="shared" si="2"/>
        <v>100</v>
      </c>
      <c r="X14" s="1504"/>
      <c r="Y14" s="3461"/>
      <c r="Z14" s="1132" t="str">
        <f t="shared" si="7"/>
        <v>配建</v>
      </c>
      <c r="AA14" s="1505">
        <f>D14/F14</f>
        <v>1</v>
      </c>
      <c r="AB14" s="1505">
        <f>D14/H14</f>
        <v>1</v>
      </c>
      <c r="AC14" s="1505">
        <f>D14/J14</f>
        <v>1</v>
      </c>
    </row>
    <row r="15" spans="1:30" ht="20.25">
      <c r="A15" s="2634"/>
      <c r="B15" s="2640"/>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10"/>
      <c r="Q15" s="1133">
        <f t="shared" si="6"/>
        <v>0</v>
      </c>
      <c r="R15" s="1502" t="s">
        <v>8</v>
      </c>
      <c r="S15" s="1503">
        <f t="shared" si="0"/>
        <v>100</v>
      </c>
      <c r="T15" s="1502" t="s">
        <v>8</v>
      </c>
      <c r="U15" s="1503">
        <f t="shared" si="1"/>
        <v>100</v>
      </c>
      <c r="V15" s="1502" t="s">
        <v>8</v>
      </c>
      <c r="W15" s="1503">
        <f t="shared" si="2"/>
        <v>100</v>
      </c>
      <c r="X15" s="1504"/>
      <c r="Y15" s="3461"/>
      <c r="Z15" s="1132">
        <f t="shared" si="7"/>
        <v>0</v>
      </c>
      <c r="AA15" s="1505">
        <f>D15/F15</f>
        <v>1</v>
      </c>
      <c r="AB15" s="1505">
        <f>D15/H15</f>
        <v>1</v>
      </c>
      <c r="AC15" s="1505">
        <f>D15/J15</f>
        <v>1</v>
      </c>
    </row>
    <row r="16" spans="1:30" ht="21" thickBot="1">
      <c r="A16" s="2635"/>
      <c r="B16" s="2641"/>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10"/>
      <c r="Q16" s="1133">
        <f t="shared" si="6"/>
        <v>0</v>
      </c>
      <c r="R16" s="1502" t="s">
        <v>8</v>
      </c>
      <c r="S16" s="1503">
        <f t="shared" si="0"/>
        <v>100</v>
      </c>
      <c r="T16" s="1502" t="s">
        <v>8</v>
      </c>
      <c r="U16" s="1503">
        <f t="shared" si="1"/>
        <v>100</v>
      </c>
      <c r="V16" s="1502" t="s">
        <v>8</v>
      </c>
      <c r="W16" s="1503">
        <f t="shared" si="2"/>
        <v>100</v>
      </c>
      <c r="X16" s="1504"/>
      <c r="Y16" s="3461"/>
      <c r="Z16" s="1132">
        <f t="shared" si="7"/>
        <v>0</v>
      </c>
      <c r="AA16" s="1505">
        <f>D16/F16</f>
        <v>1</v>
      </c>
      <c r="AB16" s="1505">
        <f>D16/H16</f>
        <v>1</v>
      </c>
      <c r="AC16" s="1505">
        <f>D16/J16</f>
        <v>1</v>
      </c>
    </row>
    <row r="17" spans="1:29" ht="99.75">
      <c r="A17" s="2627" t="s">
        <v>2731</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12" t="s">
        <v>534</v>
      </c>
      <c r="Q17" s="1506" t="str">
        <f t="shared" si="6"/>
        <v>居住社区成熟度</v>
      </c>
      <c r="R17" s="1507" t="s">
        <v>8</v>
      </c>
      <c r="S17" s="1508">
        <f t="shared" si="0"/>
        <v>100</v>
      </c>
      <c r="T17" s="1507" t="s">
        <v>8</v>
      </c>
      <c r="U17" s="1508">
        <f t="shared" si="1"/>
        <v>100</v>
      </c>
      <c r="V17" s="1507" t="s">
        <v>8</v>
      </c>
      <c r="W17" s="1508">
        <f t="shared" si="2"/>
        <v>100</v>
      </c>
      <c r="X17" s="1501"/>
      <c r="Y17" s="3512"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4"/>
      <c r="M18" s="2014"/>
      <c r="N18" s="2014"/>
      <c r="O18" s="2023"/>
      <c r="P18" s="3513"/>
      <c r="Q18" s="1506"/>
      <c r="R18" s="1507"/>
      <c r="S18" s="1508"/>
      <c r="T18" s="1507"/>
      <c r="U18" s="1508"/>
      <c r="V18" s="1507"/>
      <c r="W18" s="1508"/>
      <c r="X18" s="1501"/>
      <c r="Y18" s="3513"/>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13"/>
      <c r="Q19" s="1506" t="str">
        <f>B19</f>
        <v>商业繁华度</v>
      </c>
      <c r="R19" s="1507" t="s">
        <v>8</v>
      </c>
      <c r="S19" s="1508">
        <f>F19</f>
        <v>100</v>
      </c>
      <c r="T19" s="1507" t="s">
        <v>8</v>
      </c>
      <c r="U19" s="1508">
        <f>H19</f>
        <v>100</v>
      </c>
      <c r="V19" s="1507" t="s">
        <v>8</v>
      </c>
      <c r="W19" s="1508">
        <f>J19</f>
        <v>100</v>
      </c>
      <c r="X19" s="1501"/>
      <c r="Y19" s="3513"/>
      <c r="Z19" s="1509" t="str">
        <f>Q19</f>
        <v>商业繁华度</v>
      </c>
      <c r="AA19" s="1510">
        <f t="shared" si="3"/>
        <v>1</v>
      </c>
      <c r="AB19" s="1510">
        <f t="shared" si="4"/>
        <v>1</v>
      </c>
      <c r="AC19" s="1510">
        <f t="shared" si="5"/>
        <v>1</v>
      </c>
    </row>
    <row r="20" spans="1:29" ht="20.25">
      <c r="A20" s="526"/>
      <c r="B20" s="560"/>
      <c r="C20" s="561"/>
      <c r="D20" s="557"/>
      <c r="E20" s="563"/>
      <c r="F20" s="553"/>
      <c r="G20" s="562"/>
      <c r="H20" s="549"/>
      <c r="I20" s="563"/>
      <c r="J20" s="549"/>
      <c r="K20" s="525"/>
      <c r="L20" s="2024"/>
      <c r="M20" s="2014"/>
      <c r="N20" s="2014"/>
      <c r="O20" s="2023"/>
      <c r="P20" s="3513"/>
      <c r="Q20" s="1506"/>
      <c r="R20" s="1507"/>
      <c r="S20" s="1508"/>
      <c r="T20" s="1507"/>
      <c r="U20" s="1508"/>
      <c r="V20" s="1507"/>
      <c r="W20" s="1508"/>
      <c r="X20" s="1501"/>
      <c r="Y20" s="3513"/>
      <c r="Z20" s="1509"/>
      <c r="AA20" s="1510">
        <v>1</v>
      </c>
      <c r="AB20" s="1510">
        <v>1</v>
      </c>
      <c r="AC20" s="1510">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13"/>
      <c r="Q21" s="1506" t="str">
        <f>B21</f>
        <v>办公集聚程度</v>
      </c>
      <c r="R21" s="1507" t="s">
        <v>8</v>
      </c>
      <c r="S21" s="1508">
        <f>F21</f>
        <v>100</v>
      </c>
      <c r="T21" s="1507" t="s">
        <v>8</v>
      </c>
      <c r="U21" s="1508">
        <f>H21</f>
        <v>100</v>
      </c>
      <c r="V21" s="1507" t="s">
        <v>8</v>
      </c>
      <c r="W21" s="1508">
        <f>J21</f>
        <v>100</v>
      </c>
      <c r="X21" s="1501"/>
      <c r="Y21" s="3513"/>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513"/>
      <c r="Q22" s="1506"/>
      <c r="R22" s="1507"/>
      <c r="S22" s="1508"/>
      <c r="T22" s="1507"/>
      <c r="U22" s="1508"/>
      <c r="V22" s="1507"/>
      <c r="W22" s="1508"/>
      <c r="X22" s="1501"/>
      <c r="Y22" s="3513"/>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13"/>
      <c r="Q23" s="1506" t="str">
        <f>B23</f>
        <v>交通便捷度</v>
      </c>
      <c r="R23" s="1507" t="s">
        <v>8</v>
      </c>
      <c r="S23" s="1508">
        <f>F23</f>
        <v>100</v>
      </c>
      <c r="T23" s="1507" t="s">
        <v>8</v>
      </c>
      <c r="U23" s="1508">
        <f>H23</f>
        <v>100</v>
      </c>
      <c r="V23" s="1507" t="s">
        <v>8</v>
      </c>
      <c r="W23" s="1508">
        <f>J23</f>
        <v>100</v>
      </c>
      <c r="X23" s="1501"/>
      <c r="Y23" s="3513"/>
      <c r="Z23" s="1509" t="str">
        <f>Q23</f>
        <v>交通便捷度</v>
      </c>
      <c r="AA23" s="1510">
        <f t="shared" si="3"/>
        <v>1</v>
      </c>
      <c r="AB23" s="1510">
        <f t="shared" si="4"/>
        <v>1</v>
      </c>
      <c r="AC23" s="1510">
        <f t="shared" si="5"/>
        <v>1</v>
      </c>
    </row>
    <row r="24" spans="1:29" ht="20.25">
      <c r="A24" s="526"/>
      <c r="B24" s="572"/>
      <c r="C24" s="548"/>
      <c r="D24" s="551"/>
      <c r="E24" s="552"/>
      <c r="F24" s="549"/>
      <c r="G24" s="550"/>
      <c r="H24" s="549"/>
      <c r="I24" s="552"/>
      <c r="J24" s="549"/>
      <c r="K24" s="525"/>
      <c r="L24" s="2024"/>
      <c r="M24" s="2014"/>
      <c r="N24" s="2014"/>
      <c r="O24" s="2023"/>
      <c r="P24" s="3513"/>
      <c r="Q24" s="1506"/>
      <c r="R24" s="1507"/>
      <c r="S24" s="1508"/>
      <c r="T24" s="1507"/>
      <c r="U24" s="1508"/>
      <c r="V24" s="1507"/>
      <c r="W24" s="1508"/>
      <c r="X24" s="1501"/>
      <c r="Y24" s="3513"/>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13"/>
      <c r="Q25" s="1506" t="str">
        <f t="shared" ref="Q25:Q39" si="8">B25</f>
        <v>区域土地利用方向</v>
      </c>
      <c r="R25" s="1507" t="s">
        <v>8</v>
      </c>
      <c r="S25" s="1508">
        <f>F25</f>
        <v>100</v>
      </c>
      <c r="T25" s="1507" t="s">
        <v>8</v>
      </c>
      <c r="U25" s="1508">
        <f>H25</f>
        <v>100</v>
      </c>
      <c r="V25" s="1507" t="s">
        <v>8</v>
      </c>
      <c r="W25" s="1508">
        <f>J25</f>
        <v>100</v>
      </c>
      <c r="X25" s="1501"/>
      <c r="Y25" s="3513"/>
      <c r="Z25" s="1509" t="str">
        <f>Q25</f>
        <v>区域土地利用方向</v>
      </c>
      <c r="AA25" s="1510">
        <f t="shared" si="3"/>
        <v>1</v>
      </c>
      <c r="AB25" s="1510">
        <f t="shared" si="4"/>
        <v>1</v>
      </c>
      <c r="AC25" s="1510">
        <f t="shared" si="5"/>
        <v>1</v>
      </c>
    </row>
    <row r="26" spans="1:29" ht="20.25">
      <c r="A26" s="509"/>
      <c r="B26" s="993"/>
      <c r="C26" s="548"/>
      <c r="D26" s="551"/>
      <c r="E26" s="552"/>
      <c r="F26" s="549"/>
      <c r="G26" s="550"/>
      <c r="H26" s="549"/>
      <c r="I26" s="552"/>
      <c r="J26" s="549"/>
      <c r="K26" s="525"/>
      <c r="L26" s="2024"/>
      <c r="M26" s="2014"/>
      <c r="N26" s="2014"/>
      <c r="O26" s="2023"/>
      <c r="P26" s="3513"/>
      <c r="Q26" s="1506"/>
      <c r="R26" s="1507"/>
      <c r="S26" s="1508"/>
      <c r="T26" s="1507"/>
      <c r="U26" s="1508"/>
      <c r="V26" s="1507"/>
      <c r="W26" s="1508"/>
      <c r="X26" s="1501"/>
      <c r="Y26" s="3513"/>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13"/>
      <c r="Q27" s="1506" t="str">
        <f t="shared" si="8"/>
        <v>自然及人文环境状况</v>
      </c>
      <c r="R27" s="1507" t="s">
        <v>8</v>
      </c>
      <c r="S27" s="1508">
        <f>F27</f>
        <v>100</v>
      </c>
      <c r="T27" s="1507" t="s">
        <v>8</v>
      </c>
      <c r="U27" s="1508">
        <f>H27</f>
        <v>100</v>
      </c>
      <c r="V27" s="1507" t="s">
        <v>8</v>
      </c>
      <c r="W27" s="1508">
        <f>J27</f>
        <v>100</v>
      </c>
      <c r="X27" s="1501"/>
      <c r="Y27" s="3513"/>
      <c r="Z27" s="1509" t="str">
        <f>Q27</f>
        <v>自然及人文环境状况</v>
      </c>
      <c r="AA27" s="1510">
        <f t="shared" si="3"/>
        <v>1</v>
      </c>
      <c r="AB27" s="1510">
        <f t="shared" si="4"/>
        <v>1</v>
      </c>
      <c r="AC27" s="1510">
        <f t="shared" si="5"/>
        <v>1</v>
      </c>
    </row>
    <row r="28" spans="1:29" ht="20.25">
      <c r="A28" s="509"/>
      <c r="B28" s="560"/>
      <c r="C28" s="548"/>
      <c r="D28" s="551"/>
      <c r="E28" s="570"/>
      <c r="F28" s="549"/>
      <c r="G28" s="548"/>
      <c r="H28" s="549"/>
      <c r="I28" s="570"/>
      <c r="J28" s="549"/>
      <c r="K28" s="525"/>
      <c r="L28" s="2024"/>
      <c r="M28" s="2014"/>
      <c r="N28" s="2014"/>
      <c r="O28" s="2023"/>
      <c r="P28" s="3513"/>
      <c r="Q28" s="1506"/>
      <c r="R28" s="1507"/>
      <c r="S28" s="1508"/>
      <c r="T28" s="1507"/>
      <c r="U28" s="1508"/>
      <c r="V28" s="1507"/>
      <c r="W28" s="1508"/>
      <c r="X28" s="1501"/>
      <c r="Y28" s="3513"/>
      <c r="Z28" s="1509"/>
      <c r="AA28" s="1510">
        <v>1</v>
      </c>
      <c r="AB28" s="1510">
        <v>1</v>
      </c>
      <c r="AC28" s="1510">
        <v>1</v>
      </c>
    </row>
    <row r="29" spans="1:29" s="1202" customFormat="1" ht="42.75">
      <c r="A29" s="571"/>
      <c r="B29" s="2435" t="s">
        <v>2527</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13"/>
      <c r="Q29" s="1133" t="str">
        <f t="shared" si="8"/>
        <v>公共配套设施</v>
      </c>
      <c r="R29" s="1502" t="s">
        <v>8</v>
      </c>
      <c r="S29" s="1503">
        <f>F29</f>
        <v>100</v>
      </c>
      <c r="T29" s="1502" t="s">
        <v>8</v>
      </c>
      <c r="U29" s="1503">
        <f>H29</f>
        <v>100</v>
      </c>
      <c r="V29" s="1502" t="s">
        <v>8</v>
      </c>
      <c r="W29" s="1503">
        <f>J29</f>
        <v>100</v>
      </c>
      <c r="X29" s="1504"/>
      <c r="Y29" s="3513"/>
      <c r="Z29" s="1132" t="str">
        <f>Q29</f>
        <v>公共配套设施</v>
      </c>
      <c r="AA29" s="1510">
        <f>D29/F29</f>
        <v>1</v>
      </c>
      <c r="AB29" s="1510">
        <f>D29/H29</f>
        <v>1</v>
      </c>
      <c r="AC29" s="1510">
        <f>D29/J29</f>
        <v>1</v>
      </c>
    </row>
    <row r="30" spans="1:29" s="1202" customFormat="1" ht="20.25">
      <c r="A30" s="571"/>
      <c r="B30" s="560"/>
      <c r="C30" s="573"/>
      <c r="D30" s="551"/>
      <c r="E30" s="570"/>
      <c r="F30" s="549"/>
      <c r="G30" s="548"/>
      <c r="H30" s="549"/>
      <c r="I30" s="570"/>
      <c r="J30" s="549"/>
      <c r="K30" s="525"/>
      <c r="L30" s="2017"/>
      <c r="M30" s="2014"/>
      <c r="N30" s="2014"/>
      <c r="O30" s="2019"/>
      <c r="P30" s="3513"/>
      <c r="Q30" s="1133"/>
      <c r="R30" s="1502"/>
      <c r="S30" s="1503"/>
      <c r="T30" s="1502"/>
      <c r="U30" s="1503"/>
      <c r="V30" s="1502"/>
      <c r="W30" s="1503"/>
      <c r="X30" s="1504"/>
      <c r="Y30" s="3513"/>
      <c r="Z30" s="1132"/>
      <c r="AA30" s="1510">
        <v>1</v>
      </c>
      <c r="AB30" s="1510">
        <v>1</v>
      </c>
      <c r="AC30" s="1510">
        <v>1</v>
      </c>
    </row>
    <row r="31" spans="1:29" s="1202" customFormat="1" ht="28.5">
      <c r="A31" s="571"/>
      <c r="B31" s="2435" t="s">
        <v>2528</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13"/>
      <c r="Q31" s="2428" t="str">
        <f t="shared" ref="Q31" si="9">B31</f>
        <v>基础设施水平</v>
      </c>
      <c r="R31" s="1502" t="s">
        <v>8</v>
      </c>
      <c r="S31" s="1503">
        <f>F31</f>
        <v>100</v>
      </c>
      <c r="T31" s="1502" t="s">
        <v>8</v>
      </c>
      <c r="U31" s="1503">
        <f>H31</f>
        <v>100</v>
      </c>
      <c r="V31" s="1502" t="s">
        <v>8</v>
      </c>
      <c r="W31" s="1503">
        <f>J31</f>
        <v>100</v>
      </c>
      <c r="X31" s="1504"/>
      <c r="Y31" s="3513"/>
      <c r="Z31" s="2427" t="str">
        <f>Q31</f>
        <v>基础设施水平</v>
      </c>
      <c r="AA31" s="1510">
        <f>D31/F31</f>
        <v>1</v>
      </c>
      <c r="AB31" s="1510">
        <f>D31/H31</f>
        <v>1</v>
      </c>
      <c r="AC31" s="1510">
        <f>D31/J31</f>
        <v>1</v>
      </c>
    </row>
    <row r="32" spans="1:29" s="1202" customFormat="1" ht="20.25">
      <c r="A32" s="571"/>
      <c r="B32" s="560"/>
      <c r="C32" s="573"/>
      <c r="D32" s="551"/>
      <c r="E32" s="2436"/>
      <c r="F32" s="549"/>
      <c r="G32" s="573"/>
      <c r="H32" s="549"/>
      <c r="I32" s="573"/>
      <c r="J32" s="549"/>
      <c r="K32" s="525"/>
      <c r="L32" s="2017"/>
      <c r="M32" s="2014"/>
      <c r="N32" s="2014"/>
      <c r="O32" s="2019"/>
      <c r="P32" s="3513"/>
      <c r="Q32" s="2428"/>
      <c r="R32" s="1502"/>
      <c r="S32" s="1503"/>
      <c r="T32" s="1502"/>
      <c r="U32" s="1503"/>
      <c r="V32" s="1502"/>
      <c r="W32" s="1503"/>
      <c r="X32" s="1504"/>
      <c r="Y32" s="3513"/>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13"/>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13"/>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13"/>
      <c r="Q34" s="1506" t="str">
        <f t="shared" si="8"/>
        <v>毗邻道路的类型与等级</v>
      </c>
      <c r="R34" s="1507" t="s">
        <v>8</v>
      </c>
      <c r="S34" s="1508">
        <f t="shared" si="10"/>
        <v>100</v>
      </c>
      <c r="T34" s="1507" t="s">
        <v>8</v>
      </c>
      <c r="U34" s="1508">
        <f t="shared" si="11"/>
        <v>100</v>
      </c>
      <c r="V34" s="1507" t="s">
        <v>8</v>
      </c>
      <c r="W34" s="1508">
        <f t="shared" si="12"/>
        <v>100</v>
      </c>
      <c r="X34" s="1501"/>
      <c r="Y34" s="3513"/>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13"/>
      <c r="Q35" s="1506"/>
      <c r="R35" s="1507"/>
      <c r="S35" s="1508"/>
      <c r="T35" s="1507"/>
      <c r="U35" s="1508"/>
      <c r="V35" s="1507"/>
      <c r="W35" s="1508"/>
      <c r="X35" s="1501"/>
      <c r="Y35" s="3513"/>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13"/>
      <c r="Q36" s="1506" t="str">
        <f t="shared" si="8"/>
        <v>土地级别</v>
      </c>
      <c r="R36" s="1507" t="s">
        <v>8</v>
      </c>
      <c r="S36" s="1508">
        <f t="shared" si="10"/>
        <v>100</v>
      </c>
      <c r="T36" s="1507" t="s">
        <v>8</v>
      </c>
      <c r="U36" s="1508">
        <f t="shared" si="11"/>
        <v>100</v>
      </c>
      <c r="V36" s="1507" t="s">
        <v>8</v>
      </c>
      <c r="W36" s="1508">
        <f t="shared" si="12"/>
        <v>100</v>
      </c>
      <c r="X36" s="1501"/>
      <c r="Y36" s="3513"/>
      <c r="Z36" s="1509" t="str">
        <f t="shared" si="13"/>
        <v>土地级别</v>
      </c>
      <c r="AA36" s="1510">
        <f t="shared" si="3"/>
        <v>1</v>
      </c>
      <c r="AB36" s="1510">
        <f t="shared" si="4"/>
        <v>1</v>
      </c>
      <c r="AC36" s="1510">
        <f t="shared" si="5"/>
        <v>1</v>
      </c>
    </row>
    <row r="37" spans="1:29" ht="20.25">
      <c r="A37" s="509"/>
      <c r="B37" s="579"/>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13"/>
      <c r="Q37" s="1506">
        <f t="shared" si="8"/>
        <v>0</v>
      </c>
      <c r="R37" s="1507" t="s">
        <v>8</v>
      </c>
      <c r="S37" s="1508">
        <f t="shared" si="10"/>
        <v>100</v>
      </c>
      <c r="T37" s="1507" t="s">
        <v>8</v>
      </c>
      <c r="U37" s="1508">
        <f t="shared" si="11"/>
        <v>100</v>
      </c>
      <c r="V37" s="1507" t="s">
        <v>8</v>
      </c>
      <c r="W37" s="1508">
        <f t="shared" si="12"/>
        <v>100</v>
      </c>
      <c r="X37" s="1501"/>
      <c r="Y37" s="3513"/>
      <c r="Z37" s="1509">
        <f t="shared" si="13"/>
        <v>0</v>
      </c>
      <c r="AA37" s="1510">
        <f t="shared" si="3"/>
        <v>1</v>
      </c>
      <c r="AB37" s="1510">
        <f t="shared" si="4"/>
        <v>1</v>
      </c>
      <c r="AC37" s="1510">
        <f t="shared" si="5"/>
        <v>1</v>
      </c>
    </row>
    <row r="38" spans="1:29" ht="20.25">
      <c r="A38" s="581"/>
      <c r="B38" s="582"/>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14" t="s">
        <v>544</v>
      </c>
      <c r="Q38" s="1506">
        <f t="shared" si="8"/>
        <v>0</v>
      </c>
      <c r="R38" s="1507" t="s">
        <v>8</v>
      </c>
      <c r="S38" s="1508">
        <f t="shared" si="10"/>
        <v>100</v>
      </c>
      <c r="T38" s="1507" t="s">
        <v>8</v>
      </c>
      <c r="U38" s="1508">
        <f t="shared" si="11"/>
        <v>100</v>
      </c>
      <c r="V38" s="1507" t="s">
        <v>8</v>
      </c>
      <c r="W38" s="1508">
        <f t="shared" si="12"/>
        <v>100</v>
      </c>
      <c r="X38" s="1501"/>
      <c r="Y38" s="3515" t="s">
        <v>544</v>
      </c>
      <c r="Z38" s="1509">
        <f t="shared" si="13"/>
        <v>0</v>
      </c>
      <c r="AA38" s="1510">
        <f t="shared" si="3"/>
        <v>1</v>
      </c>
      <c r="AB38" s="1510">
        <f t="shared" si="4"/>
        <v>1</v>
      </c>
      <c r="AC38" s="1510">
        <f t="shared" si="5"/>
        <v>1</v>
      </c>
    </row>
    <row r="39" spans="1:29" s="1292" customFormat="1" ht="21" thickBot="1">
      <c r="A39" s="583"/>
      <c r="B39" s="584"/>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15"/>
      <c r="Q39" s="1506">
        <f t="shared" si="8"/>
        <v>0</v>
      </c>
      <c r="R39" s="1511" t="s">
        <v>8</v>
      </c>
      <c r="S39" s="1512">
        <f t="shared" si="10"/>
        <v>100</v>
      </c>
      <c r="T39" s="1511" t="s">
        <v>8</v>
      </c>
      <c r="U39" s="1512">
        <f t="shared" si="11"/>
        <v>100</v>
      </c>
      <c r="V39" s="1511" t="s">
        <v>8</v>
      </c>
      <c r="W39" s="1512">
        <f t="shared" si="12"/>
        <v>100</v>
      </c>
      <c r="X39" s="1513"/>
      <c r="Y39" s="3515"/>
      <c r="Z39" s="1514">
        <f t="shared" si="13"/>
        <v>0</v>
      </c>
      <c r="AA39" s="1510">
        <f t="shared" si="3"/>
        <v>1</v>
      </c>
      <c r="AB39" s="1510">
        <f t="shared" si="4"/>
        <v>1</v>
      </c>
      <c r="AC39" s="1510">
        <f t="shared" si="5"/>
        <v>1</v>
      </c>
    </row>
    <row r="40" spans="1:29" ht="20.25">
      <c r="A40" s="2624" t="s">
        <v>2732</v>
      </c>
      <c r="B40" s="589" t="s">
        <v>546</v>
      </c>
      <c r="C40" s="590"/>
      <c r="D40" s="591">
        <v>100</v>
      </c>
      <c r="E40" s="590"/>
      <c r="F40" s="591">
        <f>LOOKUP(E40,119:119,120:120)-LOOKUP(C40,119:119,120:120)+100</f>
        <v>100</v>
      </c>
      <c r="G40" s="590"/>
      <c r="H40" s="591">
        <f>LOOKUP(G40,119:119,120:120)-LOOKUP(C40,119:119,120:120)+100</f>
        <v>100</v>
      </c>
      <c r="I40" s="592"/>
      <c r="J40" s="591">
        <f>LOOKUP(I40,119:119,120:120)-LOOKUP(C40,119:119,120:120)+100</f>
        <v>100</v>
      </c>
      <c r="K40" s="575"/>
      <c r="L40" s="2024"/>
      <c r="M40" s="2014"/>
      <c r="N40" s="2014"/>
      <c r="O40" s="2023"/>
      <c r="P40" s="3515"/>
      <c r="Q40" s="1506" t="str">
        <f>B40</f>
        <v>宗地面积</v>
      </c>
      <c r="R40" s="1507" t="s">
        <v>8</v>
      </c>
      <c r="S40" s="1508">
        <f t="shared" si="10"/>
        <v>100</v>
      </c>
      <c r="T40" s="1507" t="s">
        <v>8</v>
      </c>
      <c r="U40" s="1508">
        <f t="shared" si="11"/>
        <v>100</v>
      </c>
      <c r="V40" s="1507" t="s">
        <v>8</v>
      </c>
      <c r="W40" s="1508">
        <f t="shared" si="12"/>
        <v>100</v>
      </c>
      <c r="X40" s="1501"/>
      <c r="Y40" s="3515"/>
      <c r="Z40" s="1509" t="str">
        <f t="shared" si="13"/>
        <v>宗地面积</v>
      </c>
      <c r="AA40" s="1510">
        <f t="shared" si="3"/>
        <v>1</v>
      </c>
      <c r="AB40" s="1510">
        <f t="shared" si="4"/>
        <v>1</v>
      </c>
      <c r="AC40" s="1510">
        <f t="shared" si="5"/>
        <v>1</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15"/>
      <c r="Q41" s="1506" t="str">
        <f t="shared" ref="Q41:Q47" si="14">B41</f>
        <v>宗地形状</v>
      </c>
      <c r="R41" s="1507" t="s">
        <v>8</v>
      </c>
      <c r="S41" s="1508">
        <f t="shared" si="10"/>
        <v>100</v>
      </c>
      <c r="T41" s="1507" t="s">
        <v>8</v>
      </c>
      <c r="U41" s="1508">
        <f t="shared" si="11"/>
        <v>100</v>
      </c>
      <c r="V41" s="1507" t="s">
        <v>8</v>
      </c>
      <c r="W41" s="1508">
        <f t="shared" si="12"/>
        <v>100</v>
      </c>
      <c r="X41" s="1501"/>
      <c r="Y41" s="3515"/>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15"/>
      <c r="Q42" s="1506" t="str">
        <f t="shared" si="14"/>
        <v>临街宽度及深度</v>
      </c>
      <c r="R42" s="1507" t="s">
        <v>8</v>
      </c>
      <c r="S42" s="1508">
        <f t="shared" si="10"/>
        <v>100</v>
      </c>
      <c r="T42" s="1507" t="s">
        <v>8</v>
      </c>
      <c r="U42" s="1508">
        <f t="shared" si="11"/>
        <v>100</v>
      </c>
      <c r="V42" s="1507" t="s">
        <v>8</v>
      </c>
      <c r="W42" s="1508">
        <f t="shared" si="12"/>
        <v>100</v>
      </c>
      <c r="X42" s="1501"/>
      <c r="Y42" s="3515"/>
      <c r="Z42" s="1509" t="str">
        <f t="shared" si="13"/>
        <v>临街宽度及深度</v>
      </c>
      <c r="AA42" s="1510">
        <f t="shared" si="3"/>
        <v>1</v>
      </c>
      <c r="AB42" s="1510">
        <f t="shared" si="4"/>
        <v>1</v>
      </c>
      <c r="AC42" s="1510">
        <f t="shared" si="5"/>
        <v>1</v>
      </c>
    </row>
    <row r="43" spans="1:29" s="1202" customFormat="1" ht="20.25">
      <c r="A43" s="594"/>
      <c r="B43" s="1809" t="s">
        <v>2406</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15"/>
      <c r="Q43" s="1506" t="str">
        <f t="shared" si="14"/>
        <v>宗地开发程度</v>
      </c>
      <c r="R43" s="1502" t="s">
        <v>8</v>
      </c>
      <c r="S43" s="1503">
        <f t="shared" si="10"/>
        <v>100</v>
      </c>
      <c r="T43" s="1502" t="s">
        <v>8</v>
      </c>
      <c r="U43" s="1503">
        <f t="shared" si="11"/>
        <v>100</v>
      </c>
      <c r="V43" s="1502" t="s">
        <v>8</v>
      </c>
      <c r="W43" s="1503">
        <f t="shared" si="12"/>
        <v>100</v>
      </c>
      <c r="X43" s="1504"/>
      <c r="Y43" s="3515"/>
      <c r="Z43" s="1132" t="str">
        <f t="shared" si="13"/>
        <v>宗地开发程度</v>
      </c>
      <c r="AA43" s="1505">
        <f t="shared" si="3"/>
        <v>1</v>
      </c>
      <c r="AB43" s="1505">
        <f t="shared" si="4"/>
        <v>1</v>
      </c>
      <c r="AC43" s="1505">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15" t="s">
        <v>544</v>
      </c>
      <c r="Q44" s="1506" t="str">
        <f t="shared" si="14"/>
        <v>工程地质条件</v>
      </c>
      <c r="R44" s="1507" t="s">
        <v>8</v>
      </c>
      <c r="S44" s="1508">
        <f t="shared" si="10"/>
        <v>100</v>
      </c>
      <c r="T44" s="1507" t="s">
        <v>8</v>
      </c>
      <c r="U44" s="1508">
        <f t="shared" si="11"/>
        <v>100</v>
      </c>
      <c r="V44" s="1507" t="s">
        <v>8</v>
      </c>
      <c r="W44" s="1508">
        <f t="shared" si="12"/>
        <v>100</v>
      </c>
      <c r="X44" s="1501"/>
      <c r="Y44" s="3515" t="s">
        <v>544</v>
      </c>
      <c r="Z44" s="1509" t="str">
        <f t="shared" si="13"/>
        <v>工程地质条件</v>
      </c>
      <c r="AA44" s="1510">
        <f t="shared" si="3"/>
        <v>1</v>
      </c>
      <c r="AB44" s="1510">
        <f t="shared" si="4"/>
        <v>1</v>
      </c>
      <c r="AC44" s="1510">
        <f t="shared" si="5"/>
        <v>1</v>
      </c>
    </row>
    <row r="45" spans="1:29" ht="20.25">
      <c r="A45" s="588"/>
      <c r="B45" s="596"/>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15"/>
      <c r="Q45" s="1506">
        <f t="shared" si="14"/>
        <v>0</v>
      </c>
      <c r="R45" s="1507" t="s">
        <v>8</v>
      </c>
      <c r="S45" s="1508">
        <f t="shared" si="10"/>
        <v>100</v>
      </c>
      <c r="T45" s="1507" t="s">
        <v>8</v>
      </c>
      <c r="U45" s="1508">
        <f t="shared" si="11"/>
        <v>100</v>
      </c>
      <c r="V45" s="1507" t="s">
        <v>8</v>
      </c>
      <c r="W45" s="1508">
        <f t="shared" si="12"/>
        <v>100</v>
      </c>
      <c r="X45" s="1501"/>
      <c r="Y45" s="3515"/>
      <c r="Z45" s="1509">
        <f t="shared" si="13"/>
        <v>0</v>
      </c>
      <c r="AA45" s="1510">
        <f t="shared" si="3"/>
        <v>1</v>
      </c>
      <c r="AB45" s="1510">
        <f t="shared" si="4"/>
        <v>1</v>
      </c>
      <c r="AC45" s="1510">
        <f t="shared" si="5"/>
        <v>1</v>
      </c>
    </row>
    <row r="46" spans="1:29" ht="20.25">
      <c r="A46" s="588"/>
      <c r="B46" s="596"/>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15"/>
      <c r="Q46" s="1506">
        <f t="shared" si="14"/>
        <v>0</v>
      </c>
      <c r="R46" s="1507" t="s">
        <v>8</v>
      </c>
      <c r="S46" s="1508">
        <f t="shared" si="10"/>
        <v>100</v>
      </c>
      <c r="T46" s="1507" t="s">
        <v>8</v>
      </c>
      <c r="U46" s="1508">
        <f t="shared" si="11"/>
        <v>100</v>
      </c>
      <c r="V46" s="1507" t="s">
        <v>8</v>
      </c>
      <c r="W46" s="1508">
        <f t="shared" si="12"/>
        <v>100</v>
      </c>
      <c r="X46" s="1501"/>
      <c r="Y46" s="3515"/>
      <c r="Z46" s="1509">
        <f t="shared" si="13"/>
        <v>0</v>
      </c>
      <c r="AA46" s="1510">
        <f t="shared" si="3"/>
        <v>1</v>
      </c>
      <c r="AB46" s="1510">
        <f t="shared" si="4"/>
        <v>1</v>
      </c>
      <c r="AC46" s="1510">
        <f t="shared" si="5"/>
        <v>1</v>
      </c>
    </row>
    <row r="47" spans="1:29" s="1292" customFormat="1" ht="21" thickBot="1">
      <c r="A47" s="597"/>
      <c r="B47" s="596"/>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15"/>
      <c r="Q47" s="1506">
        <f t="shared" si="14"/>
        <v>0</v>
      </c>
      <c r="R47" s="1511" t="s">
        <v>8</v>
      </c>
      <c r="S47" s="1512">
        <f t="shared" si="10"/>
        <v>100</v>
      </c>
      <c r="T47" s="1511" t="s">
        <v>8</v>
      </c>
      <c r="U47" s="1512">
        <f t="shared" si="11"/>
        <v>100</v>
      </c>
      <c r="V47" s="1511" t="s">
        <v>8</v>
      </c>
      <c r="W47" s="1512">
        <f t="shared" si="12"/>
        <v>100</v>
      </c>
      <c r="X47" s="1513"/>
      <c r="Y47" s="3515"/>
      <c r="Z47" s="1514">
        <f t="shared" si="13"/>
        <v>0</v>
      </c>
      <c r="AA47" s="1510">
        <f t="shared" si="3"/>
        <v>1</v>
      </c>
      <c r="AB47" s="1510">
        <f t="shared" si="4"/>
        <v>1</v>
      </c>
      <c r="AC47" s="1510">
        <f t="shared" si="5"/>
        <v>1</v>
      </c>
    </row>
    <row r="48" spans="1:29" ht="20.25">
      <c r="A48" s="601" t="s">
        <v>550</v>
      </c>
      <c r="B48" s="602" t="s">
        <v>3032</v>
      </c>
      <c r="C48" s="603" t="s">
        <v>1</v>
      </c>
      <c r="D48" s="604"/>
      <c r="E48" s="605">
        <v>3244</v>
      </c>
      <c r="F48" s="606"/>
      <c r="G48" s="607">
        <v>3697</v>
      </c>
      <c r="H48" s="608"/>
      <c r="I48" s="605">
        <v>3582</v>
      </c>
      <c r="J48" s="608"/>
      <c r="K48" s="1293"/>
      <c r="L48" s="2026"/>
      <c r="M48" s="2014"/>
      <c r="N48" s="2014"/>
      <c r="O48" s="2027"/>
      <c r="P48" s="3510" t="str">
        <f>A48</f>
        <v>成交单价</v>
      </c>
      <c r="Q48" s="3510"/>
      <c r="R48" s="3524">
        <f>E48</f>
        <v>3244</v>
      </c>
      <c r="S48" s="3524"/>
      <c r="T48" s="3524">
        <f>G48</f>
        <v>3697</v>
      </c>
      <c r="U48" s="3524"/>
      <c r="V48" s="3524">
        <f>I48</f>
        <v>3582</v>
      </c>
      <c r="W48" s="3524"/>
      <c r="X48" s="1496"/>
      <c r="Y48" s="1515"/>
      <c r="Z48" s="1496"/>
      <c r="AA48" s="1496"/>
      <c r="AB48" s="1496"/>
      <c r="AC48" s="1496"/>
    </row>
    <row r="49" spans="1:29" ht="21" thickBot="1">
      <c r="A49" s="609" t="s">
        <v>2670</v>
      </c>
      <c r="B49" s="610"/>
      <c r="C49" s="611">
        <f>R50</f>
        <v>3125</v>
      </c>
      <c r="D49" s="3014" t="s">
        <v>2965</v>
      </c>
      <c r="E49" s="611">
        <f>R49</f>
        <v>2717</v>
      </c>
      <c r="F49" s="3015"/>
      <c r="G49" s="612">
        <f>T49</f>
        <v>3447</v>
      </c>
      <c r="H49" s="3015"/>
      <c r="I49" s="611">
        <f>V49</f>
        <v>3211</v>
      </c>
      <c r="J49" s="3015"/>
      <c r="K49" s="3016">
        <f>F49+H49+J49</f>
        <v>0</v>
      </c>
      <c r="L49" s="2026"/>
      <c r="M49" s="2014"/>
      <c r="N49" s="2014"/>
      <c r="O49" s="2027"/>
      <c r="P49" s="3510" t="str">
        <f>A49</f>
        <v>比较价格（元/平方米）</v>
      </c>
      <c r="Q49" s="3510"/>
      <c r="R49" s="3534">
        <f>ROUND(PRODUCT(R48,AA9:AA47),0)</f>
        <v>2717</v>
      </c>
      <c r="S49" s="3534"/>
      <c r="T49" s="3534">
        <f>ROUND(PRODUCT(T48,AB9:AB47),0)</f>
        <v>3447</v>
      </c>
      <c r="U49" s="3534"/>
      <c r="V49" s="3534">
        <f>ROUND(PRODUCT(V48,AC9:AC47),0)</f>
        <v>3211</v>
      </c>
      <c r="W49" s="3534"/>
      <c r="X49" s="1496"/>
      <c r="Y49" s="1496"/>
      <c r="Z49" s="1496"/>
      <c r="AA49" s="1496"/>
      <c r="AB49" s="1496"/>
      <c r="AC49" s="1496"/>
    </row>
    <row r="50" spans="1:29" ht="21" thickBot="1">
      <c r="A50" s="613" t="s">
        <v>2896</v>
      </c>
      <c r="B50" s="614"/>
      <c r="C50" s="615">
        <f>R50</f>
        <v>3125</v>
      </c>
      <c r="D50" s="615"/>
      <c r="E50" s="615"/>
      <c r="F50" s="615"/>
      <c r="G50" s="615"/>
      <c r="H50" s="615"/>
      <c r="I50" s="615"/>
      <c r="J50" s="615"/>
      <c r="K50" s="1294"/>
      <c r="L50" s="2026"/>
      <c r="M50" s="2014"/>
      <c r="N50" s="2014"/>
      <c r="O50" s="2027"/>
      <c r="P50" s="3531" t="str">
        <f>A50</f>
        <v>估价对象XX用房的比较价格（楼面单价，元/平方米）</v>
      </c>
      <c r="Q50" s="3532"/>
      <c r="R50" s="3533">
        <f>ROUND(IF(D49="简单平均",AVERAGE(R49:W49),R49*F49+T49*H49+V49*J49),0)</f>
        <v>3125</v>
      </c>
      <c r="S50" s="3533"/>
      <c r="T50" s="3533"/>
      <c r="U50" s="3533"/>
      <c r="V50" s="3533"/>
      <c r="W50" s="3533"/>
      <c r="X50" s="1496"/>
      <c r="Y50" s="1496"/>
      <c r="Z50" s="1496"/>
      <c r="AA50" s="1496"/>
      <c r="AB50" s="1496"/>
      <c r="AC50" s="1496"/>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f>IF(E48&lt;E49,E49/E48-1,E48/E49-1)</f>
        <v>0.19396393080603613</v>
      </c>
      <c r="F53" s="619" t="str">
        <f>IF(OR(E53&gt;=0.3,E53&lt;=-0.3),"超过30%","")</f>
        <v/>
      </c>
      <c r="G53" s="618">
        <f>IF(G48&lt;G49,G49/G48-1,G48/G49-1)</f>
        <v>7.2526834928923645E-2</v>
      </c>
      <c r="H53" s="619" t="str">
        <f>IF(OR(G53&gt;=0.3,G53&lt;=-0.3),"超过30%","")</f>
        <v/>
      </c>
      <c r="I53" s="618">
        <f>IF(I48&lt;I49,I49/I48-1,I48/I49-1)</f>
        <v>0.11554033011522891</v>
      </c>
      <c r="J53" s="619" t="str">
        <f>IF(OR(I53&gt;=0.3,I53&lt;=-0.3),"超过30%","")</f>
        <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f>IF(E49&lt;G49,G49/E49-1,E49/G49-1)</f>
        <v>0.26867868973132136</v>
      </c>
      <c r="F54" s="619" t="str">
        <f>IF(OR(E54&gt;=0.2,E54&lt;=-0.2),"超过20%","")</f>
        <v>超过20%</v>
      </c>
      <c r="G54" s="618">
        <f>IF(G49&lt;I49,I49/G49-1,G49/I49-1)</f>
        <v>7.3497352849579478E-2</v>
      </c>
      <c r="H54" s="619" t="str">
        <f>IF(OR(G54&gt;=0.2,G54&lt;=-0.2),"超过20%","")</f>
        <v/>
      </c>
      <c r="I54" s="618">
        <f>IF(I49&lt;E49,E49/I49-1,I49/E49-1)</f>
        <v>0.18181818181818188</v>
      </c>
      <c r="J54" s="619" t="str">
        <f>IF(OR(I54&gt;=0.2,I54&lt;=-0.2),"超过20%","")</f>
        <v/>
      </c>
      <c r="K54" s="3217"/>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5"/>
      <c r="B55" s="3215"/>
      <c r="C55" s="616" t="s">
        <v>553</v>
      </c>
      <c r="D55" s="620"/>
      <c r="E55" s="618">
        <f>IF(E48&lt;G48,G48/E48-1,E48/G48-1)</f>
        <v>0.13964241676942057</v>
      </c>
      <c r="F55" s="619" t="str">
        <f>IF(OR(E55&gt;=0.3,E55&lt;=-0.3),"超过30%","")</f>
        <v/>
      </c>
      <c r="G55" s="618">
        <f>IF(G48&lt;I48,I48/G48-1,G48/I48-1)</f>
        <v>3.210496929089901E-2</v>
      </c>
      <c r="H55" s="619" t="str">
        <f>IF(OR(G55&gt;=0.3,G55&lt;=-0.3),"超过30%","")</f>
        <v/>
      </c>
      <c r="I55" s="618">
        <f>IF(I48&lt;E48,E48/I48-1,I48/E48-1)</f>
        <v>0.10419235511713931</v>
      </c>
      <c r="J55" s="619" t="str">
        <f>IF(OR(I55&gt;=0.3,I55&lt;=-0.3),"超过30%","")</f>
        <v/>
      </c>
      <c r="K55" s="3218"/>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2278</v>
      </c>
      <c r="E57" s="623" t="s">
        <v>556</v>
      </c>
      <c r="F57" s="624" t="s">
        <v>557</v>
      </c>
      <c r="G57" s="3494" t="s">
        <v>2266</v>
      </c>
      <c r="H57" s="3495"/>
      <c r="I57" s="1493" t="s">
        <v>1713</v>
      </c>
      <c r="J57" s="1493" t="str">
        <f>项目基本情况!F41</f>
        <v>河南省郑州市高新区</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3125</v>
      </c>
      <c r="C58" s="627">
        <v>1</v>
      </c>
      <c r="D58" s="2108">
        <v>1</v>
      </c>
      <c r="E58" s="627">
        <f>'数据-汇总表'!E8+'数据-汇总表'!E9</f>
        <v>204292.17</v>
      </c>
      <c r="F58" s="628">
        <f t="shared" ref="F58:F67" si="15">ROUND(B58*E58/10000,0)</f>
        <v>63841</v>
      </c>
      <c r="G58" s="3496"/>
      <c r="H58" s="3497"/>
      <c r="I58" s="1494">
        <v>1</v>
      </c>
      <c r="J58" s="1494">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498" t="s">
        <v>2267</v>
      </c>
      <c r="H59" s="1862">
        <f>项目基本情况!B43</f>
        <v>0</v>
      </c>
      <c r="I59" s="1494">
        <f>SUMIF(修正!$A$45:$A$56,H59,修正!B45:B56)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498"/>
      <c r="H60" s="1862">
        <f>项目基本情况!B43</f>
        <v>0</v>
      </c>
      <c r="I60" s="1494">
        <f>SUMIF(修正!$A$45:$A$56,H60,修正!C45:C56)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498"/>
      <c r="H61" s="1862">
        <f>项目基本情况!B43</f>
        <v>0</v>
      </c>
      <c r="I61" s="1494">
        <f>SUMIF(修正!$A$45:$A$56,H61,修正!D45:D56)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498"/>
      <c r="H62" s="1862">
        <f>项目基本情况!B43</f>
        <v>0</v>
      </c>
      <c r="I62" s="1494">
        <f>SUMIF(修正!$A$45:$A$56,H62,修正!E45:E56)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2313</v>
      </c>
      <c r="B63" s="630">
        <f t="shared" si="17"/>
        <v>0</v>
      </c>
      <c r="C63" s="372">
        <f t="shared" si="16"/>
        <v>0</v>
      </c>
      <c r="D63" s="2109">
        <v>0.25</v>
      </c>
      <c r="E63" s="633">
        <f>'数据-汇总表'!E11</f>
        <v>202.39</v>
      </c>
      <c r="F63" s="628">
        <f t="shared" si="15"/>
        <v>0</v>
      </c>
      <c r="G63" s="1859" t="s">
        <v>2268</v>
      </c>
      <c r="H63" s="1862">
        <f>项目基本情况!C43</f>
        <v>0</v>
      </c>
      <c r="I63" s="1494">
        <f>SUMIF(修正!$A$45:$A$56,H63,修正!F45:F56)</f>
        <v>0</v>
      </c>
      <c r="J63" s="1495"/>
      <c r="K63" s="3219"/>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4">
        <f>SUMIF(修正!$A$45:$A$56,H64,修正!G45:G56)</f>
        <v>0</v>
      </c>
      <c r="J64" s="1495"/>
      <c r="K64" s="3219"/>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63386.549999999996</v>
      </c>
      <c r="F65" s="628">
        <f t="shared" si="15"/>
        <v>0</v>
      </c>
      <c r="G65" s="1860" t="s">
        <v>914</v>
      </c>
      <c r="H65" s="1858">
        <f>IF(G65="商业",项目基本情况!B43,IF(G65="办公",项目基本情况!C43,IF(G65="住宅",项目基本情况!D43,项目基本情况!E43)))</f>
        <v>0</v>
      </c>
      <c r="I65" s="1494">
        <f>SUMIF(修正!$A$45:$A$56,H65,修正!H45:H56)</f>
        <v>0</v>
      </c>
      <c r="J65" s="1495"/>
      <c r="K65" s="3219"/>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2267</v>
      </c>
      <c r="H66" s="1862">
        <f>项目基本情况!B43</f>
        <v>0</v>
      </c>
      <c r="I66" s="1494">
        <f>SUMIF(修正!$A$45:$A$56,H66,修正!H45:H56)</f>
        <v>0</v>
      </c>
      <c r="J66" s="1495"/>
      <c r="K66" s="3219"/>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2268</v>
      </c>
      <c r="H67" s="1863">
        <f>项目基本情况!C43</f>
        <v>0</v>
      </c>
      <c r="I67" s="1494">
        <f>SUMIF(修正!$A$45:$A$56,H67,修正!H45:H56)</f>
        <v>0</v>
      </c>
      <c r="J67" s="1495"/>
      <c r="K67" s="3219"/>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2279</v>
      </c>
      <c r="E68" s="635">
        <f>IF(B48="楼面地价",SUM(E58:E67),'数据-汇总表'!D3)</f>
        <v>267881.11000000004</v>
      </c>
      <c r="F68" s="636">
        <f>IF(B48="楼面地价",SUM(F58:F67),ROUND(C50*E68/10000,0))</f>
        <v>63841</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2020-8-1</v>
      </c>
      <c r="D70" s="2516">
        <f>EDATE(C70,-3)</f>
        <v>43952</v>
      </c>
      <c r="E70" s="2516">
        <f t="shared" ref="E70:N70" si="18">EDATE(D70,-3)</f>
        <v>43862</v>
      </c>
      <c r="F70" s="2516">
        <f t="shared" si="18"/>
        <v>43770</v>
      </c>
      <c r="G70" s="2516">
        <f t="shared" si="18"/>
        <v>43678</v>
      </c>
      <c r="H70" s="2516">
        <f t="shared" si="18"/>
        <v>43586</v>
      </c>
      <c r="I70" s="2516">
        <f t="shared" si="18"/>
        <v>43497</v>
      </c>
      <c r="J70" s="2516">
        <f t="shared" si="18"/>
        <v>43405</v>
      </c>
      <c r="K70" s="2516">
        <f t="shared" si="18"/>
        <v>43313</v>
      </c>
      <c r="L70" s="2516">
        <f t="shared" si="18"/>
        <v>43221</v>
      </c>
      <c r="M70" s="2516">
        <f t="shared" si="18"/>
        <v>43132</v>
      </c>
      <c r="N70" s="2516">
        <f t="shared" si="18"/>
        <v>43040</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2511</v>
      </c>
      <c r="B72" s="2422"/>
      <c r="C72" s="2513" t="str">
        <f>YEAR(C70)&amp;"-"&amp;ROUNDUP(MONTH(C70)/3,0)</f>
        <v>2020-3</v>
      </c>
      <c r="D72" s="2518" t="str">
        <f>YEAR(D70)&amp;"-"&amp;ROUNDUP(MONTH(D70)/3,0)</f>
        <v>2020-2</v>
      </c>
      <c r="E72" s="2518" t="str">
        <f t="shared" ref="E72:N72" si="19">YEAR(E70)&amp;"-"&amp;ROUNDUP(MONTH(E70)/3,0)</f>
        <v>2020-1</v>
      </c>
      <c r="F72" s="2518" t="str">
        <f t="shared" si="19"/>
        <v>2019-4</v>
      </c>
      <c r="G72" s="2518" t="str">
        <f t="shared" si="19"/>
        <v>2019-3</v>
      </c>
      <c r="H72" s="2518" t="str">
        <f t="shared" si="19"/>
        <v>2019-2</v>
      </c>
      <c r="I72" s="2518" t="str">
        <f t="shared" si="19"/>
        <v>2019-1</v>
      </c>
      <c r="J72" s="2518" t="str">
        <f t="shared" si="19"/>
        <v>2018-4</v>
      </c>
      <c r="K72" s="2518" t="str">
        <f t="shared" si="19"/>
        <v>2018-3</v>
      </c>
      <c r="L72" s="2518" t="str">
        <f t="shared" si="19"/>
        <v>2018-2</v>
      </c>
      <c r="M72" s="2518" t="str">
        <f t="shared" si="19"/>
        <v>2018-1</v>
      </c>
      <c r="N72" s="2518" t="str">
        <f t="shared" si="19"/>
        <v>2017-4</v>
      </c>
      <c r="O72" s="2040"/>
      <c r="P72" s="2041"/>
      <c r="Q72" s="2042"/>
      <c r="R72" s="2042"/>
      <c r="S72" s="2042"/>
      <c r="T72" s="2042"/>
      <c r="U72" s="2042"/>
      <c r="V72" s="2042"/>
      <c r="W72" s="2042"/>
      <c r="X72" s="2042"/>
      <c r="Y72" s="2042"/>
      <c r="Z72" s="2042"/>
      <c r="AA72" s="2042"/>
      <c r="AB72" s="2042"/>
      <c r="AC72" s="2042"/>
    </row>
    <row r="73" spans="1:29" s="1202" customFormat="1" ht="27" customHeight="1">
      <c r="A73" s="2523" t="s">
        <v>914</v>
      </c>
      <c r="B73" s="473" t="str">
        <f>"北京市平均增长率"&amp;TEXT(SUMIF(基准地价!N21:N25,A73,基准地价!P21:P25),"0.00%")</f>
        <v>北京市平均增长率1.97%</v>
      </c>
      <c r="C73" s="882">
        <v>100</v>
      </c>
      <c r="D73" s="3283">
        <f>C73-$C$74</f>
        <v>99.5</v>
      </c>
      <c r="E73" s="3283">
        <f t="shared" ref="E73:N73" si="20">D73-$C$74</f>
        <v>99</v>
      </c>
      <c r="F73" s="3283">
        <f t="shared" si="20"/>
        <v>98.5</v>
      </c>
      <c r="G73" s="3283">
        <f t="shared" si="20"/>
        <v>98</v>
      </c>
      <c r="H73" s="3283">
        <f t="shared" si="20"/>
        <v>97.5</v>
      </c>
      <c r="I73" s="3283">
        <f t="shared" si="20"/>
        <v>97</v>
      </c>
      <c r="J73" s="3283">
        <f t="shared" si="20"/>
        <v>96.5</v>
      </c>
      <c r="K73" s="3283">
        <f t="shared" si="20"/>
        <v>96</v>
      </c>
      <c r="L73" s="3283">
        <f t="shared" si="20"/>
        <v>95.5</v>
      </c>
      <c r="M73" s="3283">
        <f t="shared" si="20"/>
        <v>95</v>
      </c>
      <c r="N73" s="3283">
        <f t="shared" si="20"/>
        <v>94.5</v>
      </c>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2624</v>
      </c>
      <c r="B74" s="2522"/>
      <c r="C74" s="2509">
        <v>0.5</v>
      </c>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ht="42.75">
      <c r="A77" s="656" t="s">
        <v>571</v>
      </c>
      <c r="B77" s="657" t="s">
        <v>528</v>
      </c>
      <c r="C77" s="592" t="str">
        <f>项目基本情况!B13</f>
        <v>住宅</v>
      </c>
      <c r="D77" s="592" t="str">
        <f>高新区土地案例!I3</f>
        <v>城镇住宅用地(地下交通服务场站用地)</v>
      </c>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v>100</v>
      </c>
      <c r="D78" s="663">
        <v>100</v>
      </c>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2（含）-2.5</v>
      </c>
      <c r="D81" s="674" t="str">
        <f t="shared" ref="D81:L81" si="21">D82&amp;"（含）"&amp;"-"&amp;E82</f>
        <v>2.5（含）-3</v>
      </c>
      <c r="E81" s="674" t="str">
        <f t="shared" si="21"/>
        <v>3（含）-3.5</v>
      </c>
      <c r="F81" s="674" t="str">
        <f t="shared" si="21"/>
        <v>3.5（含）-4</v>
      </c>
      <c r="G81" s="674" t="str">
        <f t="shared" si="21"/>
        <v>4（含）-</v>
      </c>
      <c r="H81" s="674" t="str">
        <f t="shared" si="21"/>
        <v>（含）-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2</v>
      </c>
      <c r="D82" s="535">
        <v>2.5</v>
      </c>
      <c r="E82" s="535">
        <v>3</v>
      </c>
      <c r="F82" s="535">
        <v>3.5</v>
      </c>
      <c r="G82" s="535">
        <v>4</v>
      </c>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95</v>
      </c>
      <c r="E83" s="671">
        <f t="shared" ref="E83:M83" si="22">IF($B$48="单位面积地价",D83+$K13,D83-$K13)</f>
        <v>90</v>
      </c>
      <c r="F83" s="671">
        <f t="shared" si="22"/>
        <v>85</v>
      </c>
      <c r="G83" s="671">
        <f t="shared" si="22"/>
        <v>80</v>
      </c>
      <c r="H83" s="671">
        <f t="shared" si="22"/>
        <v>75</v>
      </c>
      <c r="I83" s="671">
        <f t="shared" si="22"/>
        <v>70</v>
      </c>
      <c r="J83" s="671">
        <f t="shared" si="22"/>
        <v>65</v>
      </c>
      <c r="K83" s="671">
        <f t="shared" si="22"/>
        <v>60</v>
      </c>
      <c r="L83" s="671">
        <f t="shared" si="22"/>
        <v>55</v>
      </c>
      <c r="M83" s="671">
        <f t="shared" si="22"/>
        <v>50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0</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0</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2527</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2529</v>
      </c>
      <c r="C104" s="2442" t="s">
        <v>2530</v>
      </c>
      <c r="D104" s="2442" t="s">
        <v>2531</v>
      </c>
      <c r="E104" s="2442" t="s">
        <v>2532</v>
      </c>
      <c r="F104" s="2442" t="s">
        <v>2533</v>
      </c>
      <c r="G104" s="2442" t="s">
        <v>2534</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0</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0</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0</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6">C119&amp;"(含)"&amp;"-"&amp;D119</f>
        <v>0(含)-</v>
      </c>
      <c r="D118" s="696" t="str">
        <f t="shared" si="26"/>
        <v>(含)-</v>
      </c>
      <c r="E118" s="696" t="str">
        <f t="shared" si="26"/>
        <v>(含)-</v>
      </c>
      <c r="F118" s="696" t="str">
        <f t="shared" si="26"/>
        <v>(含)-</v>
      </c>
      <c r="G118" s="696" t="str">
        <f t="shared" si="26"/>
        <v>(含)-</v>
      </c>
      <c r="H118" s="696" t="str">
        <f t="shared" si="26"/>
        <v>(含)-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7">C122-$K41</f>
        <v>100</v>
      </c>
      <c r="E122" s="671">
        <f t="shared" si="27"/>
        <v>100</v>
      </c>
      <c r="F122" s="671">
        <f t="shared" si="27"/>
        <v>100</v>
      </c>
      <c r="G122" s="671">
        <f t="shared" si="27"/>
        <v>100</v>
      </c>
      <c r="H122" s="671">
        <f t="shared" si="27"/>
        <v>100</v>
      </c>
      <c r="I122" s="671">
        <f t="shared" si="27"/>
        <v>100</v>
      </c>
      <c r="J122" s="671">
        <f t="shared" si="27"/>
        <v>100</v>
      </c>
      <c r="K122" s="671">
        <f t="shared" si="27"/>
        <v>100</v>
      </c>
      <c r="L122" s="671">
        <f t="shared" si="27"/>
        <v>100</v>
      </c>
      <c r="M122" s="672">
        <f t="shared" si="27"/>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2407</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100</v>
      </c>
      <c r="E126" s="671">
        <f t="shared" ref="E126:M126" si="29">D126-$K43</f>
        <v>100</v>
      </c>
      <c r="F126" s="671">
        <f t="shared" si="29"/>
        <v>100</v>
      </c>
      <c r="G126" s="671">
        <f t="shared" si="29"/>
        <v>100</v>
      </c>
      <c r="H126" s="671">
        <f t="shared" si="29"/>
        <v>100</v>
      </c>
      <c r="I126" s="671">
        <f t="shared" si="29"/>
        <v>100</v>
      </c>
      <c r="J126" s="671">
        <f t="shared" si="29"/>
        <v>100</v>
      </c>
      <c r="K126" s="671">
        <f t="shared" si="29"/>
        <v>100</v>
      </c>
      <c r="L126" s="671">
        <f t="shared" si="29"/>
        <v>100</v>
      </c>
      <c r="M126" s="672">
        <f t="shared" si="29"/>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0">C128-$K44</f>
        <v>100</v>
      </c>
      <c r="E128" s="671">
        <f t="shared" si="30"/>
        <v>100</v>
      </c>
      <c r="F128" s="671">
        <f t="shared" si="30"/>
        <v>100</v>
      </c>
      <c r="G128" s="671">
        <f t="shared" si="30"/>
        <v>100</v>
      </c>
      <c r="H128" s="671">
        <f t="shared" si="30"/>
        <v>100</v>
      </c>
      <c r="I128" s="671">
        <f t="shared" si="30"/>
        <v>100</v>
      </c>
      <c r="J128" s="671">
        <f t="shared" si="30"/>
        <v>100</v>
      </c>
      <c r="K128" s="671">
        <f t="shared" si="30"/>
        <v>100</v>
      </c>
      <c r="L128" s="671">
        <f t="shared" si="30"/>
        <v>100</v>
      </c>
      <c r="M128" s="672">
        <f t="shared" si="30"/>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0</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0</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0</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66" priority="17" stopIfTrue="1" operator="containsText" text="超过">
      <formula>NOT(ISERROR(SEARCH("超过",F53)))</formula>
    </cfRule>
  </conditionalFormatting>
  <conditionalFormatting sqref="J55">
    <cfRule type="containsText" dxfId="165" priority="16" stopIfTrue="1" operator="containsText" text="超过">
      <formula>NOT(ISERROR(SEARCH("超过",J55)))</formula>
    </cfRule>
  </conditionalFormatting>
  <conditionalFormatting sqref="H55">
    <cfRule type="containsText" dxfId="164" priority="15" stopIfTrue="1" operator="containsText" text="超过">
      <formula>NOT(ISERROR(SEARCH("超过",H55)))</formula>
    </cfRule>
  </conditionalFormatting>
  <conditionalFormatting sqref="F55">
    <cfRule type="containsText" dxfId="163" priority="14" stopIfTrue="1" operator="containsText" text="超过">
      <formula>NOT(ISERROR(SEARCH("超过",F55)))</formula>
    </cfRule>
  </conditionalFormatting>
  <conditionalFormatting sqref="F54 H54 J54">
    <cfRule type="containsText" dxfId="162" priority="13" stopIfTrue="1" operator="containsText" text="超过">
      <formula>NOT(ISERROR(SEARCH("超过",F54)))</formula>
    </cfRule>
  </conditionalFormatting>
  <conditionalFormatting sqref="E53">
    <cfRule type="expression" dxfId="161" priority="12" stopIfTrue="1">
      <formula>$F$53="超过30%"</formula>
    </cfRule>
  </conditionalFormatting>
  <conditionalFormatting sqref="G55">
    <cfRule type="expression" dxfId="160" priority="11" stopIfTrue="1">
      <formula>$H$55="超过30%"</formula>
    </cfRule>
  </conditionalFormatting>
  <conditionalFormatting sqref="E54">
    <cfRule type="expression" dxfId="159" priority="10" stopIfTrue="1">
      <formula>$F$54="超过20%"</formula>
    </cfRule>
  </conditionalFormatting>
  <conditionalFormatting sqref="E55">
    <cfRule type="expression" dxfId="158" priority="9" stopIfTrue="1">
      <formula>$F$55="超过30%"</formula>
    </cfRule>
  </conditionalFormatting>
  <conditionalFormatting sqref="G53">
    <cfRule type="expression" dxfId="157" priority="8" stopIfTrue="1">
      <formula>$H$55+$H$53="超过30%"</formula>
    </cfRule>
  </conditionalFormatting>
  <conditionalFormatting sqref="G54">
    <cfRule type="expression" dxfId="156" priority="7" stopIfTrue="1">
      <formula>$H$54="超过20%"</formula>
    </cfRule>
  </conditionalFormatting>
  <conditionalFormatting sqref="I53">
    <cfRule type="expression" dxfId="155" priority="6" stopIfTrue="1">
      <formula>$J$53="超过30%"</formula>
    </cfRule>
  </conditionalFormatting>
  <conditionalFormatting sqref="I54">
    <cfRule type="expression" dxfId="154" priority="5" stopIfTrue="1">
      <formula>$J$54="超过20%"</formula>
    </cfRule>
  </conditionalFormatting>
  <conditionalFormatting sqref="I55">
    <cfRule type="expression" dxfId="153" priority="4" stopIfTrue="1">
      <formula>$J$55="超过30%"</formula>
    </cfRule>
  </conditionalFormatting>
  <conditionalFormatting sqref="F49">
    <cfRule type="expression" dxfId="152" priority="3">
      <formula>$D$49="简单平均"</formula>
    </cfRule>
  </conditionalFormatting>
  <conditionalFormatting sqref="H49">
    <cfRule type="expression" dxfId="151" priority="2">
      <formula>$D$49="简单平均"</formula>
    </cfRule>
  </conditionalFormatting>
  <conditionalFormatting sqref="J49">
    <cfRule type="expression" dxfId="150" priority="1">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T45"/>
  <sheetViews>
    <sheetView topLeftCell="AA1" workbookViewId="0">
      <selection activeCell="AL3" sqref="AL3"/>
    </sheetView>
  </sheetViews>
  <sheetFormatPr defaultRowHeight="19.5" customHeight="1"/>
  <cols>
    <col min="1" max="1" width="32.75" style="3284" hidden="1" customWidth="1"/>
    <col min="2" max="2" width="6.25" style="3284" hidden="1" customWidth="1"/>
    <col min="3" max="3" width="13.875" style="3284" hidden="1" customWidth="1"/>
    <col min="4" max="4" width="6.25" style="3284" hidden="1" customWidth="1"/>
    <col min="5" max="5" width="4.625" style="3284" hidden="1" customWidth="1"/>
    <col min="6" max="6" width="21.5" style="3284" customWidth="1"/>
    <col min="7" max="7" width="7.875" style="3284" hidden="1" customWidth="1"/>
    <col min="8" max="8" width="20.5" style="3284" customWidth="1"/>
    <col min="9" max="9" width="24.5" style="3284" customWidth="1"/>
    <col min="10" max="11" width="13.875" style="3284" customWidth="1"/>
    <col min="12" max="12" width="12.5" style="3284" customWidth="1"/>
    <col min="13" max="15" width="7.875" style="3284" hidden="1" customWidth="1"/>
    <col min="16" max="16" width="9.625" style="3284" hidden="1" customWidth="1"/>
    <col min="17" max="18" width="15.5" style="3284" hidden="1" customWidth="1"/>
    <col min="19" max="19" width="12.875" style="3284" hidden="1" customWidth="1"/>
    <col min="20" max="20" width="11.25" style="3284" hidden="1" customWidth="1"/>
    <col min="21" max="21" width="11.25" style="3284" customWidth="1"/>
    <col min="22" max="22" width="17.875" style="3284" hidden="1" customWidth="1"/>
    <col min="23" max="23" width="7.875" style="3284" customWidth="1"/>
    <col min="24" max="26" width="9" style="3284" hidden="1" customWidth="1"/>
    <col min="27" max="27" width="9" style="3284" customWidth="1"/>
    <col min="28" max="28" width="25.75" style="3284" customWidth="1"/>
    <col min="29" max="29" width="7.875" style="3284" customWidth="1"/>
    <col min="30" max="30" width="29.375" style="3284" customWidth="1"/>
    <col min="31" max="32" width="10.625" style="3284" hidden="1" customWidth="1"/>
    <col min="33" max="33" width="9" style="3284"/>
    <col min="34" max="34" width="10.625" style="3284" customWidth="1"/>
    <col min="35" max="35" width="16" style="3284" hidden="1" customWidth="1"/>
    <col min="36" max="36" width="16" style="3284" customWidth="1"/>
    <col min="37" max="37" width="14.375" style="3284" hidden="1" customWidth="1"/>
    <col min="38" max="38" width="14.375" style="3284" customWidth="1"/>
    <col min="39" max="40" width="21.875" style="3284" hidden="1" customWidth="1"/>
    <col min="41" max="41" width="6.25" style="3284" customWidth="1"/>
    <col min="42" max="42" width="18.375" style="3284" customWidth="1"/>
    <col min="43" max="43" width="16.875" style="3284" hidden="1" customWidth="1"/>
    <col min="44" max="45" width="20.125" style="3284" hidden="1" customWidth="1"/>
    <col min="46" max="46" width="7.875" style="3284" customWidth="1"/>
    <col min="47" max="256" width="9" style="3284"/>
    <col min="257" max="261" width="0" style="3284" hidden="1" customWidth="1"/>
    <col min="262" max="262" width="21.5" style="3284" customWidth="1"/>
    <col min="263" max="263" width="0" style="3284" hidden="1" customWidth="1"/>
    <col min="264" max="264" width="20.5" style="3284" customWidth="1"/>
    <col min="265" max="265" width="24.5" style="3284" customWidth="1"/>
    <col min="266" max="267" width="13.875" style="3284" customWidth="1"/>
    <col min="268" max="268" width="12.5" style="3284" customWidth="1"/>
    <col min="269" max="276" width="0" style="3284" hidden="1" customWidth="1"/>
    <col min="277" max="277" width="11.25" style="3284" customWidth="1"/>
    <col min="278" max="278" width="0" style="3284" hidden="1" customWidth="1"/>
    <col min="279" max="279" width="7.875" style="3284" customWidth="1"/>
    <col min="280" max="282" width="0" style="3284" hidden="1" customWidth="1"/>
    <col min="283" max="283" width="9" style="3284" customWidth="1"/>
    <col min="284" max="284" width="25.75" style="3284" customWidth="1"/>
    <col min="285" max="285" width="7.875" style="3284" customWidth="1"/>
    <col min="286" max="286" width="29.375" style="3284" customWidth="1"/>
    <col min="287" max="288" width="0" style="3284" hidden="1" customWidth="1"/>
    <col min="289" max="289" width="10.625" style="3284" customWidth="1"/>
    <col min="290" max="290" width="0" style="3284" hidden="1" customWidth="1"/>
    <col min="291" max="291" width="16" style="3284" customWidth="1"/>
    <col min="292" max="292" width="0" style="3284" hidden="1" customWidth="1"/>
    <col min="293" max="293" width="14.375" style="3284" customWidth="1"/>
    <col min="294" max="295" width="0" style="3284" hidden="1" customWidth="1"/>
    <col min="296" max="296" width="6.25" style="3284" customWidth="1"/>
    <col min="297" max="297" width="18.375" style="3284" customWidth="1"/>
    <col min="298" max="300" width="0" style="3284" hidden="1" customWidth="1"/>
    <col min="301" max="301" width="7.875" style="3284" customWidth="1"/>
    <col min="302" max="512" width="9" style="3284"/>
    <col min="513" max="517" width="0" style="3284" hidden="1" customWidth="1"/>
    <col min="518" max="518" width="21.5" style="3284" customWidth="1"/>
    <col min="519" max="519" width="0" style="3284" hidden="1" customWidth="1"/>
    <col min="520" max="520" width="20.5" style="3284" customWidth="1"/>
    <col min="521" max="521" width="24.5" style="3284" customWidth="1"/>
    <col min="522" max="523" width="13.875" style="3284" customWidth="1"/>
    <col min="524" max="524" width="12.5" style="3284" customWidth="1"/>
    <col min="525" max="532" width="0" style="3284" hidden="1" customWidth="1"/>
    <col min="533" max="533" width="11.25" style="3284" customWidth="1"/>
    <col min="534" max="534" width="0" style="3284" hidden="1" customWidth="1"/>
    <col min="535" max="535" width="7.875" style="3284" customWidth="1"/>
    <col min="536" max="538" width="0" style="3284" hidden="1" customWidth="1"/>
    <col min="539" max="539" width="9" style="3284" customWidth="1"/>
    <col min="540" max="540" width="25.75" style="3284" customWidth="1"/>
    <col min="541" max="541" width="7.875" style="3284" customWidth="1"/>
    <col min="542" max="542" width="29.375" style="3284" customWidth="1"/>
    <col min="543" max="544" width="0" style="3284" hidden="1" customWidth="1"/>
    <col min="545" max="545" width="10.625" style="3284" customWidth="1"/>
    <col min="546" max="546" width="0" style="3284" hidden="1" customWidth="1"/>
    <col min="547" max="547" width="16" style="3284" customWidth="1"/>
    <col min="548" max="548" width="0" style="3284" hidden="1" customWidth="1"/>
    <col min="549" max="549" width="14.375" style="3284" customWidth="1"/>
    <col min="550" max="551" width="0" style="3284" hidden="1" customWidth="1"/>
    <col min="552" max="552" width="6.25" style="3284" customWidth="1"/>
    <col min="553" max="553" width="18.375" style="3284" customWidth="1"/>
    <col min="554" max="556" width="0" style="3284" hidden="1" customWidth="1"/>
    <col min="557" max="557" width="7.875" style="3284" customWidth="1"/>
    <col min="558" max="768" width="9" style="3284"/>
    <col min="769" max="773" width="0" style="3284" hidden="1" customWidth="1"/>
    <col min="774" max="774" width="21.5" style="3284" customWidth="1"/>
    <col min="775" max="775" width="0" style="3284" hidden="1" customWidth="1"/>
    <col min="776" max="776" width="20.5" style="3284" customWidth="1"/>
    <col min="777" max="777" width="24.5" style="3284" customWidth="1"/>
    <col min="778" max="779" width="13.875" style="3284" customWidth="1"/>
    <col min="780" max="780" width="12.5" style="3284" customWidth="1"/>
    <col min="781" max="788" width="0" style="3284" hidden="1" customWidth="1"/>
    <col min="789" max="789" width="11.25" style="3284" customWidth="1"/>
    <col min="790" max="790" width="0" style="3284" hidden="1" customWidth="1"/>
    <col min="791" max="791" width="7.875" style="3284" customWidth="1"/>
    <col min="792" max="794" width="0" style="3284" hidden="1" customWidth="1"/>
    <col min="795" max="795" width="9" style="3284" customWidth="1"/>
    <col min="796" max="796" width="25.75" style="3284" customWidth="1"/>
    <col min="797" max="797" width="7.875" style="3284" customWidth="1"/>
    <col min="798" max="798" width="29.375" style="3284" customWidth="1"/>
    <col min="799" max="800" width="0" style="3284" hidden="1" customWidth="1"/>
    <col min="801" max="801" width="10.625" style="3284" customWidth="1"/>
    <col min="802" max="802" width="0" style="3284" hidden="1" customWidth="1"/>
    <col min="803" max="803" width="16" style="3284" customWidth="1"/>
    <col min="804" max="804" width="0" style="3284" hidden="1" customWidth="1"/>
    <col min="805" max="805" width="14.375" style="3284" customWidth="1"/>
    <col min="806" max="807" width="0" style="3284" hidden="1" customWidth="1"/>
    <col min="808" max="808" width="6.25" style="3284" customWidth="1"/>
    <col min="809" max="809" width="18.375" style="3284" customWidth="1"/>
    <col min="810" max="812" width="0" style="3284" hidden="1" customWidth="1"/>
    <col min="813" max="813" width="7.875" style="3284" customWidth="1"/>
    <col min="814" max="1024" width="9" style="3284"/>
    <col min="1025" max="1029" width="0" style="3284" hidden="1" customWidth="1"/>
    <col min="1030" max="1030" width="21.5" style="3284" customWidth="1"/>
    <col min="1031" max="1031" width="0" style="3284" hidden="1" customWidth="1"/>
    <col min="1032" max="1032" width="20.5" style="3284" customWidth="1"/>
    <col min="1033" max="1033" width="24.5" style="3284" customWidth="1"/>
    <col min="1034" max="1035" width="13.875" style="3284" customWidth="1"/>
    <col min="1036" max="1036" width="12.5" style="3284" customWidth="1"/>
    <col min="1037" max="1044" width="0" style="3284" hidden="1" customWidth="1"/>
    <col min="1045" max="1045" width="11.25" style="3284" customWidth="1"/>
    <col min="1046" max="1046" width="0" style="3284" hidden="1" customWidth="1"/>
    <col min="1047" max="1047" width="7.875" style="3284" customWidth="1"/>
    <col min="1048" max="1050" width="0" style="3284" hidden="1" customWidth="1"/>
    <col min="1051" max="1051" width="9" style="3284" customWidth="1"/>
    <col min="1052" max="1052" width="25.75" style="3284" customWidth="1"/>
    <col min="1053" max="1053" width="7.875" style="3284" customWidth="1"/>
    <col min="1054" max="1054" width="29.375" style="3284" customWidth="1"/>
    <col min="1055" max="1056" width="0" style="3284" hidden="1" customWidth="1"/>
    <col min="1057" max="1057" width="10.625" style="3284" customWidth="1"/>
    <col min="1058" max="1058" width="0" style="3284" hidden="1" customWidth="1"/>
    <col min="1059" max="1059" width="16" style="3284" customWidth="1"/>
    <col min="1060" max="1060" width="0" style="3284" hidden="1" customWidth="1"/>
    <col min="1061" max="1061" width="14.375" style="3284" customWidth="1"/>
    <col min="1062" max="1063" width="0" style="3284" hidden="1" customWidth="1"/>
    <col min="1064" max="1064" width="6.25" style="3284" customWidth="1"/>
    <col min="1065" max="1065" width="18.375" style="3284" customWidth="1"/>
    <col min="1066" max="1068" width="0" style="3284" hidden="1" customWidth="1"/>
    <col min="1069" max="1069" width="7.875" style="3284" customWidth="1"/>
    <col min="1070" max="1280" width="9" style="3284"/>
    <col min="1281" max="1285" width="0" style="3284" hidden="1" customWidth="1"/>
    <col min="1286" max="1286" width="21.5" style="3284" customWidth="1"/>
    <col min="1287" max="1287" width="0" style="3284" hidden="1" customWidth="1"/>
    <col min="1288" max="1288" width="20.5" style="3284" customWidth="1"/>
    <col min="1289" max="1289" width="24.5" style="3284" customWidth="1"/>
    <col min="1290" max="1291" width="13.875" style="3284" customWidth="1"/>
    <col min="1292" max="1292" width="12.5" style="3284" customWidth="1"/>
    <col min="1293" max="1300" width="0" style="3284" hidden="1" customWidth="1"/>
    <col min="1301" max="1301" width="11.25" style="3284" customWidth="1"/>
    <col min="1302" max="1302" width="0" style="3284" hidden="1" customWidth="1"/>
    <col min="1303" max="1303" width="7.875" style="3284" customWidth="1"/>
    <col min="1304" max="1306" width="0" style="3284" hidden="1" customWidth="1"/>
    <col min="1307" max="1307" width="9" style="3284" customWidth="1"/>
    <col min="1308" max="1308" width="25.75" style="3284" customWidth="1"/>
    <col min="1309" max="1309" width="7.875" style="3284" customWidth="1"/>
    <col min="1310" max="1310" width="29.375" style="3284" customWidth="1"/>
    <col min="1311" max="1312" width="0" style="3284" hidden="1" customWidth="1"/>
    <col min="1313" max="1313" width="10.625" style="3284" customWidth="1"/>
    <col min="1314" max="1314" width="0" style="3284" hidden="1" customWidth="1"/>
    <col min="1315" max="1315" width="16" style="3284" customWidth="1"/>
    <col min="1316" max="1316" width="0" style="3284" hidden="1" customWidth="1"/>
    <col min="1317" max="1317" width="14.375" style="3284" customWidth="1"/>
    <col min="1318" max="1319" width="0" style="3284" hidden="1" customWidth="1"/>
    <col min="1320" max="1320" width="6.25" style="3284" customWidth="1"/>
    <col min="1321" max="1321" width="18.375" style="3284" customWidth="1"/>
    <col min="1322" max="1324" width="0" style="3284" hidden="1" customWidth="1"/>
    <col min="1325" max="1325" width="7.875" style="3284" customWidth="1"/>
    <col min="1326" max="1536" width="9" style="3284"/>
    <col min="1537" max="1541" width="0" style="3284" hidden="1" customWidth="1"/>
    <col min="1542" max="1542" width="21.5" style="3284" customWidth="1"/>
    <col min="1543" max="1543" width="0" style="3284" hidden="1" customWidth="1"/>
    <col min="1544" max="1544" width="20.5" style="3284" customWidth="1"/>
    <col min="1545" max="1545" width="24.5" style="3284" customWidth="1"/>
    <col min="1546" max="1547" width="13.875" style="3284" customWidth="1"/>
    <col min="1548" max="1548" width="12.5" style="3284" customWidth="1"/>
    <col min="1549" max="1556" width="0" style="3284" hidden="1" customWidth="1"/>
    <col min="1557" max="1557" width="11.25" style="3284" customWidth="1"/>
    <col min="1558" max="1558" width="0" style="3284" hidden="1" customWidth="1"/>
    <col min="1559" max="1559" width="7.875" style="3284" customWidth="1"/>
    <col min="1560" max="1562" width="0" style="3284" hidden="1" customWidth="1"/>
    <col min="1563" max="1563" width="9" style="3284" customWidth="1"/>
    <col min="1564" max="1564" width="25.75" style="3284" customWidth="1"/>
    <col min="1565" max="1565" width="7.875" style="3284" customWidth="1"/>
    <col min="1566" max="1566" width="29.375" style="3284" customWidth="1"/>
    <col min="1567" max="1568" width="0" style="3284" hidden="1" customWidth="1"/>
    <col min="1569" max="1569" width="10.625" style="3284" customWidth="1"/>
    <col min="1570" max="1570" width="0" style="3284" hidden="1" customWidth="1"/>
    <col min="1571" max="1571" width="16" style="3284" customWidth="1"/>
    <col min="1572" max="1572" width="0" style="3284" hidden="1" customWidth="1"/>
    <col min="1573" max="1573" width="14.375" style="3284" customWidth="1"/>
    <col min="1574" max="1575" width="0" style="3284" hidden="1" customWidth="1"/>
    <col min="1576" max="1576" width="6.25" style="3284" customWidth="1"/>
    <col min="1577" max="1577" width="18.375" style="3284" customWidth="1"/>
    <col min="1578" max="1580" width="0" style="3284" hidden="1" customWidth="1"/>
    <col min="1581" max="1581" width="7.875" style="3284" customWidth="1"/>
    <col min="1582" max="1792" width="9" style="3284"/>
    <col min="1793" max="1797" width="0" style="3284" hidden="1" customWidth="1"/>
    <col min="1798" max="1798" width="21.5" style="3284" customWidth="1"/>
    <col min="1799" max="1799" width="0" style="3284" hidden="1" customWidth="1"/>
    <col min="1800" max="1800" width="20.5" style="3284" customWidth="1"/>
    <col min="1801" max="1801" width="24.5" style="3284" customWidth="1"/>
    <col min="1802" max="1803" width="13.875" style="3284" customWidth="1"/>
    <col min="1804" max="1804" width="12.5" style="3284" customWidth="1"/>
    <col min="1805" max="1812" width="0" style="3284" hidden="1" customWidth="1"/>
    <col min="1813" max="1813" width="11.25" style="3284" customWidth="1"/>
    <col min="1814" max="1814" width="0" style="3284" hidden="1" customWidth="1"/>
    <col min="1815" max="1815" width="7.875" style="3284" customWidth="1"/>
    <col min="1816" max="1818" width="0" style="3284" hidden="1" customWidth="1"/>
    <col min="1819" max="1819" width="9" style="3284" customWidth="1"/>
    <col min="1820" max="1820" width="25.75" style="3284" customWidth="1"/>
    <col min="1821" max="1821" width="7.875" style="3284" customWidth="1"/>
    <col min="1822" max="1822" width="29.375" style="3284" customWidth="1"/>
    <col min="1823" max="1824" width="0" style="3284" hidden="1" customWidth="1"/>
    <col min="1825" max="1825" width="10.625" style="3284" customWidth="1"/>
    <col min="1826" max="1826" width="0" style="3284" hidden="1" customWidth="1"/>
    <col min="1827" max="1827" width="16" style="3284" customWidth="1"/>
    <col min="1828" max="1828" width="0" style="3284" hidden="1" customWidth="1"/>
    <col min="1829" max="1829" width="14.375" style="3284" customWidth="1"/>
    <col min="1830" max="1831" width="0" style="3284" hidden="1" customWidth="1"/>
    <col min="1832" max="1832" width="6.25" style="3284" customWidth="1"/>
    <col min="1833" max="1833" width="18.375" style="3284" customWidth="1"/>
    <col min="1834" max="1836" width="0" style="3284" hidden="1" customWidth="1"/>
    <col min="1837" max="1837" width="7.875" style="3284" customWidth="1"/>
    <col min="1838" max="2048" width="9" style="3284"/>
    <col min="2049" max="2053" width="0" style="3284" hidden="1" customWidth="1"/>
    <col min="2054" max="2054" width="21.5" style="3284" customWidth="1"/>
    <col min="2055" max="2055" width="0" style="3284" hidden="1" customWidth="1"/>
    <col min="2056" max="2056" width="20.5" style="3284" customWidth="1"/>
    <col min="2057" max="2057" width="24.5" style="3284" customWidth="1"/>
    <col min="2058" max="2059" width="13.875" style="3284" customWidth="1"/>
    <col min="2060" max="2060" width="12.5" style="3284" customWidth="1"/>
    <col min="2061" max="2068" width="0" style="3284" hidden="1" customWidth="1"/>
    <col min="2069" max="2069" width="11.25" style="3284" customWidth="1"/>
    <col min="2070" max="2070" width="0" style="3284" hidden="1" customWidth="1"/>
    <col min="2071" max="2071" width="7.875" style="3284" customWidth="1"/>
    <col min="2072" max="2074" width="0" style="3284" hidden="1" customWidth="1"/>
    <col min="2075" max="2075" width="9" style="3284" customWidth="1"/>
    <col min="2076" max="2076" width="25.75" style="3284" customWidth="1"/>
    <col min="2077" max="2077" width="7.875" style="3284" customWidth="1"/>
    <col min="2078" max="2078" width="29.375" style="3284" customWidth="1"/>
    <col min="2079" max="2080" width="0" style="3284" hidden="1" customWidth="1"/>
    <col min="2081" max="2081" width="10.625" style="3284" customWidth="1"/>
    <col min="2082" max="2082" width="0" style="3284" hidden="1" customWidth="1"/>
    <col min="2083" max="2083" width="16" style="3284" customWidth="1"/>
    <col min="2084" max="2084" width="0" style="3284" hidden="1" customWidth="1"/>
    <col min="2085" max="2085" width="14.375" style="3284" customWidth="1"/>
    <col min="2086" max="2087" width="0" style="3284" hidden="1" customWidth="1"/>
    <col min="2088" max="2088" width="6.25" style="3284" customWidth="1"/>
    <col min="2089" max="2089" width="18.375" style="3284" customWidth="1"/>
    <col min="2090" max="2092" width="0" style="3284" hidden="1" customWidth="1"/>
    <col min="2093" max="2093" width="7.875" style="3284" customWidth="1"/>
    <col min="2094" max="2304" width="9" style="3284"/>
    <col min="2305" max="2309" width="0" style="3284" hidden="1" customWidth="1"/>
    <col min="2310" max="2310" width="21.5" style="3284" customWidth="1"/>
    <col min="2311" max="2311" width="0" style="3284" hidden="1" customWidth="1"/>
    <col min="2312" max="2312" width="20.5" style="3284" customWidth="1"/>
    <col min="2313" max="2313" width="24.5" style="3284" customWidth="1"/>
    <col min="2314" max="2315" width="13.875" style="3284" customWidth="1"/>
    <col min="2316" max="2316" width="12.5" style="3284" customWidth="1"/>
    <col min="2317" max="2324" width="0" style="3284" hidden="1" customWidth="1"/>
    <col min="2325" max="2325" width="11.25" style="3284" customWidth="1"/>
    <col min="2326" max="2326" width="0" style="3284" hidden="1" customWidth="1"/>
    <col min="2327" max="2327" width="7.875" style="3284" customWidth="1"/>
    <col min="2328" max="2330" width="0" style="3284" hidden="1" customWidth="1"/>
    <col min="2331" max="2331" width="9" style="3284" customWidth="1"/>
    <col min="2332" max="2332" width="25.75" style="3284" customWidth="1"/>
    <col min="2333" max="2333" width="7.875" style="3284" customWidth="1"/>
    <col min="2334" max="2334" width="29.375" style="3284" customWidth="1"/>
    <col min="2335" max="2336" width="0" style="3284" hidden="1" customWidth="1"/>
    <col min="2337" max="2337" width="10.625" style="3284" customWidth="1"/>
    <col min="2338" max="2338" width="0" style="3284" hidden="1" customWidth="1"/>
    <col min="2339" max="2339" width="16" style="3284" customWidth="1"/>
    <col min="2340" max="2340" width="0" style="3284" hidden="1" customWidth="1"/>
    <col min="2341" max="2341" width="14.375" style="3284" customWidth="1"/>
    <col min="2342" max="2343" width="0" style="3284" hidden="1" customWidth="1"/>
    <col min="2344" max="2344" width="6.25" style="3284" customWidth="1"/>
    <col min="2345" max="2345" width="18.375" style="3284" customWidth="1"/>
    <col min="2346" max="2348" width="0" style="3284" hidden="1" customWidth="1"/>
    <col min="2349" max="2349" width="7.875" style="3284" customWidth="1"/>
    <col min="2350" max="2560" width="9" style="3284"/>
    <col min="2561" max="2565" width="0" style="3284" hidden="1" customWidth="1"/>
    <col min="2566" max="2566" width="21.5" style="3284" customWidth="1"/>
    <col min="2567" max="2567" width="0" style="3284" hidden="1" customWidth="1"/>
    <col min="2568" max="2568" width="20.5" style="3284" customWidth="1"/>
    <col min="2569" max="2569" width="24.5" style="3284" customWidth="1"/>
    <col min="2570" max="2571" width="13.875" style="3284" customWidth="1"/>
    <col min="2572" max="2572" width="12.5" style="3284" customWidth="1"/>
    <col min="2573" max="2580" width="0" style="3284" hidden="1" customWidth="1"/>
    <col min="2581" max="2581" width="11.25" style="3284" customWidth="1"/>
    <col min="2582" max="2582" width="0" style="3284" hidden="1" customWidth="1"/>
    <col min="2583" max="2583" width="7.875" style="3284" customWidth="1"/>
    <col min="2584" max="2586" width="0" style="3284" hidden="1" customWidth="1"/>
    <col min="2587" max="2587" width="9" style="3284" customWidth="1"/>
    <col min="2588" max="2588" width="25.75" style="3284" customWidth="1"/>
    <col min="2589" max="2589" width="7.875" style="3284" customWidth="1"/>
    <col min="2590" max="2590" width="29.375" style="3284" customWidth="1"/>
    <col min="2591" max="2592" width="0" style="3284" hidden="1" customWidth="1"/>
    <col min="2593" max="2593" width="10.625" style="3284" customWidth="1"/>
    <col min="2594" max="2594" width="0" style="3284" hidden="1" customWidth="1"/>
    <col min="2595" max="2595" width="16" style="3284" customWidth="1"/>
    <col min="2596" max="2596" width="0" style="3284" hidden="1" customWidth="1"/>
    <col min="2597" max="2597" width="14.375" style="3284" customWidth="1"/>
    <col min="2598" max="2599" width="0" style="3284" hidden="1" customWidth="1"/>
    <col min="2600" max="2600" width="6.25" style="3284" customWidth="1"/>
    <col min="2601" max="2601" width="18.375" style="3284" customWidth="1"/>
    <col min="2602" max="2604" width="0" style="3284" hidden="1" customWidth="1"/>
    <col min="2605" max="2605" width="7.875" style="3284" customWidth="1"/>
    <col min="2606" max="2816" width="9" style="3284"/>
    <col min="2817" max="2821" width="0" style="3284" hidden="1" customWidth="1"/>
    <col min="2822" max="2822" width="21.5" style="3284" customWidth="1"/>
    <col min="2823" max="2823" width="0" style="3284" hidden="1" customWidth="1"/>
    <col min="2824" max="2824" width="20.5" style="3284" customWidth="1"/>
    <col min="2825" max="2825" width="24.5" style="3284" customWidth="1"/>
    <col min="2826" max="2827" width="13.875" style="3284" customWidth="1"/>
    <col min="2828" max="2828" width="12.5" style="3284" customWidth="1"/>
    <col min="2829" max="2836" width="0" style="3284" hidden="1" customWidth="1"/>
    <col min="2837" max="2837" width="11.25" style="3284" customWidth="1"/>
    <col min="2838" max="2838" width="0" style="3284" hidden="1" customWidth="1"/>
    <col min="2839" max="2839" width="7.875" style="3284" customWidth="1"/>
    <col min="2840" max="2842" width="0" style="3284" hidden="1" customWidth="1"/>
    <col min="2843" max="2843" width="9" style="3284" customWidth="1"/>
    <col min="2844" max="2844" width="25.75" style="3284" customWidth="1"/>
    <col min="2845" max="2845" width="7.875" style="3284" customWidth="1"/>
    <col min="2846" max="2846" width="29.375" style="3284" customWidth="1"/>
    <col min="2847" max="2848" width="0" style="3284" hidden="1" customWidth="1"/>
    <col min="2849" max="2849" width="10.625" style="3284" customWidth="1"/>
    <col min="2850" max="2850" width="0" style="3284" hidden="1" customWidth="1"/>
    <col min="2851" max="2851" width="16" style="3284" customWidth="1"/>
    <col min="2852" max="2852" width="0" style="3284" hidden="1" customWidth="1"/>
    <col min="2853" max="2853" width="14.375" style="3284" customWidth="1"/>
    <col min="2854" max="2855" width="0" style="3284" hidden="1" customWidth="1"/>
    <col min="2856" max="2856" width="6.25" style="3284" customWidth="1"/>
    <col min="2857" max="2857" width="18.375" style="3284" customWidth="1"/>
    <col min="2858" max="2860" width="0" style="3284" hidden="1" customWidth="1"/>
    <col min="2861" max="2861" width="7.875" style="3284" customWidth="1"/>
    <col min="2862" max="3072" width="9" style="3284"/>
    <col min="3073" max="3077" width="0" style="3284" hidden="1" customWidth="1"/>
    <col min="3078" max="3078" width="21.5" style="3284" customWidth="1"/>
    <col min="3079" max="3079" width="0" style="3284" hidden="1" customWidth="1"/>
    <col min="3080" max="3080" width="20.5" style="3284" customWidth="1"/>
    <col min="3081" max="3081" width="24.5" style="3284" customWidth="1"/>
    <col min="3082" max="3083" width="13.875" style="3284" customWidth="1"/>
    <col min="3084" max="3084" width="12.5" style="3284" customWidth="1"/>
    <col min="3085" max="3092" width="0" style="3284" hidden="1" customWidth="1"/>
    <col min="3093" max="3093" width="11.25" style="3284" customWidth="1"/>
    <col min="3094" max="3094" width="0" style="3284" hidden="1" customWidth="1"/>
    <col min="3095" max="3095" width="7.875" style="3284" customWidth="1"/>
    <col min="3096" max="3098" width="0" style="3284" hidden="1" customWidth="1"/>
    <col min="3099" max="3099" width="9" style="3284" customWidth="1"/>
    <col min="3100" max="3100" width="25.75" style="3284" customWidth="1"/>
    <col min="3101" max="3101" width="7.875" style="3284" customWidth="1"/>
    <col min="3102" max="3102" width="29.375" style="3284" customWidth="1"/>
    <col min="3103" max="3104" width="0" style="3284" hidden="1" customWidth="1"/>
    <col min="3105" max="3105" width="10.625" style="3284" customWidth="1"/>
    <col min="3106" max="3106" width="0" style="3284" hidden="1" customWidth="1"/>
    <col min="3107" max="3107" width="16" style="3284" customWidth="1"/>
    <col min="3108" max="3108" width="0" style="3284" hidden="1" customWidth="1"/>
    <col min="3109" max="3109" width="14.375" style="3284" customWidth="1"/>
    <col min="3110" max="3111" width="0" style="3284" hidden="1" customWidth="1"/>
    <col min="3112" max="3112" width="6.25" style="3284" customWidth="1"/>
    <col min="3113" max="3113" width="18.375" style="3284" customWidth="1"/>
    <col min="3114" max="3116" width="0" style="3284" hidden="1" customWidth="1"/>
    <col min="3117" max="3117" width="7.875" style="3284" customWidth="1"/>
    <col min="3118" max="3328" width="9" style="3284"/>
    <col min="3329" max="3333" width="0" style="3284" hidden="1" customWidth="1"/>
    <col min="3334" max="3334" width="21.5" style="3284" customWidth="1"/>
    <col min="3335" max="3335" width="0" style="3284" hidden="1" customWidth="1"/>
    <col min="3336" max="3336" width="20.5" style="3284" customWidth="1"/>
    <col min="3337" max="3337" width="24.5" style="3284" customWidth="1"/>
    <col min="3338" max="3339" width="13.875" style="3284" customWidth="1"/>
    <col min="3340" max="3340" width="12.5" style="3284" customWidth="1"/>
    <col min="3341" max="3348" width="0" style="3284" hidden="1" customWidth="1"/>
    <col min="3349" max="3349" width="11.25" style="3284" customWidth="1"/>
    <col min="3350" max="3350" width="0" style="3284" hidden="1" customWidth="1"/>
    <col min="3351" max="3351" width="7.875" style="3284" customWidth="1"/>
    <col min="3352" max="3354" width="0" style="3284" hidden="1" customWidth="1"/>
    <col min="3355" max="3355" width="9" style="3284" customWidth="1"/>
    <col min="3356" max="3356" width="25.75" style="3284" customWidth="1"/>
    <col min="3357" max="3357" width="7.875" style="3284" customWidth="1"/>
    <col min="3358" max="3358" width="29.375" style="3284" customWidth="1"/>
    <col min="3359" max="3360" width="0" style="3284" hidden="1" customWidth="1"/>
    <col min="3361" max="3361" width="10.625" style="3284" customWidth="1"/>
    <col min="3362" max="3362" width="0" style="3284" hidden="1" customWidth="1"/>
    <col min="3363" max="3363" width="16" style="3284" customWidth="1"/>
    <col min="3364" max="3364" width="0" style="3284" hidden="1" customWidth="1"/>
    <col min="3365" max="3365" width="14.375" style="3284" customWidth="1"/>
    <col min="3366" max="3367" width="0" style="3284" hidden="1" customWidth="1"/>
    <col min="3368" max="3368" width="6.25" style="3284" customWidth="1"/>
    <col min="3369" max="3369" width="18.375" style="3284" customWidth="1"/>
    <col min="3370" max="3372" width="0" style="3284" hidden="1" customWidth="1"/>
    <col min="3373" max="3373" width="7.875" style="3284" customWidth="1"/>
    <col min="3374" max="3584" width="9" style="3284"/>
    <col min="3585" max="3589" width="0" style="3284" hidden="1" customWidth="1"/>
    <col min="3590" max="3590" width="21.5" style="3284" customWidth="1"/>
    <col min="3591" max="3591" width="0" style="3284" hidden="1" customWidth="1"/>
    <col min="3592" max="3592" width="20.5" style="3284" customWidth="1"/>
    <col min="3593" max="3593" width="24.5" style="3284" customWidth="1"/>
    <col min="3594" max="3595" width="13.875" style="3284" customWidth="1"/>
    <col min="3596" max="3596" width="12.5" style="3284" customWidth="1"/>
    <col min="3597" max="3604" width="0" style="3284" hidden="1" customWidth="1"/>
    <col min="3605" max="3605" width="11.25" style="3284" customWidth="1"/>
    <col min="3606" max="3606" width="0" style="3284" hidden="1" customWidth="1"/>
    <col min="3607" max="3607" width="7.875" style="3284" customWidth="1"/>
    <col min="3608" max="3610" width="0" style="3284" hidden="1" customWidth="1"/>
    <col min="3611" max="3611" width="9" style="3284" customWidth="1"/>
    <col min="3612" max="3612" width="25.75" style="3284" customWidth="1"/>
    <col min="3613" max="3613" width="7.875" style="3284" customWidth="1"/>
    <col min="3614" max="3614" width="29.375" style="3284" customWidth="1"/>
    <col min="3615" max="3616" width="0" style="3284" hidden="1" customWidth="1"/>
    <col min="3617" max="3617" width="10.625" style="3284" customWidth="1"/>
    <col min="3618" max="3618" width="0" style="3284" hidden="1" customWidth="1"/>
    <col min="3619" max="3619" width="16" style="3284" customWidth="1"/>
    <col min="3620" max="3620" width="0" style="3284" hidden="1" customWidth="1"/>
    <col min="3621" max="3621" width="14.375" style="3284" customWidth="1"/>
    <col min="3622" max="3623" width="0" style="3284" hidden="1" customWidth="1"/>
    <col min="3624" max="3624" width="6.25" style="3284" customWidth="1"/>
    <col min="3625" max="3625" width="18.375" style="3284" customWidth="1"/>
    <col min="3626" max="3628" width="0" style="3284" hidden="1" customWidth="1"/>
    <col min="3629" max="3629" width="7.875" style="3284" customWidth="1"/>
    <col min="3630" max="3840" width="9" style="3284"/>
    <col min="3841" max="3845" width="0" style="3284" hidden="1" customWidth="1"/>
    <col min="3846" max="3846" width="21.5" style="3284" customWidth="1"/>
    <col min="3847" max="3847" width="0" style="3284" hidden="1" customWidth="1"/>
    <col min="3848" max="3848" width="20.5" style="3284" customWidth="1"/>
    <col min="3849" max="3849" width="24.5" style="3284" customWidth="1"/>
    <col min="3850" max="3851" width="13.875" style="3284" customWidth="1"/>
    <col min="3852" max="3852" width="12.5" style="3284" customWidth="1"/>
    <col min="3853" max="3860" width="0" style="3284" hidden="1" customWidth="1"/>
    <col min="3861" max="3861" width="11.25" style="3284" customWidth="1"/>
    <col min="3862" max="3862" width="0" style="3284" hidden="1" customWidth="1"/>
    <col min="3863" max="3863" width="7.875" style="3284" customWidth="1"/>
    <col min="3864" max="3866" width="0" style="3284" hidden="1" customWidth="1"/>
    <col min="3867" max="3867" width="9" style="3284" customWidth="1"/>
    <col min="3868" max="3868" width="25.75" style="3284" customWidth="1"/>
    <col min="3869" max="3869" width="7.875" style="3284" customWidth="1"/>
    <col min="3870" max="3870" width="29.375" style="3284" customWidth="1"/>
    <col min="3871" max="3872" width="0" style="3284" hidden="1" customWidth="1"/>
    <col min="3873" max="3873" width="10.625" style="3284" customWidth="1"/>
    <col min="3874" max="3874" width="0" style="3284" hidden="1" customWidth="1"/>
    <col min="3875" max="3875" width="16" style="3284" customWidth="1"/>
    <col min="3876" max="3876" width="0" style="3284" hidden="1" customWidth="1"/>
    <col min="3877" max="3877" width="14.375" style="3284" customWidth="1"/>
    <col min="3878" max="3879" width="0" style="3284" hidden="1" customWidth="1"/>
    <col min="3880" max="3880" width="6.25" style="3284" customWidth="1"/>
    <col min="3881" max="3881" width="18.375" style="3284" customWidth="1"/>
    <col min="3882" max="3884" width="0" style="3284" hidden="1" customWidth="1"/>
    <col min="3885" max="3885" width="7.875" style="3284" customWidth="1"/>
    <col min="3886" max="4096" width="9" style="3284"/>
    <col min="4097" max="4101" width="0" style="3284" hidden="1" customWidth="1"/>
    <col min="4102" max="4102" width="21.5" style="3284" customWidth="1"/>
    <col min="4103" max="4103" width="0" style="3284" hidden="1" customWidth="1"/>
    <col min="4104" max="4104" width="20.5" style="3284" customWidth="1"/>
    <col min="4105" max="4105" width="24.5" style="3284" customWidth="1"/>
    <col min="4106" max="4107" width="13.875" style="3284" customWidth="1"/>
    <col min="4108" max="4108" width="12.5" style="3284" customWidth="1"/>
    <col min="4109" max="4116" width="0" style="3284" hidden="1" customWidth="1"/>
    <col min="4117" max="4117" width="11.25" style="3284" customWidth="1"/>
    <col min="4118" max="4118" width="0" style="3284" hidden="1" customWidth="1"/>
    <col min="4119" max="4119" width="7.875" style="3284" customWidth="1"/>
    <col min="4120" max="4122" width="0" style="3284" hidden="1" customWidth="1"/>
    <col min="4123" max="4123" width="9" style="3284" customWidth="1"/>
    <col min="4124" max="4124" width="25.75" style="3284" customWidth="1"/>
    <col min="4125" max="4125" width="7.875" style="3284" customWidth="1"/>
    <col min="4126" max="4126" width="29.375" style="3284" customWidth="1"/>
    <col min="4127" max="4128" width="0" style="3284" hidden="1" customWidth="1"/>
    <col min="4129" max="4129" width="10.625" style="3284" customWidth="1"/>
    <col min="4130" max="4130" width="0" style="3284" hidden="1" customWidth="1"/>
    <col min="4131" max="4131" width="16" style="3284" customWidth="1"/>
    <col min="4132" max="4132" width="0" style="3284" hidden="1" customWidth="1"/>
    <col min="4133" max="4133" width="14.375" style="3284" customWidth="1"/>
    <col min="4134" max="4135" width="0" style="3284" hidden="1" customWidth="1"/>
    <col min="4136" max="4136" width="6.25" style="3284" customWidth="1"/>
    <col min="4137" max="4137" width="18.375" style="3284" customWidth="1"/>
    <col min="4138" max="4140" width="0" style="3284" hidden="1" customWidth="1"/>
    <col min="4141" max="4141" width="7.875" style="3284" customWidth="1"/>
    <col min="4142" max="4352" width="9" style="3284"/>
    <col min="4353" max="4357" width="0" style="3284" hidden="1" customWidth="1"/>
    <col min="4358" max="4358" width="21.5" style="3284" customWidth="1"/>
    <col min="4359" max="4359" width="0" style="3284" hidden="1" customWidth="1"/>
    <col min="4360" max="4360" width="20.5" style="3284" customWidth="1"/>
    <col min="4361" max="4361" width="24.5" style="3284" customWidth="1"/>
    <col min="4362" max="4363" width="13.875" style="3284" customWidth="1"/>
    <col min="4364" max="4364" width="12.5" style="3284" customWidth="1"/>
    <col min="4365" max="4372" width="0" style="3284" hidden="1" customWidth="1"/>
    <col min="4373" max="4373" width="11.25" style="3284" customWidth="1"/>
    <col min="4374" max="4374" width="0" style="3284" hidden="1" customWidth="1"/>
    <col min="4375" max="4375" width="7.875" style="3284" customWidth="1"/>
    <col min="4376" max="4378" width="0" style="3284" hidden="1" customWidth="1"/>
    <col min="4379" max="4379" width="9" style="3284" customWidth="1"/>
    <col min="4380" max="4380" width="25.75" style="3284" customWidth="1"/>
    <col min="4381" max="4381" width="7.875" style="3284" customWidth="1"/>
    <col min="4382" max="4382" width="29.375" style="3284" customWidth="1"/>
    <col min="4383" max="4384" width="0" style="3284" hidden="1" customWidth="1"/>
    <col min="4385" max="4385" width="10.625" style="3284" customWidth="1"/>
    <col min="4386" max="4386" width="0" style="3284" hidden="1" customWidth="1"/>
    <col min="4387" max="4387" width="16" style="3284" customWidth="1"/>
    <col min="4388" max="4388" width="0" style="3284" hidden="1" customWidth="1"/>
    <col min="4389" max="4389" width="14.375" style="3284" customWidth="1"/>
    <col min="4390" max="4391" width="0" style="3284" hidden="1" customWidth="1"/>
    <col min="4392" max="4392" width="6.25" style="3284" customWidth="1"/>
    <col min="4393" max="4393" width="18.375" style="3284" customWidth="1"/>
    <col min="4394" max="4396" width="0" style="3284" hidden="1" customWidth="1"/>
    <col min="4397" max="4397" width="7.875" style="3284" customWidth="1"/>
    <col min="4398" max="4608" width="9" style="3284"/>
    <col min="4609" max="4613" width="0" style="3284" hidden="1" customWidth="1"/>
    <col min="4614" max="4614" width="21.5" style="3284" customWidth="1"/>
    <col min="4615" max="4615" width="0" style="3284" hidden="1" customWidth="1"/>
    <col min="4616" max="4616" width="20.5" style="3284" customWidth="1"/>
    <col min="4617" max="4617" width="24.5" style="3284" customWidth="1"/>
    <col min="4618" max="4619" width="13.875" style="3284" customWidth="1"/>
    <col min="4620" max="4620" width="12.5" style="3284" customWidth="1"/>
    <col min="4621" max="4628" width="0" style="3284" hidden="1" customWidth="1"/>
    <col min="4629" max="4629" width="11.25" style="3284" customWidth="1"/>
    <col min="4630" max="4630" width="0" style="3284" hidden="1" customWidth="1"/>
    <col min="4631" max="4631" width="7.875" style="3284" customWidth="1"/>
    <col min="4632" max="4634" width="0" style="3284" hidden="1" customWidth="1"/>
    <col min="4635" max="4635" width="9" style="3284" customWidth="1"/>
    <col min="4636" max="4636" width="25.75" style="3284" customWidth="1"/>
    <col min="4637" max="4637" width="7.875" style="3284" customWidth="1"/>
    <col min="4638" max="4638" width="29.375" style="3284" customWidth="1"/>
    <col min="4639" max="4640" width="0" style="3284" hidden="1" customWidth="1"/>
    <col min="4641" max="4641" width="10.625" style="3284" customWidth="1"/>
    <col min="4642" max="4642" width="0" style="3284" hidden="1" customWidth="1"/>
    <col min="4643" max="4643" width="16" style="3284" customWidth="1"/>
    <col min="4644" max="4644" width="0" style="3284" hidden="1" customWidth="1"/>
    <col min="4645" max="4645" width="14.375" style="3284" customWidth="1"/>
    <col min="4646" max="4647" width="0" style="3284" hidden="1" customWidth="1"/>
    <col min="4648" max="4648" width="6.25" style="3284" customWidth="1"/>
    <col min="4649" max="4649" width="18.375" style="3284" customWidth="1"/>
    <col min="4650" max="4652" width="0" style="3284" hidden="1" customWidth="1"/>
    <col min="4653" max="4653" width="7.875" style="3284" customWidth="1"/>
    <col min="4654" max="4864" width="9" style="3284"/>
    <col min="4865" max="4869" width="0" style="3284" hidden="1" customWidth="1"/>
    <col min="4870" max="4870" width="21.5" style="3284" customWidth="1"/>
    <col min="4871" max="4871" width="0" style="3284" hidden="1" customWidth="1"/>
    <col min="4872" max="4872" width="20.5" style="3284" customWidth="1"/>
    <col min="4873" max="4873" width="24.5" style="3284" customWidth="1"/>
    <col min="4874" max="4875" width="13.875" style="3284" customWidth="1"/>
    <col min="4876" max="4876" width="12.5" style="3284" customWidth="1"/>
    <col min="4877" max="4884" width="0" style="3284" hidden="1" customWidth="1"/>
    <col min="4885" max="4885" width="11.25" style="3284" customWidth="1"/>
    <col min="4886" max="4886" width="0" style="3284" hidden="1" customWidth="1"/>
    <col min="4887" max="4887" width="7.875" style="3284" customWidth="1"/>
    <col min="4888" max="4890" width="0" style="3284" hidden="1" customWidth="1"/>
    <col min="4891" max="4891" width="9" style="3284" customWidth="1"/>
    <col min="4892" max="4892" width="25.75" style="3284" customWidth="1"/>
    <col min="4893" max="4893" width="7.875" style="3284" customWidth="1"/>
    <col min="4894" max="4894" width="29.375" style="3284" customWidth="1"/>
    <col min="4895" max="4896" width="0" style="3284" hidden="1" customWidth="1"/>
    <col min="4897" max="4897" width="10.625" style="3284" customWidth="1"/>
    <col min="4898" max="4898" width="0" style="3284" hidden="1" customWidth="1"/>
    <col min="4899" max="4899" width="16" style="3284" customWidth="1"/>
    <col min="4900" max="4900" width="0" style="3284" hidden="1" customWidth="1"/>
    <col min="4901" max="4901" width="14.375" style="3284" customWidth="1"/>
    <col min="4902" max="4903" width="0" style="3284" hidden="1" customWidth="1"/>
    <col min="4904" max="4904" width="6.25" style="3284" customWidth="1"/>
    <col min="4905" max="4905" width="18.375" style="3284" customWidth="1"/>
    <col min="4906" max="4908" width="0" style="3284" hidden="1" customWidth="1"/>
    <col min="4909" max="4909" width="7.875" style="3284" customWidth="1"/>
    <col min="4910" max="5120" width="9" style="3284"/>
    <col min="5121" max="5125" width="0" style="3284" hidden="1" customWidth="1"/>
    <col min="5126" max="5126" width="21.5" style="3284" customWidth="1"/>
    <col min="5127" max="5127" width="0" style="3284" hidden="1" customWidth="1"/>
    <col min="5128" max="5128" width="20.5" style="3284" customWidth="1"/>
    <col min="5129" max="5129" width="24.5" style="3284" customWidth="1"/>
    <col min="5130" max="5131" width="13.875" style="3284" customWidth="1"/>
    <col min="5132" max="5132" width="12.5" style="3284" customWidth="1"/>
    <col min="5133" max="5140" width="0" style="3284" hidden="1" customWidth="1"/>
    <col min="5141" max="5141" width="11.25" style="3284" customWidth="1"/>
    <col min="5142" max="5142" width="0" style="3284" hidden="1" customWidth="1"/>
    <col min="5143" max="5143" width="7.875" style="3284" customWidth="1"/>
    <col min="5144" max="5146" width="0" style="3284" hidden="1" customWidth="1"/>
    <col min="5147" max="5147" width="9" style="3284" customWidth="1"/>
    <col min="5148" max="5148" width="25.75" style="3284" customWidth="1"/>
    <col min="5149" max="5149" width="7.875" style="3284" customWidth="1"/>
    <col min="5150" max="5150" width="29.375" style="3284" customWidth="1"/>
    <col min="5151" max="5152" width="0" style="3284" hidden="1" customWidth="1"/>
    <col min="5153" max="5153" width="10.625" style="3284" customWidth="1"/>
    <col min="5154" max="5154" width="0" style="3284" hidden="1" customWidth="1"/>
    <col min="5155" max="5155" width="16" style="3284" customWidth="1"/>
    <col min="5156" max="5156" width="0" style="3284" hidden="1" customWidth="1"/>
    <col min="5157" max="5157" width="14.375" style="3284" customWidth="1"/>
    <col min="5158" max="5159" width="0" style="3284" hidden="1" customWidth="1"/>
    <col min="5160" max="5160" width="6.25" style="3284" customWidth="1"/>
    <col min="5161" max="5161" width="18.375" style="3284" customWidth="1"/>
    <col min="5162" max="5164" width="0" style="3284" hidden="1" customWidth="1"/>
    <col min="5165" max="5165" width="7.875" style="3284" customWidth="1"/>
    <col min="5166" max="5376" width="9" style="3284"/>
    <col min="5377" max="5381" width="0" style="3284" hidden="1" customWidth="1"/>
    <col min="5382" max="5382" width="21.5" style="3284" customWidth="1"/>
    <col min="5383" max="5383" width="0" style="3284" hidden="1" customWidth="1"/>
    <col min="5384" max="5384" width="20.5" style="3284" customWidth="1"/>
    <col min="5385" max="5385" width="24.5" style="3284" customWidth="1"/>
    <col min="5386" max="5387" width="13.875" style="3284" customWidth="1"/>
    <col min="5388" max="5388" width="12.5" style="3284" customWidth="1"/>
    <col min="5389" max="5396" width="0" style="3284" hidden="1" customWidth="1"/>
    <col min="5397" max="5397" width="11.25" style="3284" customWidth="1"/>
    <col min="5398" max="5398" width="0" style="3284" hidden="1" customWidth="1"/>
    <col min="5399" max="5399" width="7.875" style="3284" customWidth="1"/>
    <col min="5400" max="5402" width="0" style="3284" hidden="1" customWidth="1"/>
    <col min="5403" max="5403" width="9" style="3284" customWidth="1"/>
    <col min="5404" max="5404" width="25.75" style="3284" customWidth="1"/>
    <col min="5405" max="5405" width="7.875" style="3284" customWidth="1"/>
    <col min="5406" max="5406" width="29.375" style="3284" customWidth="1"/>
    <col min="5407" max="5408" width="0" style="3284" hidden="1" customWidth="1"/>
    <col min="5409" max="5409" width="10.625" style="3284" customWidth="1"/>
    <col min="5410" max="5410" width="0" style="3284" hidden="1" customWidth="1"/>
    <col min="5411" max="5411" width="16" style="3284" customWidth="1"/>
    <col min="5412" max="5412" width="0" style="3284" hidden="1" customWidth="1"/>
    <col min="5413" max="5413" width="14.375" style="3284" customWidth="1"/>
    <col min="5414" max="5415" width="0" style="3284" hidden="1" customWidth="1"/>
    <col min="5416" max="5416" width="6.25" style="3284" customWidth="1"/>
    <col min="5417" max="5417" width="18.375" style="3284" customWidth="1"/>
    <col min="5418" max="5420" width="0" style="3284" hidden="1" customWidth="1"/>
    <col min="5421" max="5421" width="7.875" style="3284" customWidth="1"/>
    <col min="5422" max="5632" width="9" style="3284"/>
    <col min="5633" max="5637" width="0" style="3284" hidden="1" customWidth="1"/>
    <col min="5638" max="5638" width="21.5" style="3284" customWidth="1"/>
    <col min="5639" max="5639" width="0" style="3284" hidden="1" customWidth="1"/>
    <col min="5640" max="5640" width="20.5" style="3284" customWidth="1"/>
    <col min="5641" max="5641" width="24.5" style="3284" customWidth="1"/>
    <col min="5642" max="5643" width="13.875" style="3284" customWidth="1"/>
    <col min="5644" max="5644" width="12.5" style="3284" customWidth="1"/>
    <col min="5645" max="5652" width="0" style="3284" hidden="1" customWidth="1"/>
    <col min="5653" max="5653" width="11.25" style="3284" customWidth="1"/>
    <col min="5654" max="5654" width="0" style="3284" hidden="1" customWidth="1"/>
    <col min="5655" max="5655" width="7.875" style="3284" customWidth="1"/>
    <col min="5656" max="5658" width="0" style="3284" hidden="1" customWidth="1"/>
    <col min="5659" max="5659" width="9" style="3284" customWidth="1"/>
    <col min="5660" max="5660" width="25.75" style="3284" customWidth="1"/>
    <col min="5661" max="5661" width="7.875" style="3284" customWidth="1"/>
    <col min="5662" max="5662" width="29.375" style="3284" customWidth="1"/>
    <col min="5663" max="5664" width="0" style="3284" hidden="1" customWidth="1"/>
    <col min="5665" max="5665" width="10.625" style="3284" customWidth="1"/>
    <col min="5666" max="5666" width="0" style="3284" hidden="1" customWidth="1"/>
    <col min="5667" max="5667" width="16" style="3284" customWidth="1"/>
    <col min="5668" max="5668" width="0" style="3284" hidden="1" customWidth="1"/>
    <col min="5669" max="5669" width="14.375" style="3284" customWidth="1"/>
    <col min="5670" max="5671" width="0" style="3284" hidden="1" customWidth="1"/>
    <col min="5672" max="5672" width="6.25" style="3284" customWidth="1"/>
    <col min="5673" max="5673" width="18.375" style="3284" customWidth="1"/>
    <col min="5674" max="5676" width="0" style="3284" hidden="1" customWidth="1"/>
    <col min="5677" max="5677" width="7.875" style="3284" customWidth="1"/>
    <col min="5678" max="5888" width="9" style="3284"/>
    <col min="5889" max="5893" width="0" style="3284" hidden="1" customWidth="1"/>
    <col min="5894" max="5894" width="21.5" style="3284" customWidth="1"/>
    <col min="5895" max="5895" width="0" style="3284" hidden="1" customWidth="1"/>
    <col min="5896" max="5896" width="20.5" style="3284" customWidth="1"/>
    <col min="5897" max="5897" width="24.5" style="3284" customWidth="1"/>
    <col min="5898" max="5899" width="13.875" style="3284" customWidth="1"/>
    <col min="5900" max="5900" width="12.5" style="3284" customWidth="1"/>
    <col min="5901" max="5908" width="0" style="3284" hidden="1" customWidth="1"/>
    <col min="5909" max="5909" width="11.25" style="3284" customWidth="1"/>
    <col min="5910" max="5910" width="0" style="3284" hidden="1" customWidth="1"/>
    <col min="5911" max="5911" width="7.875" style="3284" customWidth="1"/>
    <col min="5912" max="5914" width="0" style="3284" hidden="1" customWidth="1"/>
    <col min="5915" max="5915" width="9" style="3284" customWidth="1"/>
    <col min="5916" max="5916" width="25.75" style="3284" customWidth="1"/>
    <col min="5917" max="5917" width="7.875" style="3284" customWidth="1"/>
    <col min="5918" max="5918" width="29.375" style="3284" customWidth="1"/>
    <col min="5919" max="5920" width="0" style="3284" hidden="1" customWidth="1"/>
    <col min="5921" max="5921" width="10.625" style="3284" customWidth="1"/>
    <col min="5922" max="5922" width="0" style="3284" hidden="1" customWidth="1"/>
    <col min="5923" max="5923" width="16" style="3284" customWidth="1"/>
    <col min="5924" max="5924" width="0" style="3284" hidden="1" customWidth="1"/>
    <col min="5925" max="5925" width="14.375" style="3284" customWidth="1"/>
    <col min="5926" max="5927" width="0" style="3284" hidden="1" customWidth="1"/>
    <col min="5928" max="5928" width="6.25" style="3284" customWidth="1"/>
    <col min="5929" max="5929" width="18.375" style="3284" customWidth="1"/>
    <col min="5930" max="5932" width="0" style="3284" hidden="1" customWidth="1"/>
    <col min="5933" max="5933" width="7.875" style="3284" customWidth="1"/>
    <col min="5934" max="6144" width="9" style="3284"/>
    <col min="6145" max="6149" width="0" style="3284" hidden="1" customWidth="1"/>
    <col min="6150" max="6150" width="21.5" style="3284" customWidth="1"/>
    <col min="6151" max="6151" width="0" style="3284" hidden="1" customWidth="1"/>
    <col min="6152" max="6152" width="20.5" style="3284" customWidth="1"/>
    <col min="6153" max="6153" width="24.5" style="3284" customWidth="1"/>
    <col min="6154" max="6155" width="13.875" style="3284" customWidth="1"/>
    <col min="6156" max="6156" width="12.5" style="3284" customWidth="1"/>
    <col min="6157" max="6164" width="0" style="3284" hidden="1" customWidth="1"/>
    <col min="6165" max="6165" width="11.25" style="3284" customWidth="1"/>
    <col min="6166" max="6166" width="0" style="3284" hidden="1" customWidth="1"/>
    <col min="6167" max="6167" width="7.875" style="3284" customWidth="1"/>
    <col min="6168" max="6170" width="0" style="3284" hidden="1" customWidth="1"/>
    <col min="6171" max="6171" width="9" style="3284" customWidth="1"/>
    <col min="6172" max="6172" width="25.75" style="3284" customWidth="1"/>
    <col min="6173" max="6173" width="7.875" style="3284" customWidth="1"/>
    <col min="6174" max="6174" width="29.375" style="3284" customWidth="1"/>
    <col min="6175" max="6176" width="0" style="3284" hidden="1" customWidth="1"/>
    <col min="6177" max="6177" width="10.625" style="3284" customWidth="1"/>
    <col min="6178" max="6178" width="0" style="3284" hidden="1" customWidth="1"/>
    <col min="6179" max="6179" width="16" style="3284" customWidth="1"/>
    <col min="6180" max="6180" width="0" style="3284" hidden="1" customWidth="1"/>
    <col min="6181" max="6181" width="14.375" style="3284" customWidth="1"/>
    <col min="6182" max="6183" width="0" style="3284" hidden="1" customWidth="1"/>
    <col min="6184" max="6184" width="6.25" style="3284" customWidth="1"/>
    <col min="6185" max="6185" width="18.375" style="3284" customWidth="1"/>
    <col min="6186" max="6188" width="0" style="3284" hidden="1" customWidth="1"/>
    <col min="6189" max="6189" width="7.875" style="3284" customWidth="1"/>
    <col min="6190" max="6400" width="9" style="3284"/>
    <col min="6401" max="6405" width="0" style="3284" hidden="1" customWidth="1"/>
    <col min="6406" max="6406" width="21.5" style="3284" customWidth="1"/>
    <col min="6407" max="6407" width="0" style="3284" hidden="1" customWidth="1"/>
    <col min="6408" max="6408" width="20.5" style="3284" customWidth="1"/>
    <col min="6409" max="6409" width="24.5" style="3284" customWidth="1"/>
    <col min="6410" max="6411" width="13.875" style="3284" customWidth="1"/>
    <col min="6412" max="6412" width="12.5" style="3284" customWidth="1"/>
    <col min="6413" max="6420" width="0" style="3284" hidden="1" customWidth="1"/>
    <col min="6421" max="6421" width="11.25" style="3284" customWidth="1"/>
    <col min="6422" max="6422" width="0" style="3284" hidden="1" customWidth="1"/>
    <col min="6423" max="6423" width="7.875" style="3284" customWidth="1"/>
    <col min="6424" max="6426" width="0" style="3284" hidden="1" customWidth="1"/>
    <col min="6427" max="6427" width="9" style="3284" customWidth="1"/>
    <col min="6428" max="6428" width="25.75" style="3284" customWidth="1"/>
    <col min="6429" max="6429" width="7.875" style="3284" customWidth="1"/>
    <col min="6430" max="6430" width="29.375" style="3284" customWidth="1"/>
    <col min="6431" max="6432" width="0" style="3284" hidden="1" customWidth="1"/>
    <col min="6433" max="6433" width="10.625" style="3284" customWidth="1"/>
    <col min="6434" max="6434" width="0" style="3284" hidden="1" customWidth="1"/>
    <col min="6435" max="6435" width="16" style="3284" customWidth="1"/>
    <col min="6436" max="6436" width="0" style="3284" hidden="1" customWidth="1"/>
    <col min="6437" max="6437" width="14.375" style="3284" customWidth="1"/>
    <col min="6438" max="6439" width="0" style="3284" hidden="1" customWidth="1"/>
    <col min="6440" max="6440" width="6.25" style="3284" customWidth="1"/>
    <col min="6441" max="6441" width="18.375" style="3284" customWidth="1"/>
    <col min="6442" max="6444" width="0" style="3284" hidden="1" customWidth="1"/>
    <col min="6445" max="6445" width="7.875" style="3284" customWidth="1"/>
    <col min="6446" max="6656" width="9" style="3284"/>
    <col min="6657" max="6661" width="0" style="3284" hidden="1" customWidth="1"/>
    <col min="6662" max="6662" width="21.5" style="3284" customWidth="1"/>
    <col min="6663" max="6663" width="0" style="3284" hidden="1" customWidth="1"/>
    <col min="6664" max="6664" width="20.5" style="3284" customWidth="1"/>
    <col min="6665" max="6665" width="24.5" style="3284" customWidth="1"/>
    <col min="6666" max="6667" width="13.875" style="3284" customWidth="1"/>
    <col min="6668" max="6668" width="12.5" style="3284" customWidth="1"/>
    <col min="6669" max="6676" width="0" style="3284" hidden="1" customWidth="1"/>
    <col min="6677" max="6677" width="11.25" style="3284" customWidth="1"/>
    <col min="6678" max="6678" width="0" style="3284" hidden="1" customWidth="1"/>
    <col min="6679" max="6679" width="7.875" style="3284" customWidth="1"/>
    <col min="6680" max="6682" width="0" style="3284" hidden="1" customWidth="1"/>
    <col min="6683" max="6683" width="9" style="3284" customWidth="1"/>
    <col min="6684" max="6684" width="25.75" style="3284" customWidth="1"/>
    <col min="6685" max="6685" width="7.875" style="3284" customWidth="1"/>
    <col min="6686" max="6686" width="29.375" style="3284" customWidth="1"/>
    <col min="6687" max="6688" width="0" style="3284" hidden="1" customWidth="1"/>
    <col min="6689" max="6689" width="10.625" style="3284" customWidth="1"/>
    <col min="6690" max="6690" width="0" style="3284" hidden="1" customWidth="1"/>
    <col min="6691" max="6691" width="16" style="3284" customWidth="1"/>
    <col min="6692" max="6692" width="0" style="3284" hidden="1" customWidth="1"/>
    <col min="6693" max="6693" width="14.375" style="3284" customWidth="1"/>
    <col min="6694" max="6695" width="0" style="3284" hidden="1" customWidth="1"/>
    <col min="6696" max="6696" width="6.25" style="3284" customWidth="1"/>
    <col min="6697" max="6697" width="18.375" style="3284" customWidth="1"/>
    <col min="6698" max="6700" width="0" style="3284" hidden="1" customWidth="1"/>
    <col min="6701" max="6701" width="7.875" style="3284" customWidth="1"/>
    <col min="6702" max="6912" width="9" style="3284"/>
    <col min="6913" max="6917" width="0" style="3284" hidden="1" customWidth="1"/>
    <col min="6918" max="6918" width="21.5" style="3284" customWidth="1"/>
    <col min="6919" max="6919" width="0" style="3284" hidden="1" customWidth="1"/>
    <col min="6920" max="6920" width="20.5" style="3284" customWidth="1"/>
    <col min="6921" max="6921" width="24.5" style="3284" customWidth="1"/>
    <col min="6922" max="6923" width="13.875" style="3284" customWidth="1"/>
    <col min="6924" max="6924" width="12.5" style="3284" customWidth="1"/>
    <col min="6925" max="6932" width="0" style="3284" hidden="1" customWidth="1"/>
    <col min="6933" max="6933" width="11.25" style="3284" customWidth="1"/>
    <col min="6934" max="6934" width="0" style="3284" hidden="1" customWidth="1"/>
    <col min="6935" max="6935" width="7.875" style="3284" customWidth="1"/>
    <col min="6936" max="6938" width="0" style="3284" hidden="1" customWidth="1"/>
    <col min="6939" max="6939" width="9" style="3284" customWidth="1"/>
    <col min="6940" max="6940" width="25.75" style="3284" customWidth="1"/>
    <col min="6941" max="6941" width="7.875" style="3284" customWidth="1"/>
    <col min="6942" max="6942" width="29.375" style="3284" customWidth="1"/>
    <col min="6943" max="6944" width="0" style="3284" hidden="1" customWidth="1"/>
    <col min="6945" max="6945" width="10.625" style="3284" customWidth="1"/>
    <col min="6946" max="6946" width="0" style="3284" hidden="1" customWidth="1"/>
    <col min="6947" max="6947" width="16" style="3284" customWidth="1"/>
    <col min="6948" max="6948" width="0" style="3284" hidden="1" customWidth="1"/>
    <col min="6949" max="6949" width="14.375" style="3284" customWidth="1"/>
    <col min="6950" max="6951" width="0" style="3284" hidden="1" customWidth="1"/>
    <col min="6952" max="6952" width="6.25" style="3284" customWidth="1"/>
    <col min="6953" max="6953" width="18.375" style="3284" customWidth="1"/>
    <col min="6954" max="6956" width="0" style="3284" hidden="1" customWidth="1"/>
    <col min="6957" max="6957" width="7.875" style="3284" customWidth="1"/>
    <col min="6958" max="7168" width="9" style="3284"/>
    <col min="7169" max="7173" width="0" style="3284" hidden="1" customWidth="1"/>
    <col min="7174" max="7174" width="21.5" style="3284" customWidth="1"/>
    <col min="7175" max="7175" width="0" style="3284" hidden="1" customWidth="1"/>
    <col min="7176" max="7176" width="20.5" style="3284" customWidth="1"/>
    <col min="7177" max="7177" width="24.5" style="3284" customWidth="1"/>
    <col min="7178" max="7179" width="13.875" style="3284" customWidth="1"/>
    <col min="7180" max="7180" width="12.5" style="3284" customWidth="1"/>
    <col min="7181" max="7188" width="0" style="3284" hidden="1" customWidth="1"/>
    <col min="7189" max="7189" width="11.25" style="3284" customWidth="1"/>
    <col min="7190" max="7190" width="0" style="3284" hidden="1" customWidth="1"/>
    <col min="7191" max="7191" width="7.875" style="3284" customWidth="1"/>
    <col min="7192" max="7194" width="0" style="3284" hidden="1" customWidth="1"/>
    <col min="7195" max="7195" width="9" style="3284" customWidth="1"/>
    <col min="7196" max="7196" width="25.75" style="3284" customWidth="1"/>
    <col min="7197" max="7197" width="7.875" style="3284" customWidth="1"/>
    <col min="7198" max="7198" width="29.375" style="3284" customWidth="1"/>
    <col min="7199" max="7200" width="0" style="3284" hidden="1" customWidth="1"/>
    <col min="7201" max="7201" width="10.625" style="3284" customWidth="1"/>
    <col min="7202" max="7202" width="0" style="3284" hidden="1" customWidth="1"/>
    <col min="7203" max="7203" width="16" style="3284" customWidth="1"/>
    <col min="7204" max="7204" width="0" style="3284" hidden="1" customWidth="1"/>
    <col min="7205" max="7205" width="14.375" style="3284" customWidth="1"/>
    <col min="7206" max="7207" width="0" style="3284" hidden="1" customWidth="1"/>
    <col min="7208" max="7208" width="6.25" style="3284" customWidth="1"/>
    <col min="7209" max="7209" width="18.375" style="3284" customWidth="1"/>
    <col min="7210" max="7212" width="0" style="3284" hidden="1" customWidth="1"/>
    <col min="7213" max="7213" width="7.875" style="3284" customWidth="1"/>
    <col min="7214" max="7424" width="9" style="3284"/>
    <col min="7425" max="7429" width="0" style="3284" hidden="1" customWidth="1"/>
    <col min="7430" max="7430" width="21.5" style="3284" customWidth="1"/>
    <col min="7431" max="7431" width="0" style="3284" hidden="1" customWidth="1"/>
    <col min="7432" max="7432" width="20.5" style="3284" customWidth="1"/>
    <col min="7433" max="7433" width="24.5" style="3284" customWidth="1"/>
    <col min="7434" max="7435" width="13.875" style="3284" customWidth="1"/>
    <col min="7436" max="7436" width="12.5" style="3284" customWidth="1"/>
    <col min="7437" max="7444" width="0" style="3284" hidden="1" customWidth="1"/>
    <col min="7445" max="7445" width="11.25" style="3284" customWidth="1"/>
    <col min="7446" max="7446" width="0" style="3284" hidden="1" customWidth="1"/>
    <col min="7447" max="7447" width="7.875" style="3284" customWidth="1"/>
    <col min="7448" max="7450" width="0" style="3284" hidden="1" customWidth="1"/>
    <col min="7451" max="7451" width="9" style="3284" customWidth="1"/>
    <col min="7452" max="7452" width="25.75" style="3284" customWidth="1"/>
    <col min="7453" max="7453" width="7.875" style="3284" customWidth="1"/>
    <col min="7454" max="7454" width="29.375" style="3284" customWidth="1"/>
    <col min="7455" max="7456" width="0" style="3284" hidden="1" customWidth="1"/>
    <col min="7457" max="7457" width="10.625" style="3284" customWidth="1"/>
    <col min="7458" max="7458" width="0" style="3284" hidden="1" customWidth="1"/>
    <col min="7459" max="7459" width="16" style="3284" customWidth="1"/>
    <col min="7460" max="7460" width="0" style="3284" hidden="1" customWidth="1"/>
    <col min="7461" max="7461" width="14.375" style="3284" customWidth="1"/>
    <col min="7462" max="7463" width="0" style="3284" hidden="1" customWidth="1"/>
    <col min="7464" max="7464" width="6.25" style="3284" customWidth="1"/>
    <col min="7465" max="7465" width="18.375" style="3284" customWidth="1"/>
    <col min="7466" max="7468" width="0" style="3284" hidden="1" customWidth="1"/>
    <col min="7469" max="7469" width="7.875" style="3284" customWidth="1"/>
    <col min="7470" max="7680" width="9" style="3284"/>
    <col min="7681" max="7685" width="0" style="3284" hidden="1" customWidth="1"/>
    <col min="7686" max="7686" width="21.5" style="3284" customWidth="1"/>
    <col min="7687" max="7687" width="0" style="3284" hidden="1" customWidth="1"/>
    <col min="7688" max="7688" width="20.5" style="3284" customWidth="1"/>
    <col min="7689" max="7689" width="24.5" style="3284" customWidth="1"/>
    <col min="7690" max="7691" width="13.875" style="3284" customWidth="1"/>
    <col min="7692" max="7692" width="12.5" style="3284" customWidth="1"/>
    <col min="7693" max="7700" width="0" style="3284" hidden="1" customWidth="1"/>
    <col min="7701" max="7701" width="11.25" style="3284" customWidth="1"/>
    <col min="7702" max="7702" width="0" style="3284" hidden="1" customWidth="1"/>
    <col min="7703" max="7703" width="7.875" style="3284" customWidth="1"/>
    <col min="7704" max="7706" width="0" style="3284" hidden="1" customWidth="1"/>
    <col min="7707" max="7707" width="9" style="3284" customWidth="1"/>
    <col min="7708" max="7708" width="25.75" style="3284" customWidth="1"/>
    <col min="7709" max="7709" width="7.875" style="3284" customWidth="1"/>
    <col min="7710" max="7710" width="29.375" style="3284" customWidth="1"/>
    <col min="7711" max="7712" width="0" style="3284" hidden="1" customWidth="1"/>
    <col min="7713" max="7713" width="10.625" style="3284" customWidth="1"/>
    <col min="7714" max="7714" width="0" style="3284" hidden="1" customWidth="1"/>
    <col min="7715" max="7715" width="16" style="3284" customWidth="1"/>
    <col min="7716" max="7716" width="0" style="3284" hidden="1" customWidth="1"/>
    <col min="7717" max="7717" width="14.375" style="3284" customWidth="1"/>
    <col min="7718" max="7719" width="0" style="3284" hidden="1" customWidth="1"/>
    <col min="7720" max="7720" width="6.25" style="3284" customWidth="1"/>
    <col min="7721" max="7721" width="18.375" style="3284" customWidth="1"/>
    <col min="7722" max="7724" width="0" style="3284" hidden="1" customWidth="1"/>
    <col min="7725" max="7725" width="7.875" style="3284" customWidth="1"/>
    <col min="7726" max="7936" width="9" style="3284"/>
    <col min="7937" max="7941" width="0" style="3284" hidden="1" customWidth="1"/>
    <col min="7942" max="7942" width="21.5" style="3284" customWidth="1"/>
    <col min="7943" max="7943" width="0" style="3284" hidden="1" customWidth="1"/>
    <col min="7944" max="7944" width="20.5" style="3284" customWidth="1"/>
    <col min="7945" max="7945" width="24.5" style="3284" customWidth="1"/>
    <col min="7946" max="7947" width="13.875" style="3284" customWidth="1"/>
    <col min="7948" max="7948" width="12.5" style="3284" customWidth="1"/>
    <col min="7949" max="7956" width="0" style="3284" hidden="1" customWidth="1"/>
    <col min="7957" max="7957" width="11.25" style="3284" customWidth="1"/>
    <col min="7958" max="7958" width="0" style="3284" hidden="1" customWidth="1"/>
    <col min="7959" max="7959" width="7.875" style="3284" customWidth="1"/>
    <col min="7960" max="7962" width="0" style="3284" hidden="1" customWidth="1"/>
    <col min="7963" max="7963" width="9" style="3284" customWidth="1"/>
    <col min="7964" max="7964" width="25.75" style="3284" customWidth="1"/>
    <col min="7965" max="7965" width="7.875" style="3284" customWidth="1"/>
    <col min="7966" max="7966" width="29.375" style="3284" customWidth="1"/>
    <col min="7967" max="7968" width="0" style="3284" hidden="1" customWidth="1"/>
    <col min="7969" max="7969" width="10.625" style="3284" customWidth="1"/>
    <col min="7970" max="7970" width="0" style="3284" hidden="1" customWidth="1"/>
    <col min="7971" max="7971" width="16" style="3284" customWidth="1"/>
    <col min="7972" max="7972" width="0" style="3284" hidden="1" customWidth="1"/>
    <col min="7973" max="7973" width="14.375" style="3284" customWidth="1"/>
    <col min="7974" max="7975" width="0" style="3284" hidden="1" customWidth="1"/>
    <col min="7976" max="7976" width="6.25" style="3284" customWidth="1"/>
    <col min="7977" max="7977" width="18.375" style="3284" customWidth="1"/>
    <col min="7978" max="7980" width="0" style="3284" hidden="1" customWidth="1"/>
    <col min="7981" max="7981" width="7.875" style="3284" customWidth="1"/>
    <col min="7982" max="8192" width="9" style="3284"/>
    <col min="8193" max="8197" width="0" style="3284" hidden="1" customWidth="1"/>
    <col min="8198" max="8198" width="21.5" style="3284" customWidth="1"/>
    <col min="8199" max="8199" width="0" style="3284" hidden="1" customWidth="1"/>
    <col min="8200" max="8200" width="20.5" style="3284" customWidth="1"/>
    <col min="8201" max="8201" width="24.5" style="3284" customWidth="1"/>
    <col min="8202" max="8203" width="13.875" style="3284" customWidth="1"/>
    <col min="8204" max="8204" width="12.5" style="3284" customWidth="1"/>
    <col min="8205" max="8212" width="0" style="3284" hidden="1" customWidth="1"/>
    <col min="8213" max="8213" width="11.25" style="3284" customWidth="1"/>
    <col min="8214" max="8214" width="0" style="3284" hidden="1" customWidth="1"/>
    <col min="8215" max="8215" width="7.875" style="3284" customWidth="1"/>
    <col min="8216" max="8218" width="0" style="3284" hidden="1" customWidth="1"/>
    <col min="8219" max="8219" width="9" style="3284" customWidth="1"/>
    <col min="8220" max="8220" width="25.75" style="3284" customWidth="1"/>
    <col min="8221" max="8221" width="7.875" style="3284" customWidth="1"/>
    <col min="8222" max="8222" width="29.375" style="3284" customWidth="1"/>
    <col min="8223" max="8224" width="0" style="3284" hidden="1" customWidth="1"/>
    <col min="8225" max="8225" width="10.625" style="3284" customWidth="1"/>
    <col min="8226" max="8226" width="0" style="3284" hidden="1" customWidth="1"/>
    <col min="8227" max="8227" width="16" style="3284" customWidth="1"/>
    <col min="8228" max="8228" width="0" style="3284" hidden="1" customWidth="1"/>
    <col min="8229" max="8229" width="14.375" style="3284" customWidth="1"/>
    <col min="8230" max="8231" width="0" style="3284" hidden="1" customWidth="1"/>
    <col min="8232" max="8232" width="6.25" style="3284" customWidth="1"/>
    <col min="8233" max="8233" width="18.375" style="3284" customWidth="1"/>
    <col min="8234" max="8236" width="0" style="3284" hidden="1" customWidth="1"/>
    <col min="8237" max="8237" width="7.875" style="3284" customWidth="1"/>
    <col min="8238" max="8448" width="9" style="3284"/>
    <col min="8449" max="8453" width="0" style="3284" hidden="1" customWidth="1"/>
    <col min="8454" max="8454" width="21.5" style="3284" customWidth="1"/>
    <col min="8455" max="8455" width="0" style="3284" hidden="1" customWidth="1"/>
    <col min="8456" max="8456" width="20.5" style="3284" customWidth="1"/>
    <col min="8457" max="8457" width="24.5" style="3284" customWidth="1"/>
    <col min="8458" max="8459" width="13.875" style="3284" customWidth="1"/>
    <col min="8460" max="8460" width="12.5" style="3284" customWidth="1"/>
    <col min="8461" max="8468" width="0" style="3284" hidden="1" customWidth="1"/>
    <col min="8469" max="8469" width="11.25" style="3284" customWidth="1"/>
    <col min="8470" max="8470" width="0" style="3284" hidden="1" customWidth="1"/>
    <col min="8471" max="8471" width="7.875" style="3284" customWidth="1"/>
    <col min="8472" max="8474" width="0" style="3284" hidden="1" customWidth="1"/>
    <col min="8475" max="8475" width="9" style="3284" customWidth="1"/>
    <col min="8476" max="8476" width="25.75" style="3284" customWidth="1"/>
    <col min="8477" max="8477" width="7.875" style="3284" customWidth="1"/>
    <col min="8478" max="8478" width="29.375" style="3284" customWidth="1"/>
    <col min="8479" max="8480" width="0" style="3284" hidden="1" customWidth="1"/>
    <col min="8481" max="8481" width="10.625" style="3284" customWidth="1"/>
    <col min="8482" max="8482" width="0" style="3284" hidden="1" customWidth="1"/>
    <col min="8483" max="8483" width="16" style="3284" customWidth="1"/>
    <col min="8484" max="8484" width="0" style="3284" hidden="1" customWidth="1"/>
    <col min="8485" max="8485" width="14.375" style="3284" customWidth="1"/>
    <col min="8486" max="8487" width="0" style="3284" hidden="1" customWidth="1"/>
    <col min="8488" max="8488" width="6.25" style="3284" customWidth="1"/>
    <col min="8489" max="8489" width="18.375" style="3284" customWidth="1"/>
    <col min="8490" max="8492" width="0" style="3284" hidden="1" customWidth="1"/>
    <col min="8493" max="8493" width="7.875" style="3284" customWidth="1"/>
    <col min="8494" max="8704" width="9" style="3284"/>
    <col min="8705" max="8709" width="0" style="3284" hidden="1" customWidth="1"/>
    <col min="8710" max="8710" width="21.5" style="3284" customWidth="1"/>
    <col min="8711" max="8711" width="0" style="3284" hidden="1" customWidth="1"/>
    <col min="8712" max="8712" width="20.5" style="3284" customWidth="1"/>
    <col min="8713" max="8713" width="24.5" style="3284" customWidth="1"/>
    <col min="8714" max="8715" width="13.875" style="3284" customWidth="1"/>
    <col min="8716" max="8716" width="12.5" style="3284" customWidth="1"/>
    <col min="8717" max="8724" width="0" style="3284" hidden="1" customWidth="1"/>
    <col min="8725" max="8725" width="11.25" style="3284" customWidth="1"/>
    <col min="8726" max="8726" width="0" style="3284" hidden="1" customWidth="1"/>
    <col min="8727" max="8727" width="7.875" style="3284" customWidth="1"/>
    <col min="8728" max="8730" width="0" style="3284" hidden="1" customWidth="1"/>
    <col min="8731" max="8731" width="9" style="3284" customWidth="1"/>
    <col min="8732" max="8732" width="25.75" style="3284" customWidth="1"/>
    <col min="8733" max="8733" width="7.875" style="3284" customWidth="1"/>
    <col min="8734" max="8734" width="29.375" style="3284" customWidth="1"/>
    <col min="8735" max="8736" width="0" style="3284" hidden="1" customWidth="1"/>
    <col min="8737" max="8737" width="10.625" style="3284" customWidth="1"/>
    <col min="8738" max="8738" width="0" style="3284" hidden="1" customWidth="1"/>
    <col min="8739" max="8739" width="16" style="3284" customWidth="1"/>
    <col min="8740" max="8740" width="0" style="3284" hidden="1" customWidth="1"/>
    <col min="8741" max="8741" width="14.375" style="3284" customWidth="1"/>
    <col min="8742" max="8743" width="0" style="3284" hidden="1" customWidth="1"/>
    <col min="8744" max="8744" width="6.25" style="3284" customWidth="1"/>
    <col min="8745" max="8745" width="18.375" style="3284" customWidth="1"/>
    <col min="8746" max="8748" width="0" style="3284" hidden="1" customWidth="1"/>
    <col min="8749" max="8749" width="7.875" style="3284" customWidth="1"/>
    <col min="8750" max="8960" width="9" style="3284"/>
    <col min="8961" max="8965" width="0" style="3284" hidden="1" customWidth="1"/>
    <col min="8966" max="8966" width="21.5" style="3284" customWidth="1"/>
    <col min="8967" max="8967" width="0" style="3284" hidden="1" customWidth="1"/>
    <col min="8968" max="8968" width="20.5" style="3284" customWidth="1"/>
    <col min="8969" max="8969" width="24.5" style="3284" customWidth="1"/>
    <col min="8970" max="8971" width="13.875" style="3284" customWidth="1"/>
    <col min="8972" max="8972" width="12.5" style="3284" customWidth="1"/>
    <col min="8973" max="8980" width="0" style="3284" hidden="1" customWidth="1"/>
    <col min="8981" max="8981" width="11.25" style="3284" customWidth="1"/>
    <col min="8982" max="8982" width="0" style="3284" hidden="1" customWidth="1"/>
    <col min="8983" max="8983" width="7.875" style="3284" customWidth="1"/>
    <col min="8984" max="8986" width="0" style="3284" hidden="1" customWidth="1"/>
    <col min="8987" max="8987" width="9" style="3284" customWidth="1"/>
    <col min="8988" max="8988" width="25.75" style="3284" customWidth="1"/>
    <col min="8989" max="8989" width="7.875" style="3284" customWidth="1"/>
    <col min="8990" max="8990" width="29.375" style="3284" customWidth="1"/>
    <col min="8991" max="8992" width="0" style="3284" hidden="1" customWidth="1"/>
    <col min="8993" max="8993" width="10.625" style="3284" customWidth="1"/>
    <col min="8994" max="8994" width="0" style="3284" hidden="1" customWidth="1"/>
    <col min="8995" max="8995" width="16" style="3284" customWidth="1"/>
    <col min="8996" max="8996" width="0" style="3284" hidden="1" customWidth="1"/>
    <col min="8997" max="8997" width="14.375" style="3284" customWidth="1"/>
    <col min="8998" max="8999" width="0" style="3284" hidden="1" customWidth="1"/>
    <col min="9000" max="9000" width="6.25" style="3284" customWidth="1"/>
    <col min="9001" max="9001" width="18.375" style="3284" customWidth="1"/>
    <col min="9002" max="9004" width="0" style="3284" hidden="1" customWidth="1"/>
    <col min="9005" max="9005" width="7.875" style="3284" customWidth="1"/>
    <col min="9006" max="9216" width="9" style="3284"/>
    <col min="9217" max="9221" width="0" style="3284" hidden="1" customWidth="1"/>
    <col min="9222" max="9222" width="21.5" style="3284" customWidth="1"/>
    <col min="9223" max="9223" width="0" style="3284" hidden="1" customWidth="1"/>
    <col min="9224" max="9224" width="20.5" style="3284" customWidth="1"/>
    <col min="9225" max="9225" width="24.5" style="3284" customWidth="1"/>
    <col min="9226" max="9227" width="13.875" style="3284" customWidth="1"/>
    <col min="9228" max="9228" width="12.5" style="3284" customWidth="1"/>
    <col min="9229" max="9236" width="0" style="3284" hidden="1" customWidth="1"/>
    <col min="9237" max="9237" width="11.25" style="3284" customWidth="1"/>
    <col min="9238" max="9238" width="0" style="3284" hidden="1" customWidth="1"/>
    <col min="9239" max="9239" width="7.875" style="3284" customWidth="1"/>
    <col min="9240" max="9242" width="0" style="3284" hidden="1" customWidth="1"/>
    <col min="9243" max="9243" width="9" style="3284" customWidth="1"/>
    <col min="9244" max="9244" width="25.75" style="3284" customWidth="1"/>
    <col min="9245" max="9245" width="7.875" style="3284" customWidth="1"/>
    <col min="9246" max="9246" width="29.375" style="3284" customWidth="1"/>
    <col min="9247" max="9248" width="0" style="3284" hidden="1" customWidth="1"/>
    <col min="9249" max="9249" width="10.625" style="3284" customWidth="1"/>
    <col min="9250" max="9250" width="0" style="3284" hidden="1" customWidth="1"/>
    <col min="9251" max="9251" width="16" style="3284" customWidth="1"/>
    <col min="9252" max="9252" width="0" style="3284" hidden="1" customWidth="1"/>
    <col min="9253" max="9253" width="14.375" style="3284" customWidth="1"/>
    <col min="9254" max="9255" width="0" style="3284" hidden="1" customWidth="1"/>
    <col min="9256" max="9256" width="6.25" style="3284" customWidth="1"/>
    <col min="9257" max="9257" width="18.375" style="3284" customWidth="1"/>
    <col min="9258" max="9260" width="0" style="3284" hidden="1" customWidth="1"/>
    <col min="9261" max="9261" width="7.875" style="3284" customWidth="1"/>
    <col min="9262" max="9472" width="9" style="3284"/>
    <col min="9473" max="9477" width="0" style="3284" hidden="1" customWidth="1"/>
    <col min="9478" max="9478" width="21.5" style="3284" customWidth="1"/>
    <col min="9479" max="9479" width="0" style="3284" hidden="1" customWidth="1"/>
    <col min="9480" max="9480" width="20.5" style="3284" customWidth="1"/>
    <col min="9481" max="9481" width="24.5" style="3284" customWidth="1"/>
    <col min="9482" max="9483" width="13.875" style="3284" customWidth="1"/>
    <col min="9484" max="9484" width="12.5" style="3284" customWidth="1"/>
    <col min="9485" max="9492" width="0" style="3284" hidden="1" customWidth="1"/>
    <col min="9493" max="9493" width="11.25" style="3284" customWidth="1"/>
    <col min="9494" max="9494" width="0" style="3284" hidden="1" customWidth="1"/>
    <col min="9495" max="9495" width="7.875" style="3284" customWidth="1"/>
    <col min="9496" max="9498" width="0" style="3284" hidden="1" customWidth="1"/>
    <col min="9499" max="9499" width="9" style="3284" customWidth="1"/>
    <col min="9500" max="9500" width="25.75" style="3284" customWidth="1"/>
    <col min="9501" max="9501" width="7.875" style="3284" customWidth="1"/>
    <col min="9502" max="9502" width="29.375" style="3284" customWidth="1"/>
    <col min="9503" max="9504" width="0" style="3284" hidden="1" customWidth="1"/>
    <col min="9505" max="9505" width="10.625" style="3284" customWidth="1"/>
    <col min="9506" max="9506" width="0" style="3284" hidden="1" customWidth="1"/>
    <col min="9507" max="9507" width="16" style="3284" customWidth="1"/>
    <col min="9508" max="9508" width="0" style="3284" hidden="1" customWidth="1"/>
    <col min="9509" max="9509" width="14.375" style="3284" customWidth="1"/>
    <col min="9510" max="9511" width="0" style="3284" hidden="1" customWidth="1"/>
    <col min="9512" max="9512" width="6.25" style="3284" customWidth="1"/>
    <col min="9513" max="9513" width="18.375" style="3284" customWidth="1"/>
    <col min="9514" max="9516" width="0" style="3284" hidden="1" customWidth="1"/>
    <col min="9517" max="9517" width="7.875" style="3284" customWidth="1"/>
    <col min="9518" max="9728" width="9" style="3284"/>
    <col min="9729" max="9733" width="0" style="3284" hidden="1" customWidth="1"/>
    <col min="9734" max="9734" width="21.5" style="3284" customWidth="1"/>
    <col min="9735" max="9735" width="0" style="3284" hidden="1" customWidth="1"/>
    <col min="9736" max="9736" width="20.5" style="3284" customWidth="1"/>
    <col min="9737" max="9737" width="24.5" style="3284" customWidth="1"/>
    <col min="9738" max="9739" width="13.875" style="3284" customWidth="1"/>
    <col min="9740" max="9740" width="12.5" style="3284" customWidth="1"/>
    <col min="9741" max="9748" width="0" style="3284" hidden="1" customWidth="1"/>
    <col min="9749" max="9749" width="11.25" style="3284" customWidth="1"/>
    <col min="9750" max="9750" width="0" style="3284" hidden="1" customWidth="1"/>
    <col min="9751" max="9751" width="7.875" style="3284" customWidth="1"/>
    <col min="9752" max="9754" width="0" style="3284" hidden="1" customWidth="1"/>
    <col min="9755" max="9755" width="9" style="3284" customWidth="1"/>
    <col min="9756" max="9756" width="25.75" style="3284" customWidth="1"/>
    <col min="9757" max="9757" width="7.875" style="3284" customWidth="1"/>
    <col min="9758" max="9758" width="29.375" style="3284" customWidth="1"/>
    <col min="9759" max="9760" width="0" style="3284" hidden="1" customWidth="1"/>
    <col min="9761" max="9761" width="10.625" style="3284" customWidth="1"/>
    <col min="9762" max="9762" width="0" style="3284" hidden="1" customWidth="1"/>
    <col min="9763" max="9763" width="16" style="3284" customWidth="1"/>
    <col min="9764" max="9764" width="0" style="3284" hidden="1" customWidth="1"/>
    <col min="9765" max="9765" width="14.375" style="3284" customWidth="1"/>
    <col min="9766" max="9767" width="0" style="3284" hidden="1" customWidth="1"/>
    <col min="9768" max="9768" width="6.25" style="3284" customWidth="1"/>
    <col min="9769" max="9769" width="18.375" style="3284" customWidth="1"/>
    <col min="9770" max="9772" width="0" style="3284" hidden="1" customWidth="1"/>
    <col min="9773" max="9773" width="7.875" style="3284" customWidth="1"/>
    <col min="9774" max="9984" width="9" style="3284"/>
    <col min="9985" max="9989" width="0" style="3284" hidden="1" customWidth="1"/>
    <col min="9990" max="9990" width="21.5" style="3284" customWidth="1"/>
    <col min="9991" max="9991" width="0" style="3284" hidden="1" customWidth="1"/>
    <col min="9992" max="9992" width="20.5" style="3284" customWidth="1"/>
    <col min="9993" max="9993" width="24.5" style="3284" customWidth="1"/>
    <col min="9994" max="9995" width="13.875" style="3284" customWidth="1"/>
    <col min="9996" max="9996" width="12.5" style="3284" customWidth="1"/>
    <col min="9997" max="10004" width="0" style="3284" hidden="1" customWidth="1"/>
    <col min="10005" max="10005" width="11.25" style="3284" customWidth="1"/>
    <col min="10006" max="10006" width="0" style="3284" hidden="1" customWidth="1"/>
    <col min="10007" max="10007" width="7.875" style="3284" customWidth="1"/>
    <col min="10008" max="10010" width="0" style="3284" hidden="1" customWidth="1"/>
    <col min="10011" max="10011" width="9" style="3284" customWidth="1"/>
    <col min="10012" max="10012" width="25.75" style="3284" customWidth="1"/>
    <col min="10013" max="10013" width="7.875" style="3284" customWidth="1"/>
    <col min="10014" max="10014" width="29.375" style="3284" customWidth="1"/>
    <col min="10015" max="10016" width="0" style="3284" hidden="1" customWidth="1"/>
    <col min="10017" max="10017" width="10.625" style="3284" customWidth="1"/>
    <col min="10018" max="10018" width="0" style="3284" hidden="1" customWidth="1"/>
    <col min="10019" max="10019" width="16" style="3284" customWidth="1"/>
    <col min="10020" max="10020" width="0" style="3284" hidden="1" customWidth="1"/>
    <col min="10021" max="10021" width="14.375" style="3284" customWidth="1"/>
    <col min="10022" max="10023" width="0" style="3284" hidden="1" customWidth="1"/>
    <col min="10024" max="10024" width="6.25" style="3284" customWidth="1"/>
    <col min="10025" max="10025" width="18.375" style="3284" customWidth="1"/>
    <col min="10026" max="10028" width="0" style="3284" hidden="1" customWidth="1"/>
    <col min="10029" max="10029" width="7.875" style="3284" customWidth="1"/>
    <col min="10030" max="10240" width="9" style="3284"/>
    <col min="10241" max="10245" width="0" style="3284" hidden="1" customWidth="1"/>
    <col min="10246" max="10246" width="21.5" style="3284" customWidth="1"/>
    <col min="10247" max="10247" width="0" style="3284" hidden="1" customWidth="1"/>
    <col min="10248" max="10248" width="20.5" style="3284" customWidth="1"/>
    <col min="10249" max="10249" width="24.5" style="3284" customWidth="1"/>
    <col min="10250" max="10251" width="13.875" style="3284" customWidth="1"/>
    <col min="10252" max="10252" width="12.5" style="3284" customWidth="1"/>
    <col min="10253" max="10260" width="0" style="3284" hidden="1" customWidth="1"/>
    <col min="10261" max="10261" width="11.25" style="3284" customWidth="1"/>
    <col min="10262" max="10262" width="0" style="3284" hidden="1" customWidth="1"/>
    <col min="10263" max="10263" width="7.875" style="3284" customWidth="1"/>
    <col min="10264" max="10266" width="0" style="3284" hidden="1" customWidth="1"/>
    <col min="10267" max="10267" width="9" style="3284" customWidth="1"/>
    <col min="10268" max="10268" width="25.75" style="3284" customWidth="1"/>
    <col min="10269" max="10269" width="7.875" style="3284" customWidth="1"/>
    <col min="10270" max="10270" width="29.375" style="3284" customWidth="1"/>
    <col min="10271" max="10272" width="0" style="3284" hidden="1" customWidth="1"/>
    <col min="10273" max="10273" width="10.625" style="3284" customWidth="1"/>
    <col min="10274" max="10274" width="0" style="3284" hidden="1" customWidth="1"/>
    <col min="10275" max="10275" width="16" style="3284" customWidth="1"/>
    <col min="10276" max="10276" width="0" style="3284" hidden="1" customWidth="1"/>
    <col min="10277" max="10277" width="14.375" style="3284" customWidth="1"/>
    <col min="10278" max="10279" width="0" style="3284" hidden="1" customWidth="1"/>
    <col min="10280" max="10280" width="6.25" style="3284" customWidth="1"/>
    <col min="10281" max="10281" width="18.375" style="3284" customWidth="1"/>
    <col min="10282" max="10284" width="0" style="3284" hidden="1" customWidth="1"/>
    <col min="10285" max="10285" width="7.875" style="3284" customWidth="1"/>
    <col min="10286" max="10496" width="9" style="3284"/>
    <col min="10497" max="10501" width="0" style="3284" hidden="1" customWidth="1"/>
    <col min="10502" max="10502" width="21.5" style="3284" customWidth="1"/>
    <col min="10503" max="10503" width="0" style="3284" hidden="1" customWidth="1"/>
    <col min="10504" max="10504" width="20.5" style="3284" customWidth="1"/>
    <col min="10505" max="10505" width="24.5" style="3284" customWidth="1"/>
    <col min="10506" max="10507" width="13.875" style="3284" customWidth="1"/>
    <col min="10508" max="10508" width="12.5" style="3284" customWidth="1"/>
    <col min="10509" max="10516" width="0" style="3284" hidden="1" customWidth="1"/>
    <col min="10517" max="10517" width="11.25" style="3284" customWidth="1"/>
    <col min="10518" max="10518" width="0" style="3284" hidden="1" customWidth="1"/>
    <col min="10519" max="10519" width="7.875" style="3284" customWidth="1"/>
    <col min="10520" max="10522" width="0" style="3284" hidden="1" customWidth="1"/>
    <col min="10523" max="10523" width="9" style="3284" customWidth="1"/>
    <col min="10524" max="10524" width="25.75" style="3284" customWidth="1"/>
    <col min="10525" max="10525" width="7.875" style="3284" customWidth="1"/>
    <col min="10526" max="10526" width="29.375" style="3284" customWidth="1"/>
    <col min="10527" max="10528" width="0" style="3284" hidden="1" customWidth="1"/>
    <col min="10529" max="10529" width="10.625" style="3284" customWidth="1"/>
    <col min="10530" max="10530" width="0" style="3284" hidden="1" customWidth="1"/>
    <col min="10531" max="10531" width="16" style="3284" customWidth="1"/>
    <col min="10532" max="10532" width="0" style="3284" hidden="1" customWidth="1"/>
    <col min="10533" max="10533" width="14.375" style="3284" customWidth="1"/>
    <col min="10534" max="10535" width="0" style="3284" hidden="1" customWidth="1"/>
    <col min="10536" max="10536" width="6.25" style="3284" customWidth="1"/>
    <col min="10537" max="10537" width="18.375" style="3284" customWidth="1"/>
    <col min="10538" max="10540" width="0" style="3284" hidden="1" customWidth="1"/>
    <col min="10541" max="10541" width="7.875" style="3284" customWidth="1"/>
    <col min="10542" max="10752" width="9" style="3284"/>
    <col min="10753" max="10757" width="0" style="3284" hidden="1" customWidth="1"/>
    <col min="10758" max="10758" width="21.5" style="3284" customWidth="1"/>
    <col min="10759" max="10759" width="0" style="3284" hidden="1" customWidth="1"/>
    <col min="10760" max="10760" width="20.5" style="3284" customWidth="1"/>
    <col min="10761" max="10761" width="24.5" style="3284" customWidth="1"/>
    <col min="10762" max="10763" width="13.875" style="3284" customWidth="1"/>
    <col min="10764" max="10764" width="12.5" style="3284" customWidth="1"/>
    <col min="10765" max="10772" width="0" style="3284" hidden="1" customWidth="1"/>
    <col min="10773" max="10773" width="11.25" style="3284" customWidth="1"/>
    <col min="10774" max="10774" width="0" style="3284" hidden="1" customWidth="1"/>
    <col min="10775" max="10775" width="7.875" style="3284" customWidth="1"/>
    <col min="10776" max="10778" width="0" style="3284" hidden="1" customWidth="1"/>
    <col min="10779" max="10779" width="9" style="3284" customWidth="1"/>
    <col min="10780" max="10780" width="25.75" style="3284" customWidth="1"/>
    <col min="10781" max="10781" width="7.875" style="3284" customWidth="1"/>
    <col min="10782" max="10782" width="29.375" style="3284" customWidth="1"/>
    <col min="10783" max="10784" width="0" style="3284" hidden="1" customWidth="1"/>
    <col min="10785" max="10785" width="10.625" style="3284" customWidth="1"/>
    <col min="10786" max="10786" width="0" style="3284" hidden="1" customWidth="1"/>
    <col min="10787" max="10787" width="16" style="3284" customWidth="1"/>
    <col min="10788" max="10788" width="0" style="3284" hidden="1" customWidth="1"/>
    <col min="10789" max="10789" width="14.375" style="3284" customWidth="1"/>
    <col min="10790" max="10791" width="0" style="3284" hidden="1" customWidth="1"/>
    <col min="10792" max="10792" width="6.25" style="3284" customWidth="1"/>
    <col min="10793" max="10793" width="18.375" style="3284" customWidth="1"/>
    <col min="10794" max="10796" width="0" style="3284" hidden="1" customWidth="1"/>
    <col min="10797" max="10797" width="7.875" style="3284" customWidth="1"/>
    <col min="10798" max="11008" width="9" style="3284"/>
    <col min="11009" max="11013" width="0" style="3284" hidden="1" customWidth="1"/>
    <col min="11014" max="11014" width="21.5" style="3284" customWidth="1"/>
    <col min="11015" max="11015" width="0" style="3284" hidden="1" customWidth="1"/>
    <col min="11016" max="11016" width="20.5" style="3284" customWidth="1"/>
    <col min="11017" max="11017" width="24.5" style="3284" customWidth="1"/>
    <col min="11018" max="11019" width="13.875" style="3284" customWidth="1"/>
    <col min="11020" max="11020" width="12.5" style="3284" customWidth="1"/>
    <col min="11021" max="11028" width="0" style="3284" hidden="1" customWidth="1"/>
    <col min="11029" max="11029" width="11.25" style="3284" customWidth="1"/>
    <col min="11030" max="11030" width="0" style="3284" hidden="1" customWidth="1"/>
    <col min="11031" max="11031" width="7.875" style="3284" customWidth="1"/>
    <col min="11032" max="11034" width="0" style="3284" hidden="1" customWidth="1"/>
    <col min="11035" max="11035" width="9" style="3284" customWidth="1"/>
    <col min="11036" max="11036" width="25.75" style="3284" customWidth="1"/>
    <col min="11037" max="11037" width="7.875" style="3284" customWidth="1"/>
    <col min="11038" max="11038" width="29.375" style="3284" customWidth="1"/>
    <col min="11039" max="11040" width="0" style="3284" hidden="1" customWidth="1"/>
    <col min="11041" max="11041" width="10.625" style="3284" customWidth="1"/>
    <col min="11042" max="11042" width="0" style="3284" hidden="1" customWidth="1"/>
    <col min="11043" max="11043" width="16" style="3284" customWidth="1"/>
    <col min="11044" max="11044" width="0" style="3284" hidden="1" customWidth="1"/>
    <col min="11045" max="11045" width="14.375" style="3284" customWidth="1"/>
    <col min="11046" max="11047" width="0" style="3284" hidden="1" customWidth="1"/>
    <col min="11048" max="11048" width="6.25" style="3284" customWidth="1"/>
    <col min="11049" max="11049" width="18.375" style="3284" customWidth="1"/>
    <col min="11050" max="11052" width="0" style="3284" hidden="1" customWidth="1"/>
    <col min="11053" max="11053" width="7.875" style="3284" customWidth="1"/>
    <col min="11054" max="11264" width="9" style="3284"/>
    <col min="11265" max="11269" width="0" style="3284" hidden="1" customWidth="1"/>
    <col min="11270" max="11270" width="21.5" style="3284" customWidth="1"/>
    <col min="11271" max="11271" width="0" style="3284" hidden="1" customWidth="1"/>
    <col min="11272" max="11272" width="20.5" style="3284" customWidth="1"/>
    <col min="11273" max="11273" width="24.5" style="3284" customWidth="1"/>
    <col min="11274" max="11275" width="13.875" style="3284" customWidth="1"/>
    <col min="11276" max="11276" width="12.5" style="3284" customWidth="1"/>
    <col min="11277" max="11284" width="0" style="3284" hidden="1" customWidth="1"/>
    <col min="11285" max="11285" width="11.25" style="3284" customWidth="1"/>
    <col min="11286" max="11286" width="0" style="3284" hidden="1" customWidth="1"/>
    <col min="11287" max="11287" width="7.875" style="3284" customWidth="1"/>
    <col min="11288" max="11290" width="0" style="3284" hidden="1" customWidth="1"/>
    <col min="11291" max="11291" width="9" style="3284" customWidth="1"/>
    <col min="11292" max="11292" width="25.75" style="3284" customWidth="1"/>
    <col min="11293" max="11293" width="7.875" style="3284" customWidth="1"/>
    <col min="11294" max="11294" width="29.375" style="3284" customWidth="1"/>
    <col min="11295" max="11296" width="0" style="3284" hidden="1" customWidth="1"/>
    <col min="11297" max="11297" width="10.625" style="3284" customWidth="1"/>
    <col min="11298" max="11298" width="0" style="3284" hidden="1" customWidth="1"/>
    <col min="11299" max="11299" width="16" style="3284" customWidth="1"/>
    <col min="11300" max="11300" width="0" style="3284" hidden="1" customWidth="1"/>
    <col min="11301" max="11301" width="14.375" style="3284" customWidth="1"/>
    <col min="11302" max="11303" width="0" style="3284" hidden="1" customWidth="1"/>
    <col min="11304" max="11304" width="6.25" style="3284" customWidth="1"/>
    <col min="11305" max="11305" width="18.375" style="3284" customWidth="1"/>
    <col min="11306" max="11308" width="0" style="3284" hidden="1" customWidth="1"/>
    <col min="11309" max="11309" width="7.875" style="3284" customWidth="1"/>
    <col min="11310" max="11520" width="9" style="3284"/>
    <col min="11521" max="11525" width="0" style="3284" hidden="1" customWidth="1"/>
    <col min="11526" max="11526" width="21.5" style="3284" customWidth="1"/>
    <col min="11527" max="11527" width="0" style="3284" hidden="1" customWidth="1"/>
    <col min="11528" max="11528" width="20.5" style="3284" customWidth="1"/>
    <col min="11529" max="11529" width="24.5" style="3284" customWidth="1"/>
    <col min="11530" max="11531" width="13.875" style="3284" customWidth="1"/>
    <col min="11532" max="11532" width="12.5" style="3284" customWidth="1"/>
    <col min="11533" max="11540" width="0" style="3284" hidden="1" customWidth="1"/>
    <col min="11541" max="11541" width="11.25" style="3284" customWidth="1"/>
    <col min="11542" max="11542" width="0" style="3284" hidden="1" customWidth="1"/>
    <col min="11543" max="11543" width="7.875" style="3284" customWidth="1"/>
    <col min="11544" max="11546" width="0" style="3284" hidden="1" customWidth="1"/>
    <col min="11547" max="11547" width="9" style="3284" customWidth="1"/>
    <col min="11548" max="11548" width="25.75" style="3284" customWidth="1"/>
    <col min="11549" max="11549" width="7.875" style="3284" customWidth="1"/>
    <col min="11550" max="11550" width="29.375" style="3284" customWidth="1"/>
    <col min="11551" max="11552" width="0" style="3284" hidden="1" customWidth="1"/>
    <col min="11553" max="11553" width="10.625" style="3284" customWidth="1"/>
    <col min="11554" max="11554" width="0" style="3284" hidden="1" customWidth="1"/>
    <col min="11555" max="11555" width="16" style="3284" customWidth="1"/>
    <col min="11556" max="11556" width="0" style="3284" hidden="1" customWidth="1"/>
    <col min="11557" max="11557" width="14.375" style="3284" customWidth="1"/>
    <col min="11558" max="11559" width="0" style="3284" hidden="1" customWidth="1"/>
    <col min="11560" max="11560" width="6.25" style="3284" customWidth="1"/>
    <col min="11561" max="11561" width="18.375" style="3284" customWidth="1"/>
    <col min="11562" max="11564" width="0" style="3284" hidden="1" customWidth="1"/>
    <col min="11565" max="11565" width="7.875" style="3284" customWidth="1"/>
    <col min="11566" max="11776" width="9" style="3284"/>
    <col min="11777" max="11781" width="0" style="3284" hidden="1" customWidth="1"/>
    <col min="11782" max="11782" width="21.5" style="3284" customWidth="1"/>
    <col min="11783" max="11783" width="0" style="3284" hidden="1" customWidth="1"/>
    <col min="11784" max="11784" width="20.5" style="3284" customWidth="1"/>
    <col min="11785" max="11785" width="24.5" style="3284" customWidth="1"/>
    <col min="11786" max="11787" width="13.875" style="3284" customWidth="1"/>
    <col min="11788" max="11788" width="12.5" style="3284" customWidth="1"/>
    <col min="11789" max="11796" width="0" style="3284" hidden="1" customWidth="1"/>
    <col min="11797" max="11797" width="11.25" style="3284" customWidth="1"/>
    <col min="11798" max="11798" width="0" style="3284" hidden="1" customWidth="1"/>
    <col min="11799" max="11799" width="7.875" style="3284" customWidth="1"/>
    <col min="11800" max="11802" width="0" style="3284" hidden="1" customWidth="1"/>
    <col min="11803" max="11803" width="9" style="3284" customWidth="1"/>
    <col min="11804" max="11804" width="25.75" style="3284" customWidth="1"/>
    <col min="11805" max="11805" width="7.875" style="3284" customWidth="1"/>
    <col min="11806" max="11806" width="29.375" style="3284" customWidth="1"/>
    <col min="11807" max="11808" width="0" style="3284" hidden="1" customWidth="1"/>
    <col min="11809" max="11809" width="10.625" style="3284" customWidth="1"/>
    <col min="11810" max="11810" width="0" style="3284" hidden="1" customWidth="1"/>
    <col min="11811" max="11811" width="16" style="3284" customWidth="1"/>
    <col min="11812" max="11812" width="0" style="3284" hidden="1" customWidth="1"/>
    <col min="11813" max="11813" width="14.375" style="3284" customWidth="1"/>
    <col min="11814" max="11815" width="0" style="3284" hidden="1" customWidth="1"/>
    <col min="11816" max="11816" width="6.25" style="3284" customWidth="1"/>
    <col min="11817" max="11817" width="18.375" style="3284" customWidth="1"/>
    <col min="11818" max="11820" width="0" style="3284" hidden="1" customWidth="1"/>
    <col min="11821" max="11821" width="7.875" style="3284" customWidth="1"/>
    <col min="11822" max="12032" width="9" style="3284"/>
    <col min="12033" max="12037" width="0" style="3284" hidden="1" customWidth="1"/>
    <col min="12038" max="12038" width="21.5" style="3284" customWidth="1"/>
    <col min="12039" max="12039" width="0" style="3284" hidden="1" customWidth="1"/>
    <col min="12040" max="12040" width="20.5" style="3284" customWidth="1"/>
    <col min="12041" max="12041" width="24.5" style="3284" customWidth="1"/>
    <col min="12042" max="12043" width="13.875" style="3284" customWidth="1"/>
    <col min="12044" max="12044" width="12.5" style="3284" customWidth="1"/>
    <col min="12045" max="12052" width="0" style="3284" hidden="1" customWidth="1"/>
    <col min="12053" max="12053" width="11.25" style="3284" customWidth="1"/>
    <col min="12054" max="12054" width="0" style="3284" hidden="1" customWidth="1"/>
    <col min="12055" max="12055" width="7.875" style="3284" customWidth="1"/>
    <col min="12056" max="12058" width="0" style="3284" hidden="1" customWidth="1"/>
    <col min="12059" max="12059" width="9" style="3284" customWidth="1"/>
    <col min="12060" max="12060" width="25.75" style="3284" customWidth="1"/>
    <col min="12061" max="12061" width="7.875" style="3284" customWidth="1"/>
    <col min="12062" max="12062" width="29.375" style="3284" customWidth="1"/>
    <col min="12063" max="12064" width="0" style="3284" hidden="1" customWidth="1"/>
    <col min="12065" max="12065" width="10.625" style="3284" customWidth="1"/>
    <col min="12066" max="12066" width="0" style="3284" hidden="1" customWidth="1"/>
    <col min="12067" max="12067" width="16" style="3284" customWidth="1"/>
    <col min="12068" max="12068" width="0" style="3284" hidden="1" customWidth="1"/>
    <col min="12069" max="12069" width="14.375" style="3284" customWidth="1"/>
    <col min="12070" max="12071" width="0" style="3284" hidden="1" customWidth="1"/>
    <col min="12072" max="12072" width="6.25" style="3284" customWidth="1"/>
    <col min="12073" max="12073" width="18.375" style="3284" customWidth="1"/>
    <col min="12074" max="12076" width="0" style="3284" hidden="1" customWidth="1"/>
    <col min="12077" max="12077" width="7.875" style="3284" customWidth="1"/>
    <col min="12078" max="12288" width="9" style="3284"/>
    <col min="12289" max="12293" width="0" style="3284" hidden="1" customWidth="1"/>
    <col min="12294" max="12294" width="21.5" style="3284" customWidth="1"/>
    <col min="12295" max="12295" width="0" style="3284" hidden="1" customWidth="1"/>
    <col min="12296" max="12296" width="20.5" style="3284" customWidth="1"/>
    <col min="12297" max="12297" width="24.5" style="3284" customWidth="1"/>
    <col min="12298" max="12299" width="13.875" style="3284" customWidth="1"/>
    <col min="12300" max="12300" width="12.5" style="3284" customWidth="1"/>
    <col min="12301" max="12308" width="0" style="3284" hidden="1" customWidth="1"/>
    <col min="12309" max="12309" width="11.25" style="3284" customWidth="1"/>
    <col min="12310" max="12310" width="0" style="3284" hidden="1" customWidth="1"/>
    <col min="12311" max="12311" width="7.875" style="3284" customWidth="1"/>
    <col min="12312" max="12314" width="0" style="3284" hidden="1" customWidth="1"/>
    <col min="12315" max="12315" width="9" style="3284" customWidth="1"/>
    <col min="12316" max="12316" width="25.75" style="3284" customWidth="1"/>
    <col min="12317" max="12317" width="7.875" style="3284" customWidth="1"/>
    <col min="12318" max="12318" width="29.375" style="3284" customWidth="1"/>
    <col min="12319" max="12320" width="0" style="3284" hidden="1" customWidth="1"/>
    <col min="12321" max="12321" width="10.625" style="3284" customWidth="1"/>
    <col min="12322" max="12322" width="0" style="3284" hidden="1" customWidth="1"/>
    <col min="12323" max="12323" width="16" style="3284" customWidth="1"/>
    <col min="12324" max="12324" width="0" style="3284" hidden="1" customWidth="1"/>
    <col min="12325" max="12325" width="14.375" style="3284" customWidth="1"/>
    <col min="12326" max="12327" width="0" style="3284" hidden="1" customWidth="1"/>
    <col min="12328" max="12328" width="6.25" style="3284" customWidth="1"/>
    <col min="12329" max="12329" width="18.375" style="3284" customWidth="1"/>
    <col min="12330" max="12332" width="0" style="3284" hidden="1" customWidth="1"/>
    <col min="12333" max="12333" width="7.875" style="3284" customWidth="1"/>
    <col min="12334" max="12544" width="9" style="3284"/>
    <col min="12545" max="12549" width="0" style="3284" hidden="1" customWidth="1"/>
    <col min="12550" max="12550" width="21.5" style="3284" customWidth="1"/>
    <col min="12551" max="12551" width="0" style="3284" hidden="1" customWidth="1"/>
    <col min="12552" max="12552" width="20.5" style="3284" customWidth="1"/>
    <col min="12553" max="12553" width="24.5" style="3284" customWidth="1"/>
    <col min="12554" max="12555" width="13.875" style="3284" customWidth="1"/>
    <col min="12556" max="12556" width="12.5" style="3284" customWidth="1"/>
    <col min="12557" max="12564" width="0" style="3284" hidden="1" customWidth="1"/>
    <col min="12565" max="12565" width="11.25" style="3284" customWidth="1"/>
    <col min="12566" max="12566" width="0" style="3284" hidden="1" customWidth="1"/>
    <col min="12567" max="12567" width="7.875" style="3284" customWidth="1"/>
    <col min="12568" max="12570" width="0" style="3284" hidden="1" customWidth="1"/>
    <col min="12571" max="12571" width="9" style="3284" customWidth="1"/>
    <col min="12572" max="12572" width="25.75" style="3284" customWidth="1"/>
    <col min="12573" max="12573" width="7.875" style="3284" customWidth="1"/>
    <col min="12574" max="12574" width="29.375" style="3284" customWidth="1"/>
    <col min="12575" max="12576" width="0" style="3284" hidden="1" customWidth="1"/>
    <col min="12577" max="12577" width="10.625" style="3284" customWidth="1"/>
    <col min="12578" max="12578" width="0" style="3284" hidden="1" customWidth="1"/>
    <col min="12579" max="12579" width="16" style="3284" customWidth="1"/>
    <col min="12580" max="12580" width="0" style="3284" hidden="1" customWidth="1"/>
    <col min="12581" max="12581" width="14.375" style="3284" customWidth="1"/>
    <col min="12582" max="12583" width="0" style="3284" hidden="1" customWidth="1"/>
    <col min="12584" max="12584" width="6.25" style="3284" customWidth="1"/>
    <col min="12585" max="12585" width="18.375" style="3284" customWidth="1"/>
    <col min="12586" max="12588" width="0" style="3284" hidden="1" customWidth="1"/>
    <col min="12589" max="12589" width="7.875" style="3284" customWidth="1"/>
    <col min="12590" max="12800" width="9" style="3284"/>
    <col min="12801" max="12805" width="0" style="3284" hidden="1" customWidth="1"/>
    <col min="12806" max="12806" width="21.5" style="3284" customWidth="1"/>
    <col min="12807" max="12807" width="0" style="3284" hidden="1" customWidth="1"/>
    <col min="12808" max="12808" width="20.5" style="3284" customWidth="1"/>
    <col min="12809" max="12809" width="24.5" style="3284" customWidth="1"/>
    <col min="12810" max="12811" width="13.875" style="3284" customWidth="1"/>
    <col min="12812" max="12812" width="12.5" style="3284" customWidth="1"/>
    <col min="12813" max="12820" width="0" style="3284" hidden="1" customWidth="1"/>
    <col min="12821" max="12821" width="11.25" style="3284" customWidth="1"/>
    <col min="12822" max="12822" width="0" style="3284" hidden="1" customWidth="1"/>
    <col min="12823" max="12823" width="7.875" style="3284" customWidth="1"/>
    <col min="12824" max="12826" width="0" style="3284" hidden="1" customWidth="1"/>
    <col min="12827" max="12827" width="9" style="3284" customWidth="1"/>
    <col min="12828" max="12828" width="25.75" style="3284" customWidth="1"/>
    <col min="12829" max="12829" width="7.875" style="3284" customWidth="1"/>
    <col min="12830" max="12830" width="29.375" style="3284" customWidth="1"/>
    <col min="12831" max="12832" width="0" style="3284" hidden="1" customWidth="1"/>
    <col min="12833" max="12833" width="10.625" style="3284" customWidth="1"/>
    <col min="12834" max="12834" width="0" style="3284" hidden="1" customWidth="1"/>
    <col min="12835" max="12835" width="16" style="3284" customWidth="1"/>
    <col min="12836" max="12836" width="0" style="3284" hidden="1" customWidth="1"/>
    <col min="12837" max="12837" width="14.375" style="3284" customWidth="1"/>
    <col min="12838" max="12839" width="0" style="3284" hidden="1" customWidth="1"/>
    <col min="12840" max="12840" width="6.25" style="3284" customWidth="1"/>
    <col min="12841" max="12841" width="18.375" style="3284" customWidth="1"/>
    <col min="12842" max="12844" width="0" style="3284" hidden="1" customWidth="1"/>
    <col min="12845" max="12845" width="7.875" style="3284" customWidth="1"/>
    <col min="12846" max="13056" width="9" style="3284"/>
    <col min="13057" max="13061" width="0" style="3284" hidden="1" customWidth="1"/>
    <col min="13062" max="13062" width="21.5" style="3284" customWidth="1"/>
    <col min="13063" max="13063" width="0" style="3284" hidden="1" customWidth="1"/>
    <col min="13064" max="13064" width="20.5" style="3284" customWidth="1"/>
    <col min="13065" max="13065" width="24.5" style="3284" customWidth="1"/>
    <col min="13066" max="13067" width="13.875" style="3284" customWidth="1"/>
    <col min="13068" max="13068" width="12.5" style="3284" customWidth="1"/>
    <col min="13069" max="13076" width="0" style="3284" hidden="1" customWidth="1"/>
    <col min="13077" max="13077" width="11.25" style="3284" customWidth="1"/>
    <col min="13078" max="13078" width="0" style="3284" hidden="1" customWidth="1"/>
    <col min="13079" max="13079" width="7.875" style="3284" customWidth="1"/>
    <col min="13080" max="13082" width="0" style="3284" hidden="1" customWidth="1"/>
    <col min="13083" max="13083" width="9" style="3284" customWidth="1"/>
    <col min="13084" max="13084" width="25.75" style="3284" customWidth="1"/>
    <col min="13085" max="13085" width="7.875" style="3284" customWidth="1"/>
    <col min="13086" max="13086" width="29.375" style="3284" customWidth="1"/>
    <col min="13087" max="13088" width="0" style="3284" hidden="1" customWidth="1"/>
    <col min="13089" max="13089" width="10.625" style="3284" customWidth="1"/>
    <col min="13090" max="13090" width="0" style="3284" hidden="1" customWidth="1"/>
    <col min="13091" max="13091" width="16" style="3284" customWidth="1"/>
    <col min="13092" max="13092" width="0" style="3284" hidden="1" customWidth="1"/>
    <col min="13093" max="13093" width="14.375" style="3284" customWidth="1"/>
    <col min="13094" max="13095" width="0" style="3284" hidden="1" customWidth="1"/>
    <col min="13096" max="13096" width="6.25" style="3284" customWidth="1"/>
    <col min="13097" max="13097" width="18.375" style="3284" customWidth="1"/>
    <col min="13098" max="13100" width="0" style="3284" hidden="1" customWidth="1"/>
    <col min="13101" max="13101" width="7.875" style="3284" customWidth="1"/>
    <col min="13102" max="13312" width="9" style="3284"/>
    <col min="13313" max="13317" width="0" style="3284" hidden="1" customWidth="1"/>
    <col min="13318" max="13318" width="21.5" style="3284" customWidth="1"/>
    <col min="13319" max="13319" width="0" style="3284" hidden="1" customWidth="1"/>
    <col min="13320" max="13320" width="20.5" style="3284" customWidth="1"/>
    <col min="13321" max="13321" width="24.5" style="3284" customWidth="1"/>
    <col min="13322" max="13323" width="13.875" style="3284" customWidth="1"/>
    <col min="13324" max="13324" width="12.5" style="3284" customWidth="1"/>
    <col min="13325" max="13332" width="0" style="3284" hidden="1" customWidth="1"/>
    <col min="13333" max="13333" width="11.25" style="3284" customWidth="1"/>
    <col min="13334" max="13334" width="0" style="3284" hidden="1" customWidth="1"/>
    <col min="13335" max="13335" width="7.875" style="3284" customWidth="1"/>
    <col min="13336" max="13338" width="0" style="3284" hidden="1" customWidth="1"/>
    <col min="13339" max="13339" width="9" style="3284" customWidth="1"/>
    <col min="13340" max="13340" width="25.75" style="3284" customWidth="1"/>
    <col min="13341" max="13341" width="7.875" style="3284" customWidth="1"/>
    <col min="13342" max="13342" width="29.375" style="3284" customWidth="1"/>
    <col min="13343" max="13344" width="0" style="3284" hidden="1" customWidth="1"/>
    <col min="13345" max="13345" width="10.625" style="3284" customWidth="1"/>
    <col min="13346" max="13346" width="0" style="3284" hidden="1" customWidth="1"/>
    <col min="13347" max="13347" width="16" style="3284" customWidth="1"/>
    <col min="13348" max="13348" width="0" style="3284" hidden="1" customWidth="1"/>
    <col min="13349" max="13349" width="14.375" style="3284" customWidth="1"/>
    <col min="13350" max="13351" width="0" style="3284" hidden="1" customWidth="1"/>
    <col min="13352" max="13352" width="6.25" style="3284" customWidth="1"/>
    <col min="13353" max="13353" width="18.375" style="3284" customWidth="1"/>
    <col min="13354" max="13356" width="0" style="3284" hidden="1" customWidth="1"/>
    <col min="13357" max="13357" width="7.875" style="3284" customWidth="1"/>
    <col min="13358" max="13568" width="9" style="3284"/>
    <col min="13569" max="13573" width="0" style="3284" hidden="1" customWidth="1"/>
    <col min="13574" max="13574" width="21.5" style="3284" customWidth="1"/>
    <col min="13575" max="13575" width="0" style="3284" hidden="1" customWidth="1"/>
    <col min="13576" max="13576" width="20.5" style="3284" customWidth="1"/>
    <col min="13577" max="13577" width="24.5" style="3284" customWidth="1"/>
    <col min="13578" max="13579" width="13.875" style="3284" customWidth="1"/>
    <col min="13580" max="13580" width="12.5" style="3284" customWidth="1"/>
    <col min="13581" max="13588" width="0" style="3284" hidden="1" customWidth="1"/>
    <col min="13589" max="13589" width="11.25" style="3284" customWidth="1"/>
    <col min="13590" max="13590" width="0" style="3284" hidden="1" customWidth="1"/>
    <col min="13591" max="13591" width="7.875" style="3284" customWidth="1"/>
    <col min="13592" max="13594" width="0" style="3284" hidden="1" customWidth="1"/>
    <col min="13595" max="13595" width="9" style="3284" customWidth="1"/>
    <col min="13596" max="13596" width="25.75" style="3284" customWidth="1"/>
    <col min="13597" max="13597" width="7.875" style="3284" customWidth="1"/>
    <col min="13598" max="13598" width="29.375" style="3284" customWidth="1"/>
    <col min="13599" max="13600" width="0" style="3284" hidden="1" customWidth="1"/>
    <col min="13601" max="13601" width="10.625" style="3284" customWidth="1"/>
    <col min="13602" max="13602" width="0" style="3284" hidden="1" customWidth="1"/>
    <col min="13603" max="13603" width="16" style="3284" customWidth="1"/>
    <col min="13604" max="13604" width="0" style="3284" hidden="1" customWidth="1"/>
    <col min="13605" max="13605" width="14.375" style="3284" customWidth="1"/>
    <col min="13606" max="13607" width="0" style="3284" hidden="1" customWidth="1"/>
    <col min="13608" max="13608" width="6.25" style="3284" customWidth="1"/>
    <col min="13609" max="13609" width="18.375" style="3284" customWidth="1"/>
    <col min="13610" max="13612" width="0" style="3284" hidden="1" customWidth="1"/>
    <col min="13613" max="13613" width="7.875" style="3284" customWidth="1"/>
    <col min="13614" max="13824" width="9" style="3284"/>
    <col min="13825" max="13829" width="0" style="3284" hidden="1" customWidth="1"/>
    <col min="13830" max="13830" width="21.5" style="3284" customWidth="1"/>
    <col min="13831" max="13831" width="0" style="3284" hidden="1" customWidth="1"/>
    <col min="13832" max="13832" width="20.5" style="3284" customWidth="1"/>
    <col min="13833" max="13833" width="24.5" style="3284" customWidth="1"/>
    <col min="13834" max="13835" width="13.875" style="3284" customWidth="1"/>
    <col min="13836" max="13836" width="12.5" style="3284" customWidth="1"/>
    <col min="13837" max="13844" width="0" style="3284" hidden="1" customWidth="1"/>
    <col min="13845" max="13845" width="11.25" style="3284" customWidth="1"/>
    <col min="13846" max="13846" width="0" style="3284" hidden="1" customWidth="1"/>
    <col min="13847" max="13847" width="7.875" style="3284" customWidth="1"/>
    <col min="13848" max="13850" width="0" style="3284" hidden="1" customWidth="1"/>
    <col min="13851" max="13851" width="9" style="3284" customWidth="1"/>
    <col min="13852" max="13852" width="25.75" style="3284" customWidth="1"/>
    <col min="13853" max="13853" width="7.875" style="3284" customWidth="1"/>
    <col min="13854" max="13854" width="29.375" style="3284" customWidth="1"/>
    <col min="13855" max="13856" width="0" style="3284" hidden="1" customWidth="1"/>
    <col min="13857" max="13857" width="10.625" style="3284" customWidth="1"/>
    <col min="13858" max="13858" width="0" style="3284" hidden="1" customWidth="1"/>
    <col min="13859" max="13859" width="16" style="3284" customWidth="1"/>
    <col min="13860" max="13860" width="0" style="3284" hidden="1" customWidth="1"/>
    <col min="13861" max="13861" width="14.375" style="3284" customWidth="1"/>
    <col min="13862" max="13863" width="0" style="3284" hidden="1" customWidth="1"/>
    <col min="13864" max="13864" width="6.25" style="3284" customWidth="1"/>
    <col min="13865" max="13865" width="18.375" style="3284" customWidth="1"/>
    <col min="13866" max="13868" width="0" style="3284" hidden="1" customWidth="1"/>
    <col min="13869" max="13869" width="7.875" style="3284" customWidth="1"/>
    <col min="13870" max="14080" width="9" style="3284"/>
    <col min="14081" max="14085" width="0" style="3284" hidden="1" customWidth="1"/>
    <col min="14086" max="14086" width="21.5" style="3284" customWidth="1"/>
    <col min="14087" max="14087" width="0" style="3284" hidden="1" customWidth="1"/>
    <col min="14088" max="14088" width="20.5" style="3284" customWidth="1"/>
    <col min="14089" max="14089" width="24.5" style="3284" customWidth="1"/>
    <col min="14090" max="14091" width="13.875" style="3284" customWidth="1"/>
    <col min="14092" max="14092" width="12.5" style="3284" customWidth="1"/>
    <col min="14093" max="14100" width="0" style="3284" hidden="1" customWidth="1"/>
    <col min="14101" max="14101" width="11.25" style="3284" customWidth="1"/>
    <col min="14102" max="14102" width="0" style="3284" hidden="1" customWidth="1"/>
    <col min="14103" max="14103" width="7.875" style="3284" customWidth="1"/>
    <col min="14104" max="14106" width="0" style="3284" hidden="1" customWidth="1"/>
    <col min="14107" max="14107" width="9" style="3284" customWidth="1"/>
    <col min="14108" max="14108" width="25.75" style="3284" customWidth="1"/>
    <col min="14109" max="14109" width="7.875" style="3284" customWidth="1"/>
    <col min="14110" max="14110" width="29.375" style="3284" customWidth="1"/>
    <col min="14111" max="14112" width="0" style="3284" hidden="1" customWidth="1"/>
    <col min="14113" max="14113" width="10.625" style="3284" customWidth="1"/>
    <col min="14114" max="14114" width="0" style="3284" hidden="1" customWidth="1"/>
    <col min="14115" max="14115" width="16" style="3284" customWidth="1"/>
    <col min="14116" max="14116" width="0" style="3284" hidden="1" customWidth="1"/>
    <col min="14117" max="14117" width="14.375" style="3284" customWidth="1"/>
    <col min="14118" max="14119" width="0" style="3284" hidden="1" customWidth="1"/>
    <col min="14120" max="14120" width="6.25" style="3284" customWidth="1"/>
    <col min="14121" max="14121" width="18.375" style="3284" customWidth="1"/>
    <col min="14122" max="14124" width="0" style="3284" hidden="1" customWidth="1"/>
    <col min="14125" max="14125" width="7.875" style="3284" customWidth="1"/>
    <col min="14126" max="14336" width="9" style="3284"/>
    <col min="14337" max="14341" width="0" style="3284" hidden="1" customWidth="1"/>
    <col min="14342" max="14342" width="21.5" style="3284" customWidth="1"/>
    <col min="14343" max="14343" width="0" style="3284" hidden="1" customWidth="1"/>
    <col min="14344" max="14344" width="20.5" style="3284" customWidth="1"/>
    <col min="14345" max="14345" width="24.5" style="3284" customWidth="1"/>
    <col min="14346" max="14347" width="13.875" style="3284" customWidth="1"/>
    <col min="14348" max="14348" width="12.5" style="3284" customWidth="1"/>
    <col min="14349" max="14356" width="0" style="3284" hidden="1" customWidth="1"/>
    <col min="14357" max="14357" width="11.25" style="3284" customWidth="1"/>
    <col min="14358" max="14358" width="0" style="3284" hidden="1" customWidth="1"/>
    <col min="14359" max="14359" width="7.875" style="3284" customWidth="1"/>
    <col min="14360" max="14362" width="0" style="3284" hidden="1" customWidth="1"/>
    <col min="14363" max="14363" width="9" style="3284" customWidth="1"/>
    <col min="14364" max="14364" width="25.75" style="3284" customWidth="1"/>
    <col min="14365" max="14365" width="7.875" style="3284" customWidth="1"/>
    <col min="14366" max="14366" width="29.375" style="3284" customWidth="1"/>
    <col min="14367" max="14368" width="0" style="3284" hidden="1" customWidth="1"/>
    <col min="14369" max="14369" width="10.625" style="3284" customWidth="1"/>
    <col min="14370" max="14370" width="0" style="3284" hidden="1" customWidth="1"/>
    <col min="14371" max="14371" width="16" style="3284" customWidth="1"/>
    <col min="14372" max="14372" width="0" style="3284" hidden="1" customWidth="1"/>
    <col min="14373" max="14373" width="14.375" style="3284" customWidth="1"/>
    <col min="14374" max="14375" width="0" style="3284" hidden="1" customWidth="1"/>
    <col min="14376" max="14376" width="6.25" style="3284" customWidth="1"/>
    <col min="14377" max="14377" width="18.375" style="3284" customWidth="1"/>
    <col min="14378" max="14380" width="0" style="3284" hidden="1" customWidth="1"/>
    <col min="14381" max="14381" width="7.875" style="3284" customWidth="1"/>
    <col min="14382" max="14592" width="9" style="3284"/>
    <col min="14593" max="14597" width="0" style="3284" hidden="1" customWidth="1"/>
    <col min="14598" max="14598" width="21.5" style="3284" customWidth="1"/>
    <col min="14599" max="14599" width="0" style="3284" hidden="1" customWidth="1"/>
    <col min="14600" max="14600" width="20.5" style="3284" customWidth="1"/>
    <col min="14601" max="14601" width="24.5" style="3284" customWidth="1"/>
    <col min="14602" max="14603" width="13.875" style="3284" customWidth="1"/>
    <col min="14604" max="14604" width="12.5" style="3284" customWidth="1"/>
    <col min="14605" max="14612" width="0" style="3284" hidden="1" customWidth="1"/>
    <col min="14613" max="14613" width="11.25" style="3284" customWidth="1"/>
    <col min="14614" max="14614" width="0" style="3284" hidden="1" customWidth="1"/>
    <col min="14615" max="14615" width="7.875" style="3284" customWidth="1"/>
    <col min="14616" max="14618" width="0" style="3284" hidden="1" customWidth="1"/>
    <col min="14619" max="14619" width="9" style="3284" customWidth="1"/>
    <col min="14620" max="14620" width="25.75" style="3284" customWidth="1"/>
    <col min="14621" max="14621" width="7.875" style="3284" customWidth="1"/>
    <col min="14622" max="14622" width="29.375" style="3284" customWidth="1"/>
    <col min="14623" max="14624" width="0" style="3284" hidden="1" customWidth="1"/>
    <col min="14625" max="14625" width="10.625" style="3284" customWidth="1"/>
    <col min="14626" max="14626" width="0" style="3284" hidden="1" customWidth="1"/>
    <col min="14627" max="14627" width="16" style="3284" customWidth="1"/>
    <col min="14628" max="14628" width="0" style="3284" hidden="1" customWidth="1"/>
    <col min="14629" max="14629" width="14.375" style="3284" customWidth="1"/>
    <col min="14630" max="14631" width="0" style="3284" hidden="1" customWidth="1"/>
    <col min="14632" max="14632" width="6.25" style="3284" customWidth="1"/>
    <col min="14633" max="14633" width="18.375" style="3284" customWidth="1"/>
    <col min="14634" max="14636" width="0" style="3284" hidden="1" customWidth="1"/>
    <col min="14637" max="14637" width="7.875" style="3284" customWidth="1"/>
    <col min="14638" max="14848" width="9" style="3284"/>
    <col min="14849" max="14853" width="0" style="3284" hidden="1" customWidth="1"/>
    <col min="14854" max="14854" width="21.5" style="3284" customWidth="1"/>
    <col min="14855" max="14855" width="0" style="3284" hidden="1" customWidth="1"/>
    <col min="14856" max="14856" width="20.5" style="3284" customWidth="1"/>
    <col min="14857" max="14857" width="24.5" style="3284" customWidth="1"/>
    <col min="14858" max="14859" width="13.875" style="3284" customWidth="1"/>
    <col min="14860" max="14860" width="12.5" style="3284" customWidth="1"/>
    <col min="14861" max="14868" width="0" style="3284" hidden="1" customWidth="1"/>
    <col min="14869" max="14869" width="11.25" style="3284" customWidth="1"/>
    <col min="14870" max="14870" width="0" style="3284" hidden="1" customWidth="1"/>
    <col min="14871" max="14871" width="7.875" style="3284" customWidth="1"/>
    <col min="14872" max="14874" width="0" style="3284" hidden="1" customWidth="1"/>
    <col min="14875" max="14875" width="9" style="3284" customWidth="1"/>
    <col min="14876" max="14876" width="25.75" style="3284" customWidth="1"/>
    <col min="14877" max="14877" width="7.875" style="3284" customWidth="1"/>
    <col min="14878" max="14878" width="29.375" style="3284" customWidth="1"/>
    <col min="14879" max="14880" width="0" style="3284" hidden="1" customWidth="1"/>
    <col min="14881" max="14881" width="10.625" style="3284" customWidth="1"/>
    <col min="14882" max="14882" width="0" style="3284" hidden="1" customWidth="1"/>
    <col min="14883" max="14883" width="16" style="3284" customWidth="1"/>
    <col min="14884" max="14884" width="0" style="3284" hidden="1" customWidth="1"/>
    <col min="14885" max="14885" width="14.375" style="3284" customWidth="1"/>
    <col min="14886" max="14887" width="0" style="3284" hidden="1" customWidth="1"/>
    <col min="14888" max="14888" width="6.25" style="3284" customWidth="1"/>
    <col min="14889" max="14889" width="18.375" style="3284" customWidth="1"/>
    <col min="14890" max="14892" width="0" style="3284" hidden="1" customWidth="1"/>
    <col min="14893" max="14893" width="7.875" style="3284" customWidth="1"/>
    <col min="14894" max="15104" width="9" style="3284"/>
    <col min="15105" max="15109" width="0" style="3284" hidden="1" customWidth="1"/>
    <col min="15110" max="15110" width="21.5" style="3284" customWidth="1"/>
    <col min="15111" max="15111" width="0" style="3284" hidden="1" customWidth="1"/>
    <col min="15112" max="15112" width="20.5" style="3284" customWidth="1"/>
    <col min="15113" max="15113" width="24.5" style="3284" customWidth="1"/>
    <col min="15114" max="15115" width="13.875" style="3284" customWidth="1"/>
    <col min="15116" max="15116" width="12.5" style="3284" customWidth="1"/>
    <col min="15117" max="15124" width="0" style="3284" hidden="1" customWidth="1"/>
    <col min="15125" max="15125" width="11.25" style="3284" customWidth="1"/>
    <col min="15126" max="15126" width="0" style="3284" hidden="1" customWidth="1"/>
    <col min="15127" max="15127" width="7.875" style="3284" customWidth="1"/>
    <col min="15128" max="15130" width="0" style="3284" hidden="1" customWidth="1"/>
    <col min="15131" max="15131" width="9" style="3284" customWidth="1"/>
    <col min="15132" max="15132" width="25.75" style="3284" customWidth="1"/>
    <col min="15133" max="15133" width="7.875" style="3284" customWidth="1"/>
    <col min="15134" max="15134" width="29.375" style="3284" customWidth="1"/>
    <col min="15135" max="15136" width="0" style="3284" hidden="1" customWidth="1"/>
    <col min="15137" max="15137" width="10.625" style="3284" customWidth="1"/>
    <col min="15138" max="15138" width="0" style="3284" hidden="1" customWidth="1"/>
    <col min="15139" max="15139" width="16" style="3284" customWidth="1"/>
    <col min="15140" max="15140" width="0" style="3284" hidden="1" customWidth="1"/>
    <col min="15141" max="15141" width="14.375" style="3284" customWidth="1"/>
    <col min="15142" max="15143" width="0" style="3284" hidden="1" customWidth="1"/>
    <col min="15144" max="15144" width="6.25" style="3284" customWidth="1"/>
    <col min="15145" max="15145" width="18.375" style="3284" customWidth="1"/>
    <col min="15146" max="15148" width="0" style="3284" hidden="1" customWidth="1"/>
    <col min="15149" max="15149" width="7.875" style="3284" customWidth="1"/>
    <col min="15150" max="15360" width="9" style="3284"/>
    <col min="15361" max="15365" width="0" style="3284" hidden="1" customWidth="1"/>
    <col min="15366" max="15366" width="21.5" style="3284" customWidth="1"/>
    <col min="15367" max="15367" width="0" style="3284" hidden="1" customWidth="1"/>
    <col min="15368" max="15368" width="20.5" style="3284" customWidth="1"/>
    <col min="15369" max="15369" width="24.5" style="3284" customWidth="1"/>
    <col min="15370" max="15371" width="13.875" style="3284" customWidth="1"/>
    <col min="15372" max="15372" width="12.5" style="3284" customWidth="1"/>
    <col min="15373" max="15380" width="0" style="3284" hidden="1" customWidth="1"/>
    <col min="15381" max="15381" width="11.25" style="3284" customWidth="1"/>
    <col min="15382" max="15382" width="0" style="3284" hidden="1" customWidth="1"/>
    <col min="15383" max="15383" width="7.875" style="3284" customWidth="1"/>
    <col min="15384" max="15386" width="0" style="3284" hidden="1" customWidth="1"/>
    <col min="15387" max="15387" width="9" style="3284" customWidth="1"/>
    <col min="15388" max="15388" width="25.75" style="3284" customWidth="1"/>
    <col min="15389" max="15389" width="7.875" style="3284" customWidth="1"/>
    <col min="15390" max="15390" width="29.375" style="3284" customWidth="1"/>
    <col min="15391" max="15392" width="0" style="3284" hidden="1" customWidth="1"/>
    <col min="15393" max="15393" width="10.625" style="3284" customWidth="1"/>
    <col min="15394" max="15394" width="0" style="3284" hidden="1" customWidth="1"/>
    <col min="15395" max="15395" width="16" style="3284" customWidth="1"/>
    <col min="15396" max="15396" width="0" style="3284" hidden="1" customWidth="1"/>
    <col min="15397" max="15397" width="14.375" style="3284" customWidth="1"/>
    <col min="15398" max="15399" width="0" style="3284" hidden="1" customWidth="1"/>
    <col min="15400" max="15400" width="6.25" style="3284" customWidth="1"/>
    <col min="15401" max="15401" width="18.375" style="3284" customWidth="1"/>
    <col min="15402" max="15404" width="0" style="3284" hidden="1" customWidth="1"/>
    <col min="15405" max="15405" width="7.875" style="3284" customWidth="1"/>
    <col min="15406" max="15616" width="9" style="3284"/>
    <col min="15617" max="15621" width="0" style="3284" hidden="1" customWidth="1"/>
    <col min="15622" max="15622" width="21.5" style="3284" customWidth="1"/>
    <col min="15623" max="15623" width="0" style="3284" hidden="1" customWidth="1"/>
    <col min="15624" max="15624" width="20.5" style="3284" customWidth="1"/>
    <col min="15625" max="15625" width="24.5" style="3284" customWidth="1"/>
    <col min="15626" max="15627" width="13.875" style="3284" customWidth="1"/>
    <col min="15628" max="15628" width="12.5" style="3284" customWidth="1"/>
    <col min="15629" max="15636" width="0" style="3284" hidden="1" customWidth="1"/>
    <col min="15637" max="15637" width="11.25" style="3284" customWidth="1"/>
    <col min="15638" max="15638" width="0" style="3284" hidden="1" customWidth="1"/>
    <col min="15639" max="15639" width="7.875" style="3284" customWidth="1"/>
    <col min="15640" max="15642" width="0" style="3284" hidden="1" customWidth="1"/>
    <col min="15643" max="15643" width="9" style="3284" customWidth="1"/>
    <col min="15644" max="15644" width="25.75" style="3284" customWidth="1"/>
    <col min="15645" max="15645" width="7.875" style="3284" customWidth="1"/>
    <col min="15646" max="15646" width="29.375" style="3284" customWidth="1"/>
    <col min="15647" max="15648" width="0" style="3284" hidden="1" customWidth="1"/>
    <col min="15649" max="15649" width="10.625" style="3284" customWidth="1"/>
    <col min="15650" max="15650" width="0" style="3284" hidden="1" customWidth="1"/>
    <col min="15651" max="15651" width="16" style="3284" customWidth="1"/>
    <col min="15652" max="15652" width="0" style="3284" hidden="1" customWidth="1"/>
    <col min="15653" max="15653" width="14.375" style="3284" customWidth="1"/>
    <col min="15654" max="15655" width="0" style="3284" hidden="1" customWidth="1"/>
    <col min="15656" max="15656" width="6.25" style="3284" customWidth="1"/>
    <col min="15657" max="15657" width="18.375" style="3284" customWidth="1"/>
    <col min="15658" max="15660" width="0" style="3284" hidden="1" customWidth="1"/>
    <col min="15661" max="15661" width="7.875" style="3284" customWidth="1"/>
    <col min="15662" max="15872" width="9" style="3284"/>
    <col min="15873" max="15877" width="0" style="3284" hidden="1" customWidth="1"/>
    <col min="15878" max="15878" width="21.5" style="3284" customWidth="1"/>
    <col min="15879" max="15879" width="0" style="3284" hidden="1" customWidth="1"/>
    <col min="15880" max="15880" width="20.5" style="3284" customWidth="1"/>
    <col min="15881" max="15881" width="24.5" style="3284" customWidth="1"/>
    <col min="15882" max="15883" width="13.875" style="3284" customWidth="1"/>
    <col min="15884" max="15884" width="12.5" style="3284" customWidth="1"/>
    <col min="15885" max="15892" width="0" style="3284" hidden="1" customWidth="1"/>
    <col min="15893" max="15893" width="11.25" style="3284" customWidth="1"/>
    <col min="15894" max="15894" width="0" style="3284" hidden="1" customWidth="1"/>
    <col min="15895" max="15895" width="7.875" style="3284" customWidth="1"/>
    <col min="15896" max="15898" width="0" style="3284" hidden="1" customWidth="1"/>
    <col min="15899" max="15899" width="9" style="3284" customWidth="1"/>
    <col min="15900" max="15900" width="25.75" style="3284" customWidth="1"/>
    <col min="15901" max="15901" width="7.875" style="3284" customWidth="1"/>
    <col min="15902" max="15902" width="29.375" style="3284" customWidth="1"/>
    <col min="15903" max="15904" width="0" style="3284" hidden="1" customWidth="1"/>
    <col min="15905" max="15905" width="10.625" style="3284" customWidth="1"/>
    <col min="15906" max="15906" width="0" style="3284" hidden="1" customWidth="1"/>
    <col min="15907" max="15907" width="16" style="3284" customWidth="1"/>
    <col min="15908" max="15908" width="0" style="3284" hidden="1" customWidth="1"/>
    <col min="15909" max="15909" width="14.375" style="3284" customWidth="1"/>
    <col min="15910" max="15911" width="0" style="3284" hidden="1" customWidth="1"/>
    <col min="15912" max="15912" width="6.25" style="3284" customWidth="1"/>
    <col min="15913" max="15913" width="18.375" style="3284" customWidth="1"/>
    <col min="15914" max="15916" width="0" style="3284" hidden="1" customWidth="1"/>
    <col min="15917" max="15917" width="7.875" style="3284" customWidth="1"/>
    <col min="15918" max="16128" width="9" style="3284"/>
    <col min="16129" max="16133" width="0" style="3284" hidden="1" customWidth="1"/>
    <col min="16134" max="16134" width="21.5" style="3284" customWidth="1"/>
    <col min="16135" max="16135" width="0" style="3284" hidden="1" customWidth="1"/>
    <col min="16136" max="16136" width="20.5" style="3284" customWidth="1"/>
    <col min="16137" max="16137" width="24.5" style="3284" customWidth="1"/>
    <col min="16138" max="16139" width="13.875" style="3284" customWidth="1"/>
    <col min="16140" max="16140" width="12.5" style="3284" customWidth="1"/>
    <col min="16141" max="16148" width="0" style="3284" hidden="1" customWidth="1"/>
    <col min="16149" max="16149" width="11.25" style="3284" customWidth="1"/>
    <col min="16150" max="16150" width="0" style="3284" hidden="1" customWidth="1"/>
    <col min="16151" max="16151" width="7.875" style="3284" customWidth="1"/>
    <col min="16152" max="16154" width="0" style="3284" hidden="1" customWidth="1"/>
    <col min="16155" max="16155" width="9" style="3284" customWidth="1"/>
    <col min="16156" max="16156" width="25.75" style="3284" customWidth="1"/>
    <col min="16157" max="16157" width="7.875" style="3284" customWidth="1"/>
    <col min="16158" max="16158" width="29.375" style="3284" customWidth="1"/>
    <col min="16159" max="16160" width="0" style="3284" hidden="1" customWidth="1"/>
    <col min="16161" max="16161" width="10.625" style="3284" customWidth="1"/>
    <col min="16162" max="16162" width="0" style="3284" hidden="1" customWidth="1"/>
    <col min="16163" max="16163" width="16" style="3284" customWidth="1"/>
    <col min="16164" max="16164" width="0" style="3284" hidden="1" customWidth="1"/>
    <col min="16165" max="16165" width="14.375" style="3284" customWidth="1"/>
    <col min="16166" max="16167" width="0" style="3284" hidden="1" customWidth="1"/>
    <col min="16168" max="16168" width="6.25" style="3284" customWidth="1"/>
    <col min="16169" max="16169" width="18.375" style="3284" customWidth="1"/>
    <col min="16170" max="16172" width="0" style="3284" hidden="1" customWidth="1"/>
    <col min="16173" max="16173" width="7.875" style="3284" customWidth="1"/>
    <col min="16174" max="16384" width="9" style="3284"/>
  </cols>
  <sheetData>
    <row r="1" spans="1:46" ht="19.5" customHeight="1">
      <c r="A1" s="3284" t="s">
        <v>3038</v>
      </c>
      <c r="B1" s="3284" t="s">
        <v>3039</v>
      </c>
      <c r="C1" s="3284" t="s">
        <v>3040</v>
      </c>
      <c r="D1" s="3284" t="s">
        <v>3041</v>
      </c>
      <c r="E1" s="3284" t="s">
        <v>3042</v>
      </c>
      <c r="F1" s="3284" t="s">
        <v>3043</v>
      </c>
      <c r="G1" s="3284" t="s">
        <v>3044</v>
      </c>
      <c r="H1" s="3284" t="s">
        <v>3045</v>
      </c>
      <c r="I1" s="3284" t="s">
        <v>3046</v>
      </c>
      <c r="J1" s="3284" t="s">
        <v>3047</v>
      </c>
      <c r="K1" s="3284" t="s">
        <v>3048</v>
      </c>
      <c r="L1" s="3284" t="s">
        <v>2018</v>
      </c>
      <c r="M1" s="3284" t="s">
        <v>3049</v>
      </c>
      <c r="N1" s="3284" t="s">
        <v>3050</v>
      </c>
      <c r="O1" s="3284" t="s">
        <v>3051</v>
      </c>
      <c r="P1" s="3284" t="s">
        <v>3052</v>
      </c>
      <c r="Q1" s="3284" t="s">
        <v>3053</v>
      </c>
      <c r="R1" s="3284" t="s">
        <v>3054</v>
      </c>
      <c r="S1" s="3284" t="s">
        <v>3055</v>
      </c>
      <c r="T1" s="3284" t="s">
        <v>3056</v>
      </c>
      <c r="U1" s="3284" t="s">
        <v>3057</v>
      </c>
      <c r="V1" s="3284" t="s">
        <v>3058</v>
      </c>
      <c r="W1" s="3284" t="s">
        <v>3059</v>
      </c>
      <c r="X1" s="3284" t="s">
        <v>3060</v>
      </c>
      <c r="Y1" s="3284" t="s">
        <v>3061</v>
      </c>
      <c r="Z1" s="3284" t="s">
        <v>3062</v>
      </c>
      <c r="AA1" s="3284" t="s">
        <v>3063</v>
      </c>
      <c r="AB1" s="3284" t="s">
        <v>3064</v>
      </c>
      <c r="AC1" s="3284" t="s">
        <v>3065</v>
      </c>
      <c r="AD1" s="3284" t="s">
        <v>3066</v>
      </c>
      <c r="AE1" s="3284" t="s">
        <v>3067</v>
      </c>
      <c r="AF1" s="3284" t="s">
        <v>3068</v>
      </c>
      <c r="AG1" s="3287" t="s">
        <v>3368</v>
      </c>
      <c r="AH1" s="3284" t="s">
        <v>3069</v>
      </c>
      <c r="AI1" s="3284" t="s">
        <v>3070</v>
      </c>
      <c r="AJ1" s="3284" t="s">
        <v>3071</v>
      </c>
      <c r="AK1" s="3284" t="s">
        <v>3072</v>
      </c>
      <c r="AL1" s="3284" t="s">
        <v>3073</v>
      </c>
      <c r="AM1" s="3284" t="s">
        <v>3074</v>
      </c>
      <c r="AN1" s="3284" t="s">
        <v>3075</v>
      </c>
      <c r="AO1" s="3284" t="s">
        <v>3076</v>
      </c>
      <c r="AP1" s="3284" t="s">
        <v>3077</v>
      </c>
      <c r="AQ1" s="3284" t="s">
        <v>3078</v>
      </c>
      <c r="AR1" s="3284" t="s">
        <v>3079</v>
      </c>
      <c r="AS1" s="3284" t="s">
        <v>3080</v>
      </c>
      <c r="AT1" s="3284" t="s">
        <v>3081</v>
      </c>
    </row>
    <row r="2" spans="1:46" ht="19.5" customHeight="1">
      <c r="A2" s="3284" t="s">
        <v>3082</v>
      </c>
      <c r="B2" s="3284" t="s">
        <v>3083</v>
      </c>
      <c r="C2" s="3284" t="s">
        <v>3084</v>
      </c>
      <c r="D2" s="3284" t="s">
        <v>3085</v>
      </c>
      <c r="E2" s="3284" t="s">
        <v>2794</v>
      </c>
      <c r="F2" s="3284" t="s">
        <v>3082</v>
      </c>
      <c r="G2" s="3284" t="s">
        <v>3086</v>
      </c>
      <c r="H2" s="3284" t="s">
        <v>3087</v>
      </c>
      <c r="I2" s="3284" t="s">
        <v>3088</v>
      </c>
      <c r="J2" s="3284">
        <v>30733.94</v>
      </c>
      <c r="K2" s="3284">
        <v>122935.76</v>
      </c>
      <c r="L2" s="3284" t="s">
        <v>3089</v>
      </c>
      <c r="M2" s="3284" t="s">
        <v>2794</v>
      </c>
      <c r="N2" s="3284" t="s">
        <v>3090</v>
      </c>
      <c r="O2" s="3284" t="s">
        <v>3090</v>
      </c>
      <c r="P2" s="3284" t="s">
        <v>2794</v>
      </c>
      <c r="Q2" s="3284" t="s">
        <v>2794</v>
      </c>
      <c r="R2" s="3284" t="s">
        <v>2794</v>
      </c>
      <c r="S2" s="3284" t="s">
        <v>2794</v>
      </c>
      <c r="T2" s="3284" t="s">
        <v>3091</v>
      </c>
      <c r="U2" s="3284" t="s">
        <v>2794</v>
      </c>
      <c r="V2" s="3284" t="s">
        <v>2794</v>
      </c>
      <c r="W2" s="3284" t="s">
        <v>3092</v>
      </c>
      <c r="X2" s="3284" t="s">
        <v>3093</v>
      </c>
      <c r="Y2" s="3284" t="s">
        <v>3094</v>
      </c>
      <c r="Z2" s="3284" t="s">
        <v>3095</v>
      </c>
      <c r="AA2" s="3284" t="s">
        <v>3095</v>
      </c>
      <c r="AB2" s="3284" t="s">
        <v>3096</v>
      </c>
      <c r="AC2" s="3284" t="s">
        <v>3097</v>
      </c>
      <c r="AD2" s="3284" t="s">
        <v>3098</v>
      </c>
      <c r="AE2" s="3284">
        <v>8588</v>
      </c>
      <c r="AF2" s="3284">
        <v>42939</v>
      </c>
      <c r="AG2" s="3287" t="s">
        <v>3365</v>
      </c>
      <c r="AH2" s="3284">
        <v>42939</v>
      </c>
      <c r="AI2" s="3284">
        <v>931.41</v>
      </c>
      <c r="AJ2" s="3284">
        <v>931.41</v>
      </c>
      <c r="AK2" s="3284">
        <v>3492.79</v>
      </c>
      <c r="AL2" s="3284">
        <v>3492.8</v>
      </c>
      <c r="AM2" s="3284" t="s">
        <v>2794</v>
      </c>
      <c r="AN2" s="3284" t="s">
        <v>2794</v>
      </c>
      <c r="AO2" s="3284">
        <v>0</v>
      </c>
      <c r="AP2" s="3284" t="s">
        <v>3099</v>
      </c>
      <c r="AQ2" s="3284" t="s">
        <v>2794</v>
      </c>
      <c r="AR2" s="3284" t="s">
        <v>2794</v>
      </c>
      <c r="AS2" s="3284" t="s">
        <v>2794</v>
      </c>
      <c r="AT2" s="3284" t="s">
        <v>3100</v>
      </c>
    </row>
    <row r="3" spans="1:46" s="3288" customFormat="1" ht="19.5" customHeight="1">
      <c r="A3" s="3288" t="s">
        <v>3101</v>
      </c>
      <c r="B3" s="3288" t="s">
        <v>3083</v>
      </c>
      <c r="C3" s="3288" t="s">
        <v>3084</v>
      </c>
      <c r="D3" s="3288" t="s">
        <v>3085</v>
      </c>
      <c r="E3" s="3288" t="s">
        <v>2794</v>
      </c>
      <c r="F3" s="3288" t="s">
        <v>3101</v>
      </c>
      <c r="G3" s="3288" t="s">
        <v>3086</v>
      </c>
      <c r="H3" s="3288" t="s">
        <v>3102</v>
      </c>
      <c r="I3" s="3288" t="s">
        <v>3088</v>
      </c>
      <c r="J3" s="3288">
        <v>88139.75</v>
      </c>
      <c r="K3" s="3288">
        <v>176279.5</v>
      </c>
      <c r="L3" s="3288" t="s">
        <v>3103</v>
      </c>
      <c r="M3" s="3288" t="s">
        <v>2794</v>
      </c>
      <c r="N3" s="3288" t="s">
        <v>3090</v>
      </c>
      <c r="O3" s="3288" t="s">
        <v>3090</v>
      </c>
      <c r="P3" s="3288" t="s">
        <v>2794</v>
      </c>
      <c r="Q3" s="3288" t="s">
        <v>2794</v>
      </c>
      <c r="R3" s="3288" t="s">
        <v>2794</v>
      </c>
      <c r="S3" s="3288" t="s">
        <v>2794</v>
      </c>
      <c r="T3" s="3288" t="s">
        <v>3091</v>
      </c>
      <c r="U3" s="3288" t="s">
        <v>2794</v>
      </c>
      <c r="V3" s="3288" t="s">
        <v>2794</v>
      </c>
      <c r="W3" s="3288" t="s">
        <v>3092</v>
      </c>
      <c r="X3" s="3288" t="s">
        <v>3104</v>
      </c>
      <c r="Y3" s="3288" t="s">
        <v>3105</v>
      </c>
      <c r="Z3" s="3288" t="s">
        <v>3106</v>
      </c>
      <c r="AA3" s="3288" t="s">
        <v>3106</v>
      </c>
      <c r="AB3" s="3288" t="s">
        <v>3107</v>
      </c>
      <c r="AC3" s="3288" t="s">
        <v>3097</v>
      </c>
      <c r="AD3" s="3288" t="s">
        <v>3108</v>
      </c>
      <c r="AE3" s="3288">
        <v>85537</v>
      </c>
      <c r="AF3" s="3288">
        <v>85537</v>
      </c>
      <c r="AG3" s="3289" t="s">
        <v>3366</v>
      </c>
      <c r="AH3" s="3288">
        <v>92737</v>
      </c>
      <c r="AI3" s="3288">
        <v>646.98</v>
      </c>
      <c r="AJ3" s="3288">
        <v>701.44</v>
      </c>
      <c r="AK3" s="3288">
        <v>4852.3500000000004</v>
      </c>
      <c r="AL3" s="3288">
        <v>5260.78</v>
      </c>
      <c r="AM3" s="3288" t="s">
        <v>2794</v>
      </c>
      <c r="AN3" s="3288" t="s">
        <v>2794</v>
      </c>
      <c r="AO3" s="3288">
        <v>8.42</v>
      </c>
      <c r="AP3" s="3288" t="s">
        <v>3109</v>
      </c>
      <c r="AQ3" s="3288" t="s">
        <v>2794</v>
      </c>
      <c r="AR3" s="3288" t="s">
        <v>2794</v>
      </c>
      <c r="AS3" s="3288" t="s">
        <v>2794</v>
      </c>
      <c r="AT3" s="3288" t="s">
        <v>3110</v>
      </c>
    </row>
    <row r="4" spans="1:46" ht="19.5" customHeight="1">
      <c r="A4" s="3284" t="s">
        <v>3111</v>
      </c>
      <c r="B4" s="3284" t="s">
        <v>3083</v>
      </c>
      <c r="C4" s="3284" t="s">
        <v>3084</v>
      </c>
      <c r="D4" s="3284" t="s">
        <v>3085</v>
      </c>
      <c r="E4" s="3284" t="s">
        <v>2794</v>
      </c>
      <c r="F4" s="3284" t="s">
        <v>3111</v>
      </c>
      <c r="G4" s="3284" t="s">
        <v>3086</v>
      </c>
      <c r="H4" s="3284" t="s">
        <v>3112</v>
      </c>
      <c r="I4" s="3284" t="s">
        <v>3113</v>
      </c>
      <c r="J4" s="3284">
        <v>68307.710000000006</v>
      </c>
      <c r="K4" s="3284">
        <v>170769.28</v>
      </c>
      <c r="L4" s="3284" t="s">
        <v>3114</v>
      </c>
      <c r="M4" s="3284" t="s">
        <v>2794</v>
      </c>
      <c r="N4" s="3284" t="s">
        <v>3090</v>
      </c>
      <c r="O4" s="3284" t="s">
        <v>3090</v>
      </c>
      <c r="P4" s="3284" t="s">
        <v>2794</v>
      </c>
      <c r="Q4" s="3284" t="s">
        <v>2794</v>
      </c>
      <c r="R4" s="3284" t="s">
        <v>2794</v>
      </c>
      <c r="S4" s="3284" t="s">
        <v>2794</v>
      </c>
      <c r="T4" s="3284" t="s">
        <v>3091</v>
      </c>
      <c r="U4" s="3284" t="s">
        <v>2794</v>
      </c>
      <c r="V4" s="3284" t="s">
        <v>2794</v>
      </c>
      <c r="W4" s="3284" t="s">
        <v>3092</v>
      </c>
      <c r="X4" s="3284" t="s">
        <v>3115</v>
      </c>
      <c r="Y4" s="3284" t="s">
        <v>3116</v>
      </c>
      <c r="Z4" s="3284" t="s">
        <v>3117</v>
      </c>
      <c r="AA4" s="3284" t="s">
        <v>3117</v>
      </c>
      <c r="AB4" s="3284" t="s">
        <v>3118</v>
      </c>
      <c r="AC4" s="3284" t="s">
        <v>3097</v>
      </c>
      <c r="AD4" s="3284" t="s">
        <v>3119</v>
      </c>
      <c r="AE4" s="3284">
        <v>34782</v>
      </c>
      <c r="AF4" s="3284">
        <v>69564</v>
      </c>
      <c r="AG4" s="3287" t="s">
        <v>3367</v>
      </c>
      <c r="AH4" s="3284">
        <v>69564</v>
      </c>
      <c r="AI4" s="3284">
        <v>678.93</v>
      </c>
      <c r="AJ4" s="3284">
        <v>678.93</v>
      </c>
      <c r="AK4" s="3284">
        <v>4073.56</v>
      </c>
      <c r="AL4" s="3284">
        <v>4073.57</v>
      </c>
      <c r="AM4" s="3284" t="s">
        <v>2794</v>
      </c>
      <c r="AN4" s="3284" t="s">
        <v>2794</v>
      </c>
      <c r="AO4" s="3284">
        <v>0</v>
      </c>
      <c r="AP4" s="3284" t="s">
        <v>3120</v>
      </c>
      <c r="AQ4" s="3284" t="s">
        <v>2794</v>
      </c>
      <c r="AR4" s="3284" t="s">
        <v>2794</v>
      </c>
      <c r="AS4" s="3284" t="s">
        <v>2794</v>
      </c>
      <c r="AT4" s="3284" t="s">
        <v>3121</v>
      </c>
    </row>
    <row r="5" spans="1:46" ht="19.5" customHeight="1">
      <c r="A5" s="3284" t="s">
        <v>3122</v>
      </c>
      <c r="B5" s="3284" t="s">
        <v>3083</v>
      </c>
      <c r="C5" s="3284" t="s">
        <v>3084</v>
      </c>
      <c r="D5" s="3284" t="s">
        <v>3085</v>
      </c>
      <c r="E5" s="3284" t="s">
        <v>2794</v>
      </c>
      <c r="F5" s="3284" t="s">
        <v>3122</v>
      </c>
      <c r="G5" s="3284" t="s">
        <v>3086</v>
      </c>
      <c r="H5" s="3284" t="s">
        <v>3123</v>
      </c>
      <c r="I5" s="3284" t="s">
        <v>3124</v>
      </c>
      <c r="J5" s="3284">
        <v>88813.6</v>
      </c>
      <c r="K5" s="3284">
        <v>355254.4</v>
      </c>
      <c r="L5" s="3284" t="s">
        <v>3125</v>
      </c>
      <c r="M5" s="3284" t="s">
        <v>2794</v>
      </c>
      <c r="N5" s="3284" t="s">
        <v>3090</v>
      </c>
      <c r="O5" s="3284" t="s">
        <v>3090</v>
      </c>
      <c r="P5" s="3284" t="s">
        <v>2794</v>
      </c>
      <c r="Q5" s="3284" t="s">
        <v>2794</v>
      </c>
      <c r="R5" s="3284" t="s">
        <v>2794</v>
      </c>
      <c r="S5" s="3284" t="s">
        <v>2794</v>
      </c>
      <c r="T5" s="3284" t="s">
        <v>3091</v>
      </c>
      <c r="U5" s="3284" t="s">
        <v>2794</v>
      </c>
      <c r="V5" s="3284" t="s">
        <v>2794</v>
      </c>
      <c r="W5" s="3284" t="s">
        <v>3092</v>
      </c>
      <c r="X5" s="3284" t="s">
        <v>3115</v>
      </c>
      <c r="Y5" s="3284" t="s">
        <v>3116</v>
      </c>
      <c r="Z5" s="3284" t="s">
        <v>3117</v>
      </c>
      <c r="AA5" s="3284" t="s">
        <v>3117</v>
      </c>
      <c r="AB5" s="3284" t="s">
        <v>3118</v>
      </c>
      <c r="AC5" s="3284" t="s">
        <v>3097</v>
      </c>
      <c r="AD5" s="3284" t="s">
        <v>3126</v>
      </c>
      <c r="AE5" s="3284">
        <v>127681</v>
      </c>
      <c r="AF5" s="3284">
        <v>127681</v>
      </c>
      <c r="AH5" s="3284">
        <v>127681</v>
      </c>
      <c r="AI5" s="3284">
        <v>958.42</v>
      </c>
      <c r="AJ5" s="3284">
        <v>958.42</v>
      </c>
      <c r="AK5" s="3284">
        <v>3594.07</v>
      </c>
      <c r="AL5" s="3284">
        <v>3594.07</v>
      </c>
      <c r="AM5" s="3284" t="s">
        <v>2794</v>
      </c>
      <c r="AN5" s="3284" t="s">
        <v>2794</v>
      </c>
      <c r="AO5" s="3284">
        <v>0</v>
      </c>
      <c r="AP5" s="3284" t="s">
        <v>3127</v>
      </c>
      <c r="AQ5" s="3284" t="s">
        <v>2794</v>
      </c>
      <c r="AR5" s="3284" t="s">
        <v>2794</v>
      </c>
      <c r="AS5" s="3284" t="s">
        <v>2794</v>
      </c>
      <c r="AT5" s="3284" t="s">
        <v>3100</v>
      </c>
    </row>
    <row r="6" spans="1:46" ht="19.5" customHeight="1">
      <c r="A6" s="3284" t="s">
        <v>3128</v>
      </c>
      <c r="B6" s="3284" t="s">
        <v>3083</v>
      </c>
      <c r="C6" s="3284" t="s">
        <v>3084</v>
      </c>
      <c r="D6" s="3284" t="s">
        <v>3085</v>
      </c>
      <c r="E6" s="3284" t="s">
        <v>2794</v>
      </c>
      <c r="F6" s="3284" t="s">
        <v>3128</v>
      </c>
      <c r="G6" s="3284" t="s">
        <v>3086</v>
      </c>
      <c r="H6" s="3284" t="s">
        <v>3129</v>
      </c>
      <c r="I6" s="3284" t="s">
        <v>3130</v>
      </c>
      <c r="J6" s="3284">
        <v>45210.03</v>
      </c>
      <c r="K6" s="3284">
        <v>135630.09</v>
      </c>
      <c r="L6" s="3284" t="s">
        <v>3131</v>
      </c>
      <c r="M6" s="3284" t="s">
        <v>2794</v>
      </c>
      <c r="N6" s="3284" t="s">
        <v>3090</v>
      </c>
      <c r="O6" s="3284" t="s">
        <v>3090</v>
      </c>
      <c r="P6" s="3284" t="s">
        <v>2794</v>
      </c>
      <c r="Q6" s="3284" t="s">
        <v>2794</v>
      </c>
      <c r="R6" s="3284" t="s">
        <v>2794</v>
      </c>
      <c r="S6" s="3284" t="s">
        <v>2794</v>
      </c>
      <c r="T6" s="3284" t="s">
        <v>3091</v>
      </c>
      <c r="U6" s="3284" t="s">
        <v>2794</v>
      </c>
      <c r="V6" s="3284" t="s">
        <v>2794</v>
      </c>
      <c r="W6" s="3284" t="s">
        <v>3092</v>
      </c>
      <c r="X6" s="3284" t="s">
        <v>3132</v>
      </c>
      <c r="Y6" s="3284" t="s">
        <v>3133</v>
      </c>
      <c r="Z6" s="3284" t="s">
        <v>3134</v>
      </c>
      <c r="AA6" s="3284" t="s">
        <v>3134</v>
      </c>
      <c r="AB6" s="3284" t="s">
        <v>3135</v>
      </c>
      <c r="AC6" s="3284" t="s">
        <v>3097</v>
      </c>
      <c r="AD6" s="3284" t="s">
        <v>3136</v>
      </c>
      <c r="AE6" s="3284">
        <v>11332</v>
      </c>
      <c r="AF6" s="3284">
        <v>56657</v>
      </c>
      <c r="AH6" s="3284">
        <v>56657</v>
      </c>
      <c r="AI6" s="3284">
        <v>835.46</v>
      </c>
      <c r="AJ6" s="3284">
        <v>835.46</v>
      </c>
      <c r="AK6" s="3284">
        <v>4177.3100000000004</v>
      </c>
      <c r="AL6" s="3284">
        <v>4177.3100000000004</v>
      </c>
      <c r="AM6" s="3284" t="s">
        <v>2794</v>
      </c>
      <c r="AN6" s="3284" t="s">
        <v>2794</v>
      </c>
      <c r="AO6" s="3284">
        <v>0</v>
      </c>
      <c r="AP6" s="3284" t="s">
        <v>3137</v>
      </c>
      <c r="AQ6" s="3284" t="s">
        <v>2794</v>
      </c>
      <c r="AR6" s="3284" t="s">
        <v>2794</v>
      </c>
      <c r="AS6" s="3284" t="s">
        <v>2794</v>
      </c>
      <c r="AT6" s="3284" t="s">
        <v>3138</v>
      </c>
    </row>
    <row r="7" spans="1:46" s="3285" customFormat="1" ht="19.5" customHeight="1">
      <c r="A7" s="3285" t="s">
        <v>3007</v>
      </c>
      <c r="B7" s="3285" t="s">
        <v>3083</v>
      </c>
      <c r="C7" s="3285" t="s">
        <v>3084</v>
      </c>
      <c r="D7" s="3285" t="s">
        <v>3085</v>
      </c>
      <c r="E7" s="3285" t="s">
        <v>2794</v>
      </c>
      <c r="F7" s="3285" t="s">
        <v>3007</v>
      </c>
      <c r="G7" s="3285" t="s">
        <v>3086</v>
      </c>
      <c r="H7" s="3285" t="s">
        <v>3139</v>
      </c>
      <c r="I7" s="3285" t="s">
        <v>3140</v>
      </c>
      <c r="J7" s="3285">
        <v>52644.37</v>
      </c>
      <c r="K7" s="3285">
        <v>210577.48</v>
      </c>
      <c r="L7" s="3285" t="s">
        <v>3089</v>
      </c>
      <c r="M7" s="3285" t="s">
        <v>2794</v>
      </c>
      <c r="N7" s="3285" t="s">
        <v>3090</v>
      </c>
      <c r="O7" s="3285" t="s">
        <v>3090</v>
      </c>
      <c r="P7" s="3285" t="s">
        <v>2794</v>
      </c>
      <c r="Q7" s="3285" t="s">
        <v>2794</v>
      </c>
      <c r="R7" s="3285" t="s">
        <v>2794</v>
      </c>
      <c r="S7" s="3285" t="s">
        <v>2794</v>
      </c>
      <c r="T7" s="3285" t="s">
        <v>2794</v>
      </c>
      <c r="U7" s="3285" t="s">
        <v>2794</v>
      </c>
      <c r="V7" s="3285" t="s">
        <v>2794</v>
      </c>
      <c r="W7" s="3285" t="s">
        <v>3092</v>
      </c>
      <c r="X7" s="3285" t="s">
        <v>3141</v>
      </c>
      <c r="Y7" s="3285" t="s">
        <v>3142</v>
      </c>
      <c r="Z7" s="3285" t="s">
        <v>3143</v>
      </c>
      <c r="AA7" s="3285" t="s">
        <v>3143</v>
      </c>
      <c r="AB7" s="3285" t="s">
        <v>3144</v>
      </c>
      <c r="AC7" s="3285" t="s">
        <v>3097</v>
      </c>
      <c r="AD7" s="3285" t="s">
        <v>3004</v>
      </c>
      <c r="AE7" s="3285">
        <v>34640</v>
      </c>
      <c r="AF7" s="3285">
        <v>69279</v>
      </c>
      <c r="AH7" s="3285">
        <v>69279</v>
      </c>
      <c r="AI7" s="3285">
        <v>877.32</v>
      </c>
      <c r="AJ7" s="3285">
        <v>877.32</v>
      </c>
      <c r="AK7" s="3285">
        <v>3289.95</v>
      </c>
      <c r="AL7" s="3285">
        <v>3289.94</v>
      </c>
      <c r="AM7" s="3285" t="s">
        <v>2794</v>
      </c>
      <c r="AN7" s="3285" t="s">
        <v>2794</v>
      </c>
      <c r="AO7" s="3285">
        <v>0</v>
      </c>
      <c r="AP7" s="3285" t="s">
        <v>3145</v>
      </c>
      <c r="AQ7" s="3285" t="s">
        <v>2794</v>
      </c>
      <c r="AR7" s="3285" t="s">
        <v>2794</v>
      </c>
      <c r="AS7" s="3285" t="s">
        <v>2794</v>
      </c>
      <c r="AT7" s="3285" t="s">
        <v>3138</v>
      </c>
    </row>
    <row r="8" spans="1:46" s="3286" customFormat="1" ht="19.5" customHeight="1">
      <c r="A8" s="3286" t="s">
        <v>3146</v>
      </c>
      <c r="B8" s="3286" t="s">
        <v>3083</v>
      </c>
      <c r="C8" s="3286" t="s">
        <v>3084</v>
      </c>
      <c r="D8" s="3286" t="s">
        <v>3085</v>
      </c>
      <c r="E8" s="3286" t="s">
        <v>2794</v>
      </c>
      <c r="F8" s="3286" t="s">
        <v>3146</v>
      </c>
      <c r="G8" s="3286" t="s">
        <v>3086</v>
      </c>
      <c r="H8" s="3286" t="s">
        <v>3147</v>
      </c>
      <c r="I8" s="3286" t="s">
        <v>3140</v>
      </c>
      <c r="J8" s="3286">
        <v>62142.31</v>
      </c>
      <c r="K8" s="3286">
        <v>223712.32</v>
      </c>
      <c r="L8" s="3286" t="s">
        <v>3148</v>
      </c>
      <c r="M8" s="3286" t="s">
        <v>2794</v>
      </c>
      <c r="N8" s="3286" t="s">
        <v>3090</v>
      </c>
      <c r="O8" s="3286" t="s">
        <v>3090</v>
      </c>
      <c r="P8" s="3286" t="s">
        <v>2794</v>
      </c>
      <c r="Q8" s="3286" t="s">
        <v>2794</v>
      </c>
      <c r="R8" s="3286" t="s">
        <v>2794</v>
      </c>
      <c r="S8" s="3286" t="s">
        <v>2794</v>
      </c>
      <c r="T8" s="3286" t="s">
        <v>2794</v>
      </c>
      <c r="U8" s="3286" t="s">
        <v>2794</v>
      </c>
      <c r="V8" s="3286" t="s">
        <v>2794</v>
      </c>
      <c r="W8" s="3286" t="s">
        <v>3092</v>
      </c>
      <c r="X8" s="3286" t="s">
        <v>3141</v>
      </c>
      <c r="Y8" s="3286" t="s">
        <v>3142</v>
      </c>
      <c r="Z8" s="3286" t="s">
        <v>3143</v>
      </c>
      <c r="AA8" s="3286" t="s">
        <v>3143</v>
      </c>
      <c r="AB8" s="3286" t="s">
        <v>3144</v>
      </c>
      <c r="AC8" s="3286" t="s">
        <v>3097</v>
      </c>
      <c r="AD8" s="3286" t="s">
        <v>3004</v>
      </c>
      <c r="AE8" s="3286">
        <v>39646</v>
      </c>
      <c r="AF8" s="3286">
        <v>79291</v>
      </c>
      <c r="AH8" s="3286">
        <v>79291</v>
      </c>
      <c r="AI8" s="3286">
        <v>850.64</v>
      </c>
      <c r="AJ8" s="3286">
        <v>850.64</v>
      </c>
      <c r="AK8" s="3286">
        <v>3544.32</v>
      </c>
      <c r="AL8" s="3286">
        <v>3544.32</v>
      </c>
      <c r="AM8" s="3286" t="s">
        <v>2794</v>
      </c>
      <c r="AN8" s="3286" t="s">
        <v>2794</v>
      </c>
      <c r="AO8" s="3286">
        <v>0</v>
      </c>
      <c r="AP8" s="3286" t="s">
        <v>3145</v>
      </c>
      <c r="AQ8" s="3286" t="s">
        <v>2794</v>
      </c>
      <c r="AR8" s="3286" t="s">
        <v>2794</v>
      </c>
      <c r="AS8" s="3286" t="s">
        <v>2794</v>
      </c>
      <c r="AT8" s="3286" t="s">
        <v>3138</v>
      </c>
    </row>
    <row r="9" spans="1:46" ht="19.5" customHeight="1">
      <c r="A9" s="3284" t="s">
        <v>3149</v>
      </c>
      <c r="B9" s="3284" t="s">
        <v>3083</v>
      </c>
      <c r="C9" s="3284" t="s">
        <v>3084</v>
      </c>
      <c r="D9" s="3284" t="s">
        <v>3085</v>
      </c>
      <c r="E9" s="3284" t="s">
        <v>2794</v>
      </c>
      <c r="F9" s="3284" t="s">
        <v>3149</v>
      </c>
      <c r="G9" s="3284" t="s">
        <v>3086</v>
      </c>
      <c r="H9" s="3284" t="s">
        <v>3150</v>
      </c>
      <c r="I9" s="3284" t="s">
        <v>3151</v>
      </c>
      <c r="J9" s="3284">
        <v>20210.05</v>
      </c>
      <c r="K9" s="3284">
        <v>50525.13</v>
      </c>
      <c r="L9" s="3284" t="s">
        <v>3152</v>
      </c>
      <c r="M9" s="3284" t="s">
        <v>2794</v>
      </c>
      <c r="N9" s="3284" t="s">
        <v>3090</v>
      </c>
      <c r="O9" s="3284" t="s">
        <v>2794</v>
      </c>
      <c r="P9" s="3284" t="s">
        <v>2794</v>
      </c>
      <c r="Q9" s="3284" t="s">
        <v>2794</v>
      </c>
      <c r="R9" s="3284" t="s">
        <v>2794</v>
      </c>
      <c r="S9" s="3284" t="s">
        <v>2794</v>
      </c>
      <c r="T9" s="3284" t="s">
        <v>3091</v>
      </c>
      <c r="U9" s="3284" t="s">
        <v>2794</v>
      </c>
      <c r="V9" s="3284" t="s">
        <v>2794</v>
      </c>
      <c r="W9" s="3284" t="s">
        <v>3153</v>
      </c>
      <c r="X9" s="3284" t="s">
        <v>3154</v>
      </c>
      <c r="Y9" s="3284" t="s">
        <v>3155</v>
      </c>
      <c r="Z9" s="3284" t="s">
        <v>3156</v>
      </c>
      <c r="AA9" s="3284" t="s">
        <v>3156</v>
      </c>
      <c r="AB9" s="3284" t="s">
        <v>3157</v>
      </c>
      <c r="AC9" s="3284" t="s">
        <v>3097</v>
      </c>
      <c r="AD9" s="3284" t="s">
        <v>3158</v>
      </c>
      <c r="AE9" s="3284">
        <v>41874</v>
      </c>
      <c r="AF9" s="3284">
        <v>20937</v>
      </c>
      <c r="AH9" s="3284">
        <v>20937</v>
      </c>
      <c r="AI9" s="3284">
        <v>690.65</v>
      </c>
      <c r="AJ9" s="3284">
        <v>690.65</v>
      </c>
      <c r="AK9" s="3284">
        <v>4143.87</v>
      </c>
      <c r="AL9" s="3284">
        <v>4143.88</v>
      </c>
      <c r="AM9" s="3284" t="s">
        <v>2794</v>
      </c>
      <c r="AN9" s="3284" t="s">
        <v>2794</v>
      </c>
      <c r="AO9" s="3284">
        <v>0</v>
      </c>
      <c r="AP9" s="3284" t="s">
        <v>3159</v>
      </c>
      <c r="AQ9" s="3284" t="s">
        <v>2794</v>
      </c>
      <c r="AR9" s="3284" t="s">
        <v>2794</v>
      </c>
      <c r="AS9" s="3284" t="s">
        <v>2794</v>
      </c>
      <c r="AT9" s="3284" t="s">
        <v>3110</v>
      </c>
    </row>
    <row r="10" spans="1:46" s="3286" customFormat="1" ht="19.5" customHeight="1">
      <c r="A10" s="3286" t="s">
        <v>3160</v>
      </c>
      <c r="B10" s="3286" t="s">
        <v>3083</v>
      </c>
      <c r="C10" s="3286" t="s">
        <v>3084</v>
      </c>
      <c r="D10" s="3286" t="s">
        <v>3085</v>
      </c>
      <c r="E10" s="3286" t="s">
        <v>2794</v>
      </c>
      <c r="F10" s="3286" t="s">
        <v>3160</v>
      </c>
      <c r="G10" s="3286" t="s">
        <v>3086</v>
      </c>
      <c r="H10" s="3286" t="s">
        <v>3161</v>
      </c>
      <c r="I10" s="3286" t="s">
        <v>3088</v>
      </c>
      <c r="J10" s="3286">
        <v>13091.5</v>
      </c>
      <c r="K10" s="3286">
        <v>52366</v>
      </c>
      <c r="L10" s="3286" t="s">
        <v>3089</v>
      </c>
      <c r="M10" s="3286" t="s">
        <v>2794</v>
      </c>
      <c r="N10" s="3286" t="s">
        <v>3090</v>
      </c>
      <c r="O10" s="3286" t="s">
        <v>3090</v>
      </c>
      <c r="P10" s="3286" t="s">
        <v>2794</v>
      </c>
      <c r="Q10" s="3286" t="s">
        <v>2794</v>
      </c>
      <c r="R10" s="3286" t="s">
        <v>2794</v>
      </c>
      <c r="S10" s="3286" t="s">
        <v>2794</v>
      </c>
      <c r="T10" s="3286" t="s">
        <v>3091</v>
      </c>
      <c r="U10" s="3286" t="s">
        <v>2794</v>
      </c>
      <c r="V10" s="3286" t="s">
        <v>2794</v>
      </c>
      <c r="W10" s="3286" t="s">
        <v>3153</v>
      </c>
      <c r="X10" s="3286" t="s">
        <v>3162</v>
      </c>
      <c r="Y10" s="3286" t="s">
        <v>3163</v>
      </c>
      <c r="Z10" s="3286" t="s">
        <v>3164</v>
      </c>
      <c r="AA10" s="3286" t="s">
        <v>3164</v>
      </c>
      <c r="AB10" s="3286" t="s">
        <v>3165</v>
      </c>
      <c r="AC10" s="3286" t="s">
        <v>3097</v>
      </c>
      <c r="AD10" s="3286" t="s">
        <v>3004</v>
      </c>
      <c r="AE10" s="3286">
        <v>8576</v>
      </c>
      <c r="AF10" s="3286">
        <v>17152</v>
      </c>
      <c r="AH10" s="3286">
        <v>17152</v>
      </c>
      <c r="AI10" s="3286">
        <v>873.44</v>
      </c>
      <c r="AJ10" s="3286">
        <v>873.44</v>
      </c>
      <c r="AK10" s="3286">
        <v>3275.4</v>
      </c>
      <c r="AL10" s="3286">
        <v>3275.4</v>
      </c>
      <c r="AM10" s="3286" t="s">
        <v>2794</v>
      </c>
      <c r="AN10" s="3286" t="s">
        <v>2794</v>
      </c>
      <c r="AO10" s="3286">
        <v>0</v>
      </c>
      <c r="AP10" s="3286" t="s">
        <v>3145</v>
      </c>
      <c r="AQ10" s="3286" t="s">
        <v>2794</v>
      </c>
      <c r="AR10" s="3286" t="s">
        <v>2794</v>
      </c>
      <c r="AS10" s="3286" t="s">
        <v>2794</v>
      </c>
      <c r="AT10" s="3286" t="s">
        <v>3138</v>
      </c>
    </row>
    <row r="11" spans="1:46" ht="19.5" customHeight="1">
      <c r="A11" s="3284" t="s">
        <v>3166</v>
      </c>
      <c r="B11" s="3284" t="s">
        <v>3083</v>
      </c>
      <c r="C11" s="3284" t="s">
        <v>3084</v>
      </c>
      <c r="D11" s="3284" t="s">
        <v>3085</v>
      </c>
      <c r="E11" s="3284" t="s">
        <v>2794</v>
      </c>
      <c r="F11" s="3284" t="s">
        <v>3166</v>
      </c>
      <c r="G11" s="3284" t="s">
        <v>3086</v>
      </c>
      <c r="H11" s="3284" t="s">
        <v>3167</v>
      </c>
      <c r="I11" s="3284" t="s">
        <v>3088</v>
      </c>
      <c r="J11" s="3284">
        <v>27071.360000000001</v>
      </c>
      <c r="K11" s="3284">
        <v>73092.7</v>
      </c>
      <c r="L11" s="3284" t="s">
        <v>3168</v>
      </c>
      <c r="M11" s="3284" t="s">
        <v>2794</v>
      </c>
      <c r="N11" s="3284" t="s">
        <v>3090</v>
      </c>
      <c r="O11" s="3284" t="s">
        <v>3090</v>
      </c>
      <c r="P11" s="3284" t="s">
        <v>2794</v>
      </c>
      <c r="Q11" s="3284" t="s">
        <v>2794</v>
      </c>
      <c r="R11" s="3284" t="s">
        <v>2794</v>
      </c>
      <c r="S11" s="3284" t="s">
        <v>2794</v>
      </c>
      <c r="T11" s="3284" t="s">
        <v>3091</v>
      </c>
      <c r="U11" s="3284" t="s">
        <v>2794</v>
      </c>
      <c r="V11" s="3284" t="s">
        <v>2794</v>
      </c>
      <c r="W11" s="3284" t="s">
        <v>3153</v>
      </c>
      <c r="X11" s="3284" t="s">
        <v>3169</v>
      </c>
      <c r="Y11" s="3284" t="s">
        <v>3170</v>
      </c>
      <c r="Z11" s="3284" t="s">
        <v>3171</v>
      </c>
      <c r="AA11" s="3284" t="s">
        <v>3171</v>
      </c>
      <c r="AB11" s="3284" t="s">
        <v>3172</v>
      </c>
      <c r="AC11" s="3284" t="s">
        <v>3097</v>
      </c>
      <c r="AD11" s="3284" t="s">
        <v>3173</v>
      </c>
      <c r="AE11" s="3284">
        <v>12928</v>
      </c>
      <c r="AF11" s="3284">
        <v>25856</v>
      </c>
      <c r="AH11" s="3284">
        <v>25856</v>
      </c>
      <c r="AI11" s="3284">
        <v>636.74</v>
      </c>
      <c r="AJ11" s="3284">
        <v>636.74</v>
      </c>
      <c r="AK11" s="3284">
        <v>3537.42</v>
      </c>
      <c r="AL11" s="3284">
        <v>3537.42</v>
      </c>
      <c r="AM11" s="3284" t="s">
        <v>2794</v>
      </c>
      <c r="AN11" s="3284" t="s">
        <v>2794</v>
      </c>
      <c r="AO11" s="3284">
        <v>0</v>
      </c>
      <c r="AP11" s="3284" t="s">
        <v>3099</v>
      </c>
      <c r="AQ11" s="3284" t="s">
        <v>2794</v>
      </c>
      <c r="AR11" s="3284" t="s">
        <v>2794</v>
      </c>
      <c r="AS11" s="3284" t="s">
        <v>2794</v>
      </c>
      <c r="AT11" s="3284" t="s">
        <v>3138</v>
      </c>
    </row>
    <row r="12" spans="1:46" ht="19.5" customHeight="1">
      <c r="A12" s="3284" t="s">
        <v>3174</v>
      </c>
      <c r="B12" s="3284" t="s">
        <v>3083</v>
      </c>
      <c r="C12" s="3284" t="s">
        <v>3084</v>
      </c>
      <c r="D12" s="3284" t="s">
        <v>3085</v>
      </c>
      <c r="E12" s="3284" t="s">
        <v>2794</v>
      </c>
      <c r="F12" s="3284" t="s">
        <v>3174</v>
      </c>
      <c r="G12" s="3284" t="s">
        <v>3086</v>
      </c>
      <c r="H12" s="3284" t="s">
        <v>3175</v>
      </c>
      <c r="I12" s="3284" t="s">
        <v>3176</v>
      </c>
      <c r="J12" s="3284">
        <v>13474.84</v>
      </c>
      <c r="K12" s="3284">
        <v>67374.2</v>
      </c>
      <c r="L12" s="3284" t="s">
        <v>3177</v>
      </c>
      <c r="M12" s="3284" t="s">
        <v>2794</v>
      </c>
      <c r="N12" s="3284" t="s">
        <v>3090</v>
      </c>
      <c r="O12" s="3284" t="s">
        <v>3090</v>
      </c>
      <c r="P12" s="3284" t="s">
        <v>2794</v>
      </c>
      <c r="Q12" s="3284" t="s">
        <v>2794</v>
      </c>
      <c r="R12" s="3284" t="s">
        <v>2794</v>
      </c>
      <c r="S12" s="3284" t="s">
        <v>2794</v>
      </c>
      <c r="T12" s="3284" t="s">
        <v>3091</v>
      </c>
      <c r="U12" s="3284" t="s">
        <v>2794</v>
      </c>
      <c r="V12" s="3284" t="s">
        <v>2794</v>
      </c>
      <c r="W12" s="3284" t="s">
        <v>3153</v>
      </c>
      <c r="X12" s="3284" t="s">
        <v>3178</v>
      </c>
      <c r="Y12" s="3284" t="s">
        <v>3179</v>
      </c>
      <c r="Z12" s="3284" t="s">
        <v>3180</v>
      </c>
      <c r="AA12" s="3284" t="s">
        <v>3180</v>
      </c>
      <c r="AB12" s="3284" t="s">
        <v>3181</v>
      </c>
      <c r="AC12" s="3284" t="s">
        <v>3097</v>
      </c>
      <c r="AD12" s="3284" t="s">
        <v>3098</v>
      </c>
      <c r="AE12" s="3284">
        <v>9594</v>
      </c>
      <c r="AF12" s="3284">
        <v>19187</v>
      </c>
      <c r="AH12" s="3284">
        <v>19187</v>
      </c>
      <c r="AI12" s="3284">
        <v>949.28</v>
      </c>
      <c r="AJ12" s="3284">
        <v>949.28</v>
      </c>
      <c r="AK12" s="3284">
        <v>2847.82</v>
      </c>
      <c r="AL12" s="3284">
        <v>2847.82</v>
      </c>
      <c r="AM12" s="3284" t="s">
        <v>2794</v>
      </c>
      <c r="AN12" s="3284" t="s">
        <v>2794</v>
      </c>
      <c r="AO12" s="3284">
        <v>0</v>
      </c>
      <c r="AP12" s="3284" t="s">
        <v>3182</v>
      </c>
      <c r="AQ12" s="3284" t="s">
        <v>2794</v>
      </c>
      <c r="AR12" s="3284" t="s">
        <v>2794</v>
      </c>
      <c r="AS12" s="3284" t="s">
        <v>2794</v>
      </c>
      <c r="AT12" s="3284" t="s">
        <v>3100</v>
      </c>
    </row>
    <row r="13" spans="1:46" ht="19.5" customHeight="1">
      <c r="A13" s="3284" t="s">
        <v>3183</v>
      </c>
      <c r="B13" s="3284" t="s">
        <v>3083</v>
      </c>
      <c r="C13" s="3284" t="s">
        <v>3084</v>
      </c>
      <c r="D13" s="3284" t="s">
        <v>3085</v>
      </c>
      <c r="E13" s="3284" t="s">
        <v>2794</v>
      </c>
      <c r="F13" s="3284" t="s">
        <v>3183</v>
      </c>
      <c r="G13" s="3284" t="s">
        <v>3086</v>
      </c>
      <c r="H13" s="3284" t="s">
        <v>3184</v>
      </c>
      <c r="I13" s="3284" t="s">
        <v>3185</v>
      </c>
      <c r="J13" s="3284">
        <v>85335.8</v>
      </c>
      <c r="K13" s="3284">
        <v>290141.71999999997</v>
      </c>
      <c r="L13" s="3284" t="s">
        <v>3186</v>
      </c>
      <c r="M13" s="3284" t="s">
        <v>2794</v>
      </c>
      <c r="N13" s="3284" t="s">
        <v>3090</v>
      </c>
      <c r="O13" s="3284" t="s">
        <v>3090</v>
      </c>
      <c r="P13" s="3284" t="s">
        <v>2794</v>
      </c>
      <c r="Q13" s="3284" t="s">
        <v>2794</v>
      </c>
      <c r="R13" s="3284" t="s">
        <v>2794</v>
      </c>
      <c r="S13" s="3284" t="s">
        <v>2794</v>
      </c>
      <c r="T13" s="3284" t="s">
        <v>3091</v>
      </c>
      <c r="U13" s="3284" t="s">
        <v>2794</v>
      </c>
      <c r="V13" s="3284" t="s">
        <v>2794</v>
      </c>
      <c r="W13" s="3284" t="s">
        <v>3153</v>
      </c>
      <c r="X13" s="3284" t="s">
        <v>3178</v>
      </c>
      <c r="Y13" s="3284" t="s">
        <v>3179</v>
      </c>
      <c r="Z13" s="3284" t="s">
        <v>3180</v>
      </c>
      <c r="AA13" s="3284" t="s">
        <v>3180</v>
      </c>
      <c r="AB13" s="3284" t="s">
        <v>3181</v>
      </c>
      <c r="AC13" s="3284" t="s">
        <v>3097</v>
      </c>
      <c r="AD13" s="3284" t="s">
        <v>3187</v>
      </c>
      <c r="AE13" s="3284">
        <v>52871</v>
      </c>
      <c r="AF13" s="3284">
        <v>105741</v>
      </c>
      <c r="AH13" s="3284">
        <v>105741</v>
      </c>
      <c r="AI13" s="3284">
        <v>826.08</v>
      </c>
      <c r="AJ13" s="3284">
        <v>826.08</v>
      </c>
      <c r="AK13" s="3284">
        <v>3644.46</v>
      </c>
      <c r="AL13" s="3284">
        <v>3644.46</v>
      </c>
      <c r="AM13" s="3284" t="s">
        <v>2794</v>
      </c>
      <c r="AN13" s="3284" t="s">
        <v>2794</v>
      </c>
      <c r="AO13" s="3284">
        <v>0</v>
      </c>
      <c r="AP13" s="3284" t="s">
        <v>3188</v>
      </c>
      <c r="AQ13" s="3284" t="s">
        <v>2794</v>
      </c>
      <c r="AR13" s="3284" t="s">
        <v>2794</v>
      </c>
      <c r="AS13" s="3284" t="s">
        <v>2794</v>
      </c>
      <c r="AT13" s="3284" t="s">
        <v>3138</v>
      </c>
    </row>
    <row r="14" spans="1:46" ht="19.5" customHeight="1">
      <c r="A14" s="3284" t="s">
        <v>3189</v>
      </c>
      <c r="B14" s="3284" t="s">
        <v>3083</v>
      </c>
      <c r="C14" s="3284" t="s">
        <v>3084</v>
      </c>
      <c r="D14" s="3284" t="s">
        <v>3085</v>
      </c>
      <c r="E14" s="3284" t="s">
        <v>2794</v>
      </c>
      <c r="F14" s="3284" t="s">
        <v>3189</v>
      </c>
      <c r="G14" s="3284" t="s">
        <v>3086</v>
      </c>
      <c r="H14" s="3284" t="s">
        <v>3190</v>
      </c>
      <c r="I14" s="3284" t="s">
        <v>3191</v>
      </c>
      <c r="J14" s="3284">
        <v>26242.22</v>
      </c>
      <c r="K14" s="3284">
        <v>104968.88</v>
      </c>
      <c r="L14" s="3284" t="s">
        <v>3089</v>
      </c>
      <c r="M14" s="3284" t="s">
        <v>2794</v>
      </c>
      <c r="N14" s="3284" t="s">
        <v>3090</v>
      </c>
      <c r="O14" s="3284" t="s">
        <v>3090</v>
      </c>
      <c r="P14" s="3284" t="s">
        <v>2794</v>
      </c>
      <c r="Q14" s="3284" t="s">
        <v>2794</v>
      </c>
      <c r="R14" s="3284" t="s">
        <v>2794</v>
      </c>
      <c r="S14" s="3284" t="s">
        <v>2794</v>
      </c>
      <c r="T14" s="3284" t="s">
        <v>3091</v>
      </c>
      <c r="U14" s="3284" t="s">
        <v>2794</v>
      </c>
      <c r="V14" s="3284" t="s">
        <v>2794</v>
      </c>
      <c r="W14" s="3284" t="s">
        <v>3153</v>
      </c>
      <c r="X14" s="3284" t="s">
        <v>3178</v>
      </c>
      <c r="Y14" s="3284" t="s">
        <v>3179</v>
      </c>
      <c r="Z14" s="3284" t="s">
        <v>3180</v>
      </c>
      <c r="AA14" s="3284" t="s">
        <v>3180</v>
      </c>
      <c r="AB14" s="3284" t="s">
        <v>3181</v>
      </c>
      <c r="AC14" s="3284" t="s">
        <v>3097</v>
      </c>
      <c r="AD14" s="3284" t="s">
        <v>3098</v>
      </c>
      <c r="AE14" s="3284">
        <v>17443</v>
      </c>
      <c r="AF14" s="3284">
        <v>34886</v>
      </c>
      <c r="AH14" s="3284">
        <v>34886</v>
      </c>
      <c r="AI14" s="3284">
        <v>886.26</v>
      </c>
      <c r="AJ14" s="3284">
        <v>886.26</v>
      </c>
      <c r="AK14" s="3284">
        <v>3323.46</v>
      </c>
      <c r="AL14" s="3284">
        <v>3323.46</v>
      </c>
      <c r="AM14" s="3284" t="s">
        <v>2794</v>
      </c>
      <c r="AN14" s="3284" t="s">
        <v>2794</v>
      </c>
      <c r="AO14" s="3284">
        <v>0</v>
      </c>
      <c r="AP14" s="3284" t="s">
        <v>3145</v>
      </c>
      <c r="AQ14" s="3284" t="s">
        <v>2794</v>
      </c>
      <c r="AR14" s="3284" t="s">
        <v>2794</v>
      </c>
      <c r="AS14" s="3284" t="s">
        <v>2794</v>
      </c>
      <c r="AT14" s="3284" t="s">
        <v>3100</v>
      </c>
    </row>
    <row r="15" spans="1:46" ht="19.5" customHeight="1">
      <c r="A15" s="3284" t="s">
        <v>3192</v>
      </c>
      <c r="B15" s="3284" t="s">
        <v>3083</v>
      </c>
      <c r="C15" s="3284" t="s">
        <v>3084</v>
      </c>
      <c r="D15" s="3284" t="s">
        <v>3085</v>
      </c>
      <c r="E15" s="3284" t="s">
        <v>2794</v>
      </c>
      <c r="F15" s="3284" t="s">
        <v>3192</v>
      </c>
      <c r="G15" s="3284" t="s">
        <v>3086</v>
      </c>
      <c r="H15" s="3284" t="s">
        <v>3193</v>
      </c>
      <c r="I15" s="3284" t="s">
        <v>3194</v>
      </c>
      <c r="J15" s="3284">
        <v>14636.82</v>
      </c>
      <c r="K15" s="3284">
        <v>51228.87</v>
      </c>
      <c r="L15" s="3284" t="s">
        <v>3195</v>
      </c>
      <c r="M15" s="3284" t="s">
        <v>2794</v>
      </c>
      <c r="N15" s="3284" t="s">
        <v>3090</v>
      </c>
      <c r="O15" s="3284" t="s">
        <v>3090</v>
      </c>
      <c r="P15" s="3284" t="s">
        <v>2794</v>
      </c>
      <c r="Q15" s="3284" t="s">
        <v>2794</v>
      </c>
      <c r="R15" s="3284" t="s">
        <v>2794</v>
      </c>
      <c r="S15" s="3284" t="s">
        <v>2794</v>
      </c>
      <c r="T15" s="3284" t="s">
        <v>2794</v>
      </c>
      <c r="U15" s="3284" t="s">
        <v>2794</v>
      </c>
      <c r="V15" s="3284" t="s">
        <v>2794</v>
      </c>
      <c r="W15" s="3284" t="s">
        <v>3153</v>
      </c>
      <c r="X15" s="3284" t="s">
        <v>3196</v>
      </c>
      <c r="Y15" s="3284" t="s">
        <v>3197</v>
      </c>
      <c r="Z15" s="3284" t="s">
        <v>3198</v>
      </c>
      <c r="AA15" s="3284" t="s">
        <v>3198</v>
      </c>
      <c r="AB15" s="3284" t="s">
        <v>3199</v>
      </c>
      <c r="AC15" s="3284" t="s">
        <v>3097</v>
      </c>
      <c r="AD15" s="3284" t="s">
        <v>3200</v>
      </c>
      <c r="AE15" s="3284">
        <v>18862</v>
      </c>
      <c r="AF15" s="3284">
        <v>18862</v>
      </c>
      <c r="AH15" s="3284">
        <v>18862</v>
      </c>
      <c r="AI15" s="3284">
        <v>859.11</v>
      </c>
      <c r="AJ15" s="3284">
        <v>859.11</v>
      </c>
      <c r="AK15" s="3284">
        <v>3681.9</v>
      </c>
      <c r="AL15" s="3284">
        <v>3681.9</v>
      </c>
      <c r="AM15" s="3284" t="s">
        <v>2794</v>
      </c>
      <c r="AN15" s="3284" t="s">
        <v>2794</v>
      </c>
      <c r="AO15" s="3284">
        <v>0</v>
      </c>
      <c r="AP15" s="3284" t="s">
        <v>3201</v>
      </c>
      <c r="AQ15" s="3284" t="s">
        <v>2794</v>
      </c>
      <c r="AR15" s="3284" t="s">
        <v>2794</v>
      </c>
      <c r="AS15" s="3284" t="s">
        <v>2794</v>
      </c>
      <c r="AT15" s="3284" t="s">
        <v>3138</v>
      </c>
    </row>
    <row r="16" spans="1:46" ht="19.5" customHeight="1">
      <c r="A16" s="3284" t="s">
        <v>3202</v>
      </c>
      <c r="B16" s="3284" t="s">
        <v>3083</v>
      </c>
      <c r="C16" s="3284" t="s">
        <v>3084</v>
      </c>
      <c r="D16" s="3284" t="s">
        <v>3085</v>
      </c>
      <c r="E16" s="3284" t="s">
        <v>2794</v>
      </c>
      <c r="F16" s="3284" t="s">
        <v>3202</v>
      </c>
      <c r="G16" s="3284" t="s">
        <v>3086</v>
      </c>
      <c r="H16" s="3284" t="s">
        <v>3203</v>
      </c>
      <c r="I16" s="3284" t="s">
        <v>3204</v>
      </c>
      <c r="J16" s="3284">
        <v>60870.03</v>
      </c>
      <c r="K16" s="3284">
        <v>310437.15000000002</v>
      </c>
      <c r="L16" s="3284" t="s">
        <v>3205</v>
      </c>
      <c r="M16" s="3284" t="s">
        <v>2794</v>
      </c>
      <c r="N16" s="3284" t="s">
        <v>3090</v>
      </c>
      <c r="O16" s="3284" t="s">
        <v>3090</v>
      </c>
      <c r="P16" s="3284" t="s">
        <v>2794</v>
      </c>
      <c r="Q16" s="3284" t="s">
        <v>2794</v>
      </c>
      <c r="R16" s="3284" t="s">
        <v>2794</v>
      </c>
      <c r="S16" s="3284" t="s">
        <v>2794</v>
      </c>
      <c r="T16" s="3284" t="s">
        <v>2794</v>
      </c>
      <c r="U16" s="3284" t="s">
        <v>2794</v>
      </c>
      <c r="V16" s="3284" t="s">
        <v>2794</v>
      </c>
      <c r="W16" s="3284" t="s">
        <v>3153</v>
      </c>
      <c r="X16" s="3284" t="s">
        <v>3196</v>
      </c>
      <c r="Y16" s="3284" t="s">
        <v>3197</v>
      </c>
      <c r="Z16" s="3284" t="s">
        <v>3198</v>
      </c>
      <c r="AA16" s="3284" t="s">
        <v>3198</v>
      </c>
      <c r="AB16" s="3284" t="s">
        <v>3199</v>
      </c>
      <c r="AC16" s="3284" t="s">
        <v>3097</v>
      </c>
      <c r="AD16" s="3284" t="s">
        <v>3206</v>
      </c>
      <c r="AE16" s="3284">
        <v>82357</v>
      </c>
      <c r="AF16" s="3284">
        <v>82357</v>
      </c>
      <c r="AH16" s="3284">
        <v>82357</v>
      </c>
      <c r="AI16" s="3284">
        <v>902</v>
      </c>
      <c r="AJ16" s="3284">
        <v>902</v>
      </c>
      <c r="AK16" s="3284">
        <v>2652.93</v>
      </c>
      <c r="AL16" s="3284">
        <v>2652.94</v>
      </c>
      <c r="AM16" s="3284" t="s">
        <v>2794</v>
      </c>
      <c r="AN16" s="3284" t="s">
        <v>2794</v>
      </c>
      <c r="AO16" s="3284">
        <v>0</v>
      </c>
      <c r="AP16" s="3284" t="s">
        <v>3207</v>
      </c>
      <c r="AQ16" s="3284" t="s">
        <v>2794</v>
      </c>
      <c r="AR16" s="3284" t="s">
        <v>2794</v>
      </c>
      <c r="AS16" s="3284" t="s">
        <v>2794</v>
      </c>
      <c r="AT16" s="3284" t="s">
        <v>3100</v>
      </c>
    </row>
    <row r="17" spans="1:46" ht="19.5" customHeight="1">
      <c r="A17" s="3284" t="s">
        <v>3208</v>
      </c>
      <c r="B17" s="3284" t="s">
        <v>3083</v>
      </c>
      <c r="C17" s="3284" t="s">
        <v>3084</v>
      </c>
      <c r="D17" s="3284" t="s">
        <v>3085</v>
      </c>
      <c r="E17" s="3284" t="s">
        <v>2794</v>
      </c>
      <c r="F17" s="3284" t="s">
        <v>3208</v>
      </c>
      <c r="G17" s="3284" t="s">
        <v>3086</v>
      </c>
      <c r="H17" s="3284" t="s">
        <v>3209</v>
      </c>
      <c r="I17" s="3284" t="s">
        <v>3210</v>
      </c>
      <c r="J17" s="3284">
        <v>81632.31</v>
      </c>
      <c r="K17" s="3284">
        <v>367345.4</v>
      </c>
      <c r="L17" s="3284" t="s">
        <v>3211</v>
      </c>
      <c r="M17" s="3284" t="s">
        <v>2794</v>
      </c>
      <c r="N17" s="3284" t="s">
        <v>3090</v>
      </c>
      <c r="O17" s="3284" t="s">
        <v>3090</v>
      </c>
      <c r="P17" s="3284" t="s">
        <v>2794</v>
      </c>
      <c r="Q17" s="3284" t="s">
        <v>2794</v>
      </c>
      <c r="R17" s="3284" t="s">
        <v>2794</v>
      </c>
      <c r="S17" s="3284" t="s">
        <v>2794</v>
      </c>
      <c r="T17" s="3284" t="s">
        <v>2794</v>
      </c>
      <c r="U17" s="3284" t="s">
        <v>2794</v>
      </c>
      <c r="V17" s="3284" t="s">
        <v>2794</v>
      </c>
      <c r="W17" s="3284" t="s">
        <v>3153</v>
      </c>
      <c r="X17" s="3284" t="s">
        <v>3212</v>
      </c>
      <c r="Y17" s="3284" t="s">
        <v>3213</v>
      </c>
      <c r="Z17" s="3284" t="s">
        <v>3214</v>
      </c>
      <c r="AA17" s="3284" t="s">
        <v>3214</v>
      </c>
      <c r="AB17" s="3284" t="s">
        <v>3215</v>
      </c>
      <c r="AC17" s="3284" t="s">
        <v>3097</v>
      </c>
      <c r="AD17" s="3284" t="s">
        <v>3216</v>
      </c>
      <c r="AE17" s="3284">
        <v>55454</v>
      </c>
      <c r="AF17" s="3284">
        <v>110908</v>
      </c>
      <c r="AH17" s="3284">
        <v>110908</v>
      </c>
      <c r="AI17" s="3284">
        <v>905.75</v>
      </c>
      <c r="AJ17" s="3284">
        <v>905.75</v>
      </c>
      <c r="AK17" s="3284">
        <v>3019.17</v>
      </c>
      <c r="AL17" s="3284">
        <v>3019.17</v>
      </c>
      <c r="AM17" s="3284" t="s">
        <v>2794</v>
      </c>
      <c r="AN17" s="3284" t="s">
        <v>2794</v>
      </c>
      <c r="AO17" s="3284">
        <v>0</v>
      </c>
      <c r="AP17" s="3284" t="s">
        <v>3217</v>
      </c>
      <c r="AQ17" s="3284" t="s">
        <v>2794</v>
      </c>
      <c r="AR17" s="3284" t="s">
        <v>2794</v>
      </c>
      <c r="AS17" s="3284" t="s">
        <v>2794</v>
      </c>
      <c r="AT17" s="3284" t="s">
        <v>3138</v>
      </c>
    </row>
    <row r="18" spans="1:46" ht="19.5" customHeight="1">
      <c r="A18" s="3284" t="s">
        <v>3218</v>
      </c>
      <c r="B18" s="3284" t="s">
        <v>3083</v>
      </c>
      <c r="C18" s="3284" t="s">
        <v>3219</v>
      </c>
      <c r="D18" s="3284" t="s">
        <v>3085</v>
      </c>
      <c r="E18" s="3284" t="s">
        <v>2794</v>
      </c>
      <c r="F18" s="3284" t="s">
        <v>3218</v>
      </c>
      <c r="G18" s="3284" t="s">
        <v>3086</v>
      </c>
      <c r="H18" s="3284" t="s">
        <v>3220</v>
      </c>
      <c r="I18" s="3284" t="s">
        <v>3221</v>
      </c>
      <c r="J18" s="3284">
        <v>45915.05</v>
      </c>
      <c r="K18" s="3284">
        <v>160702.70000000001</v>
      </c>
      <c r="L18" s="3284" t="s">
        <v>3222</v>
      </c>
      <c r="M18" s="3284" t="s">
        <v>2794</v>
      </c>
      <c r="N18" s="3284" t="s">
        <v>3090</v>
      </c>
      <c r="O18" s="3284" t="s">
        <v>3090</v>
      </c>
      <c r="P18" s="3284" t="s">
        <v>2794</v>
      </c>
      <c r="Q18" s="3284" t="s">
        <v>2794</v>
      </c>
      <c r="R18" s="3284" t="s">
        <v>2794</v>
      </c>
      <c r="S18" s="3284" t="s">
        <v>2794</v>
      </c>
      <c r="T18" s="3284" t="s">
        <v>3091</v>
      </c>
      <c r="U18" s="3284" t="s">
        <v>2794</v>
      </c>
      <c r="V18" s="3284" t="s">
        <v>2794</v>
      </c>
      <c r="W18" s="3284" t="s">
        <v>3153</v>
      </c>
      <c r="X18" s="3284" t="s">
        <v>3223</v>
      </c>
      <c r="Y18" s="3284" t="s">
        <v>3224</v>
      </c>
      <c r="Z18" s="3284" t="s">
        <v>3225</v>
      </c>
      <c r="AA18" s="3284" t="s">
        <v>3225</v>
      </c>
      <c r="AB18" s="3284" t="s">
        <v>3226</v>
      </c>
      <c r="AC18" s="3284" t="s">
        <v>3097</v>
      </c>
      <c r="AD18" s="3284" t="s">
        <v>3227</v>
      </c>
      <c r="AE18" s="3284">
        <v>22929</v>
      </c>
      <c r="AF18" s="3284">
        <v>45857</v>
      </c>
      <c r="AH18" s="3284">
        <v>45857</v>
      </c>
      <c r="AI18" s="3284">
        <v>665.82</v>
      </c>
      <c r="AJ18" s="3284">
        <v>665.82</v>
      </c>
      <c r="AK18" s="3284">
        <v>2853.53</v>
      </c>
      <c r="AL18" s="3284">
        <v>2853.53</v>
      </c>
      <c r="AM18" s="3284" t="s">
        <v>2794</v>
      </c>
      <c r="AN18" s="3284" t="s">
        <v>2794</v>
      </c>
      <c r="AO18" s="3284">
        <v>0</v>
      </c>
      <c r="AP18" s="3284">
        <v>70</v>
      </c>
      <c r="AQ18" s="3284" t="s">
        <v>2794</v>
      </c>
      <c r="AR18" s="3284" t="s">
        <v>2794</v>
      </c>
      <c r="AS18" s="3284" t="s">
        <v>2794</v>
      </c>
      <c r="AT18" s="3284" t="s">
        <v>3110</v>
      </c>
    </row>
    <row r="19" spans="1:46" ht="19.5" customHeight="1">
      <c r="A19" s="3284" t="s">
        <v>3228</v>
      </c>
      <c r="B19" s="3284" t="s">
        <v>3083</v>
      </c>
      <c r="C19" s="3284" t="s">
        <v>3219</v>
      </c>
      <c r="D19" s="3284" t="s">
        <v>3085</v>
      </c>
      <c r="E19" s="3284" t="s">
        <v>2794</v>
      </c>
      <c r="F19" s="3284" t="s">
        <v>3228</v>
      </c>
      <c r="G19" s="3284" t="s">
        <v>3086</v>
      </c>
      <c r="H19" s="3284" t="s">
        <v>3229</v>
      </c>
      <c r="I19" s="3284" t="s">
        <v>3221</v>
      </c>
      <c r="J19" s="3284">
        <v>10933.13</v>
      </c>
      <c r="K19" s="3284">
        <v>38265.949999999997</v>
      </c>
      <c r="L19" s="3284" t="s">
        <v>3222</v>
      </c>
      <c r="M19" s="3284" t="s">
        <v>2794</v>
      </c>
      <c r="N19" s="3284" t="s">
        <v>3090</v>
      </c>
      <c r="O19" s="3284" t="s">
        <v>3090</v>
      </c>
      <c r="P19" s="3284" t="s">
        <v>2794</v>
      </c>
      <c r="Q19" s="3284" t="s">
        <v>2794</v>
      </c>
      <c r="R19" s="3284" t="s">
        <v>2794</v>
      </c>
      <c r="S19" s="3284" t="s">
        <v>2794</v>
      </c>
      <c r="T19" s="3284" t="s">
        <v>3091</v>
      </c>
      <c r="U19" s="3284" t="s">
        <v>2794</v>
      </c>
      <c r="V19" s="3284" t="s">
        <v>2794</v>
      </c>
      <c r="W19" s="3284" t="s">
        <v>3153</v>
      </c>
      <c r="X19" s="3284" t="s">
        <v>3223</v>
      </c>
      <c r="Y19" s="3284" t="s">
        <v>3224</v>
      </c>
      <c r="Z19" s="3284" t="s">
        <v>3225</v>
      </c>
      <c r="AA19" s="3284" t="s">
        <v>3225</v>
      </c>
      <c r="AB19" s="3284" t="s">
        <v>3226</v>
      </c>
      <c r="AC19" s="3284" t="s">
        <v>3097</v>
      </c>
      <c r="AD19" s="3284" t="s">
        <v>3227</v>
      </c>
      <c r="AE19" s="3284">
        <v>5455</v>
      </c>
      <c r="AF19" s="3284">
        <v>10910</v>
      </c>
      <c r="AH19" s="3284">
        <v>10910</v>
      </c>
      <c r="AI19" s="3284">
        <v>665.26</v>
      </c>
      <c r="AJ19" s="3284">
        <v>665.26</v>
      </c>
      <c r="AK19" s="3284">
        <v>2851.09</v>
      </c>
      <c r="AL19" s="3284">
        <v>2851.09</v>
      </c>
      <c r="AM19" s="3284" t="s">
        <v>2794</v>
      </c>
      <c r="AN19" s="3284" t="s">
        <v>2794</v>
      </c>
      <c r="AO19" s="3284">
        <v>0</v>
      </c>
      <c r="AP19" s="3284">
        <v>70</v>
      </c>
      <c r="AQ19" s="3284" t="s">
        <v>2794</v>
      </c>
      <c r="AR19" s="3284" t="s">
        <v>2794</v>
      </c>
      <c r="AS19" s="3284" t="s">
        <v>2794</v>
      </c>
      <c r="AT19" s="3284" t="s">
        <v>3110</v>
      </c>
    </row>
    <row r="20" spans="1:46" ht="19.5" customHeight="1">
      <c r="A20" s="3284" t="s">
        <v>3230</v>
      </c>
      <c r="B20" s="3284" t="s">
        <v>3083</v>
      </c>
      <c r="C20" s="3284" t="s">
        <v>3219</v>
      </c>
      <c r="D20" s="3284" t="s">
        <v>3085</v>
      </c>
      <c r="E20" s="3284" t="s">
        <v>2794</v>
      </c>
      <c r="F20" s="3284" t="s">
        <v>3230</v>
      </c>
      <c r="G20" s="3284" t="s">
        <v>3086</v>
      </c>
      <c r="H20" s="3284" t="s">
        <v>3231</v>
      </c>
      <c r="I20" s="3284" t="s">
        <v>3221</v>
      </c>
      <c r="J20" s="3284">
        <v>39024.39</v>
      </c>
      <c r="K20" s="3284">
        <v>136585.4</v>
      </c>
      <c r="L20" s="3284" t="s">
        <v>3222</v>
      </c>
      <c r="M20" s="3284" t="s">
        <v>2794</v>
      </c>
      <c r="N20" s="3284" t="s">
        <v>3090</v>
      </c>
      <c r="O20" s="3284" t="s">
        <v>3090</v>
      </c>
      <c r="P20" s="3284" t="s">
        <v>2794</v>
      </c>
      <c r="Q20" s="3284" t="s">
        <v>2794</v>
      </c>
      <c r="R20" s="3284" t="s">
        <v>2794</v>
      </c>
      <c r="S20" s="3284" t="s">
        <v>2794</v>
      </c>
      <c r="T20" s="3284" t="s">
        <v>3091</v>
      </c>
      <c r="U20" s="3284" t="s">
        <v>2794</v>
      </c>
      <c r="V20" s="3284" t="s">
        <v>2794</v>
      </c>
      <c r="W20" s="3284" t="s">
        <v>3153</v>
      </c>
      <c r="X20" s="3284" t="s">
        <v>3223</v>
      </c>
      <c r="Y20" s="3284" t="s">
        <v>3224</v>
      </c>
      <c r="Z20" s="3284" t="s">
        <v>3225</v>
      </c>
      <c r="AA20" s="3284" t="s">
        <v>3225</v>
      </c>
      <c r="AB20" s="3284" t="s">
        <v>3226</v>
      </c>
      <c r="AC20" s="3284" t="s">
        <v>3097</v>
      </c>
      <c r="AD20" s="3284" t="s">
        <v>3227</v>
      </c>
      <c r="AE20" s="3284">
        <v>19497</v>
      </c>
      <c r="AF20" s="3284">
        <v>38993</v>
      </c>
      <c r="AH20" s="3284">
        <v>38993</v>
      </c>
      <c r="AI20" s="3284">
        <v>666.13</v>
      </c>
      <c r="AJ20" s="3284">
        <v>666.13</v>
      </c>
      <c r="AK20" s="3284">
        <v>2854.84</v>
      </c>
      <c r="AL20" s="3284">
        <v>2854.84</v>
      </c>
      <c r="AM20" s="3284" t="s">
        <v>2794</v>
      </c>
      <c r="AN20" s="3284" t="s">
        <v>2794</v>
      </c>
      <c r="AO20" s="3284">
        <v>0</v>
      </c>
      <c r="AP20" s="3284">
        <v>70</v>
      </c>
      <c r="AQ20" s="3284" t="s">
        <v>2794</v>
      </c>
      <c r="AR20" s="3284" t="s">
        <v>2794</v>
      </c>
      <c r="AS20" s="3284" t="s">
        <v>2794</v>
      </c>
      <c r="AT20" s="3284" t="s">
        <v>3110</v>
      </c>
    </row>
    <row r="21" spans="1:46" ht="19.5" customHeight="1">
      <c r="A21" s="3284" t="s">
        <v>3232</v>
      </c>
      <c r="B21" s="3284" t="s">
        <v>3083</v>
      </c>
      <c r="C21" s="3284" t="s">
        <v>3084</v>
      </c>
      <c r="D21" s="3284" t="s">
        <v>3085</v>
      </c>
      <c r="E21" s="3284" t="s">
        <v>2794</v>
      </c>
      <c r="F21" s="3284" t="s">
        <v>3232</v>
      </c>
      <c r="G21" s="3284" t="s">
        <v>3086</v>
      </c>
      <c r="H21" s="3284" t="s">
        <v>3233</v>
      </c>
      <c r="I21" s="3284" t="s">
        <v>3191</v>
      </c>
      <c r="J21" s="3284">
        <v>37636.04</v>
      </c>
      <c r="K21" s="3284">
        <v>75272.08</v>
      </c>
      <c r="L21" s="3284" t="s">
        <v>3234</v>
      </c>
      <c r="M21" s="3284" t="s">
        <v>2794</v>
      </c>
      <c r="N21" s="3284" t="s">
        <v>3090</v>
      </c>
      <c r="O21" s="3284" t="s">
        <v>2794</v>
      </c>
      <c r="P21" s="3284" t="s">
        <v>2794</v>
      </c>
      <c r="Q21" s="3284" t="s">
        <v>2794</v>
      </c>
      <c r="R21" s="3284" t="s">
        <v>2794</v>
      </c>
      <c r="S21" s="3284" t="s">
        <v>2794</v>
      </c>
      <c r="T21" s="3284" t="s">
        <v>3091</v>
      </c>
      <c r="U21" s="3284" t="s">
        <v>2794</v>
      </c>
      <c r="V21" s="3284" t="s">
        <v>2794</v>
      </c>
      <c r="W21" s="3284" t="s">
        <v>3153</v>
      </c>
      <c r="X21" s="3284" t="s">
        <v>3235</v>
      </c>
      <c r="Y21" s="3284" t="s">
        <v>3236</v>
      </c>
      <c r="Z21" s="3284" t="s">
        <v>3237</v>
      </c>
      <c r="AA21" s="3284" t="s">
        <v>3237</v>
      </c>
      <c r="AB21" s="3284" t="s">
        <v>3238</v>
      </c>
      <c r="AC21" s="3284" t="s">
        <v>3097</v>
      </c>
      <c r="AD21" s="3284" t="s">
        <v>3239</v>
      </c>
      <c r="AE21" s="3284">
        <v>15719</v>
      </c>
      <c r="AF21" s="3284">
        <v>31438</v>
      </c>
      <c r="AH21" s="3284">
        <v>31438</v>
      </c>
      <c r="AI21" s="3284">
        <v>556.88</v>
      </c>
      <c r="AJ21" s="3284">
        <v>556.88</v>
      </c>
      <c r="AK21" s="3284">
        <v>4176.58</v>
      </c>
      <c r="AL21" s="3284">
        <v>4176.57</v>
      </c>
      <c r="AM21" s="3284" t="s">
        <v>2794</v>
      </c>
      <c r="AN21" s="3284" t="s">
        <v>2794</v>
      </c>
      <c r="AO21" s="3284">
        <v>0</v>
      </c>
      <c r="AP21" s="3284" t="s">
        <v>3240</v>
      </c>
      <c r="AQ21" s="3284" t="s">
        <v>2794</v>
      </c>
      <c r="AR21" s="3284" t="s">
        <v>2794</v>
      </c>
      <c r="AS21" s="3284" t="s">
        <v>2794</v>
      </c>
      <c r="AT21" s="3284" t="s">
        <v>3110</v>
      </c>
    </row>
    <row r="22" spans="1:46" s="3288" customFormat="1" ht="19.5" customHeight="1">
      <c r="A22" s="3288" t="s">
        <v>3241</v>
      </c>
      <c r="B22" s="3288" t="s">
        <v>3083</v>
      </c>
      <c r="C22" s="3288" t="s">
        <v>3084</v>
      </c>
      <c r="D22" s="3288" t="s">
        <v>3085</v>
      </c>
      <c r="E22" s="3288" t="s">
        <v>2794</v>
      </c>
      <c r="F22" s="3289" t="s">
        <v>3364</v>
      </c>
      <c r="G22" s="3288" t="s">
        <v>3086</v>
      </c>
      <c r="H22" s="3288" t="s">
        <v>3242</v>
      </c>
      <c r="I22" s="3288" t="s">
        <v>3191</v>
      </c>
      <c r="J22" s="3288">
        <v>70151.91</v>
      </c>
      <c r="K22" s="3288">
        <v>210455.7</v>
      </c>
      <c r="L22" s="3288" t="s">
        <v>3243</v>
      </c>
      <c r="M22" s="3288" t="s">
        <v>2794</v>
      </c>
      <c r="N22" s="3288" t="s">
        <v>3090</v>
      </c>
      <c r="O22" s="3288" t="s">
        <v>2794</v>
      </c>
      <c r="P22" s="3288" t="s">
        <v>2794</v>
      </c>
      <c r="Q22" s="3288" t="s">
        <v>2794</v>
      </c>
      <c r="R22" s="3288" t="s">
        <v>2794</v>
      </c>
      <c r="S22" s="3288" t="s">
        <v>2794</v>
      </c>
      <c r="T22" s="3288" t="s">
        <v>3091</v>
      </c>
      <c r="U22" s="3288" t="s">
        <v>3244</v>
      </c>
      <c r="V22" s="3288" t="s">
        <v>2794</v>
      </c>
      <c r="W22" s="3288" t="s">
        <v>3153</v>
      </c>
      <c r="X22" s="3288" t="s">
        <v>3235</v>
      </c>
      <c r="Y22" s="3288" t="s">
        <v>3236</v>
      </c>
      <c r="Z22" s="3288" t="s">
        <v>3237</v>
      </c>
      <c r="AA22" s="3288" t="s">
        <v>3237</v>
      </c>
      <c r="AB22" s="3288" t="s">
        <v>3238</v>
      </c>
      <c r="AC22" s="3288" t="s">
        <v>3097</v>
      </c>
      <c r="AD22" s="3288" t="s">
        <v>3245</v>
      </c>
      <c r="AE22" s="3288">
        <v>84859</v>
      </c>
      <c r="AF22" s="3288">
        <v>84859</v>
      </c>
      <c r="AH22" s="3288">
        <v>130460</v>
      </c>
      <c r="AI22" s="3288">
        <v>806.43</v>
      </c>
      <c r="AJ22" s="3288">
        <v>1239.79</v>
      </c>
      <c r="AK22" s="3288">
        <v>4032.15</v>
      </c>
      <c r="AL22" s="3288">
        <v>6198.93</v>
      </c>
      <c r="AM22" s="3288" t="s">
        <v>2794</v>
      </c>
      <c r="AN22" s="3288" t="s">
        <v>2794</v>
      </c>
      <c r="AO22" s="3288">
        <v>53.74</v>
      </c>
      <c r="AP22" s="3288" t="s">
        <v>3240</v>
      </c>
      <c r="AQ22" s="3288" t="s">
        <v>2794</v>
      </c>
      <c r="AR22" s="3288" t="s">
        <v>2794</v>
      </c>
      <c r="AS22" s="3288" t="s">
        <v>2794</v>
      </c>
      <c r="AT22" s="3288" t="s">
        <v>3100</v>
      </c>
    </row>
    <row r="23" spans="1:46" ht="19.5" customHeight="1">
      <c r="A23" s="3284" t="s">
        <v>3246</v>
      </c>
      <c r="B23" s="3284" t="s">
        <v>3083</v>
      </c>
      <c r="C23" s="3284" t="s">
        <v>3084</v>
      </c>
      <c r="D23" s="3284" t="s">
        <v>3085</v>
      </c>
      <c r="E23" s="3284" t="s">
        <v>2794</v>
      </c>
      <c r="F23" s="3284" t="s">
        <v>3246</v>
      </c>
      <c r="G23" s="3284" t="s">
        <v>3086</v>
      </c>
      <c r="H23" s="3284" t="s">
        <v>3247</v>
      </c>
      <c r="I23" s="3284" t="s">
        <v>3191</v>
      </c>
      <c r="J23" s="3284">
        <v>39316.99</v>
      </c>
      <c r="K23" s="3284">
        <v>78633.98</v>
      </c>
      <c r="L23" s="3284" t="s">
        <v>3234</v>
      </c>
      <c r="M23" s="3284" t="s">
        <v>2794</v>
      </c>
      <c r="N23" s="3284" t="s">
        <v>3090</v>
      </c>
      <c r="O23" s="3284" t="s">
        <v>2794</v>
      </c>
      <c r="P23" s="3284" t="s">
        <v>2794</v>
      </c>
      <c r="Q23" s="3284" t="s">
        <v>2794</v>
      </c>
      <c r="R23" s="3284" t="s">
        <v>2794</v>
      </c>
      <c r="S23" s="3284" t="s">
        <v>2794</v>
      </c>
      <c r="T23" s="3284" t="s">
        <v>3091</v>
      </c>
      <c r="U23" s="3284" t="s">
        <v>2794</v>
      </c>
      <c r="V23" s="3284" t="s">
        <v>2794</v>
      </c>
      <c r="W23" s="3284" t="s">
        <v>3153</v>
      </c>
      <c r="X23" s="3284" t="s">
        <v>3235</v>
      </c>
      <c r="Y23" s="3284" t="s">
        <v>3236</v>
      </c>
      <c r="Z23" s="3284" t="s">
        <v>3237</v>
      </c>
      <c r="AA23" s="3284" t="s">
        <v>3237</v>
      </c>
      <c r="AB23" s="3284" t="s">
        <v>3238</v>
      </c>
      <c r="AC23" s="3284" t="s">
        <v>3097</v>
      </c>
      <c r="AD23" s="3284" t="s">
        <v>3239</v>
      </c>
      <c r="AE23" s="3284">
        <v>16386</v>
      </c>
      <c r="AF23" s="3284">
        <v>32772</v>
      </c>
      <c r="AH23" s="3284">
        <v>32772</v>
      </c>
      <c r="AI23" s="3284">
        <v>555.69000000000005</v>
      </c>
      <c r="AJ23" s="3284">
        <v>555.69000000000005</v>
      </c>
      <c r="AK23" s="3284">
        <v>4167.66</v>
      </c>
      <c r="AL23" s="3284">
        <v>4167.6499999999996</v>
      </c>
      <c r="AM23" s="3284" t="s">
        <v>2794</v>
      </c>
      <c r="AN23" s="3284" t="s">
        <v>2794</v>
      </c>
      <c r="AO23" s="3284">
        <v>0</v>
      </c>
      <c r="AP23" s="3284" t="s">
        <v>3240</v>
      </c>
      <c r="AQ23" s="3284" t="s">
        <v>2794</v>
      </c>
      <c r="AR23" s="3284" t="s">
        <v>2794</v>
      </c>
      <c r="AS23" s="3284" t="s">
        <v>2794</v>
      </c>
      <c r="AT23" s="3284" t="s">
        <v>3110</v>
      </c>
    </row>
    <row r="24" spans="1:46" ht="19.5" customHeight="1">
      <c r="A24" s="3284" t="s">
        <v>3248</v>
      </c>
      <c r="B24" s="3284" t="s">
        <v>3083</v>
      </c>
      <c r="C24" s="3284" t="s">
        <v>3084</v>
      </c>
      <c r="D24" s="3284" t="s">
        <v>3085</v>
      </c>
      <c r="E24" s="3284" t="s">
        <v>2794</v>
      </c>
      <c r="F24" s="3284" t="s">
        <v>3248</v>
      </c>
      <c r="G24" s="3284" t="s">
        <v>3086</v>
      </c>
      <c r="H24" s="3284" t="s">
        <v>3249</v>
      </c>
      <c r="I24" s="3284" t="s">
        <v>3191</v>
      </c>
      <c r="J24" s="3284">
        <v>47823.65</v>
      </c>
      <c r="K24" s="3284">
        <v>167382.79999999999</v>
      </c>
      <c r="L24" s="3284" t="s">
        <v>3250</v>
      </c>
      <c r="M24" s="3284" t="s">
        <v>2794</v>
      </c>
      <c r="N24" s="3284" t="s">
        <v>3090</v>
      </c>
      <c r="O24" s="3284" t="s">
        <v>2794</v>
      </c>
      <c r="P24" s="3284" t="s">
        <v>2794</v>
      </c>
      <c r="Q24" s="3284" t="s">
        <v>2794</v>
      </c>
      <c r="R24" s="3284" t="s">
        <v>2794</v>
      </c>
      <c r="S24" s="3284" t="s">
        <v>2794</v>
      </c>
      <c r="T24" s="3284" t="s">
        <v>3091</v>
      </c>
      <c r="U24" s="3284" t="s">
        <v>2794</v>
      </c>
      <c r="V24" s="3284" t="s">
        <v>2794</v>
      </c>
      <c r="W24" s="3284" t="s">
        <v>3153</v>
      </c>
      <c r="X24" s="3284" t="s">
        <v>3235</v>
      </c>
      <c r="Y24" s="3284" t="s">
        <v>3236</v>
      </c>
      <c r="Z24" s="3284" t="s">
        <v>3237</v>
      </c>
      <c r="AA24" s="3284" t="s">
        <v>3237</v>
      </c>
      <c r="AB24" s="3284" t="s">
        <v>3238</v>
      </c>
      <c r="AC24" s="3284" t="s">
        <v>3097</v>
      </c>
      <c r="AD24" s="3284" t="s">
        <v>3239</v>
      </c>
      <c r="AE24" s="3284">
        <v>23462</v>
      </c>
      <c r="AF24" s="3284">
        <v>46923</v>
      </c>
      <c r="AH24" s="3284">
        <v>46923</v>
      </c>
      <c r="AI24" s="3284">
        <v>654.11</v>
      </c>
      <c r="AJ24" s="3284">
        <v>654.11</v>
      </c>
      <c r="AK24" s="3284">
        <v>2803.33</v>
      </c>
      <c r="AL24" s="3284">
        <v>2803.32</v>
      </c>
      <c r="AM24" s="3284" t="s">
        <v>2794</v>
      </c>
      <c r="AN24" s="3284" t="s">
        <v>2794</v>
      </c>
      <c r="AO24" s="3284">
        <v>0</v>
      </c>
      <c r="AP24" s="3284" t="s">
        <v>3240</v>
      </c>
      <c r="AQ24" s="3284" t="s">
        <v>2794</v>
      </c>
      <c r="AR24" s="3284" t="s">
        <v>2794</v>
      </c>
      <c r="AS24" s="3284" t="s">
        <v>2794</v>
      </c>
      <c r="AT24" s="3284" t="s">
        <v>3110</v>
      </c>
    </row>
    <row r="25" spans="1:46" ht="19.5" customHeight="1">
      <c r="A25" s="3284" t="s">
        <v>3251</v>
      </c>
      <c r="B25" s="3284" t="s">
        <v>3083</v>
      </c>
      <c r="C25" s="3284" t="s">
        <v>3219</v>
      </c>
      <c r="D25" s="3284" t="s">
        <v>3085</v>
      </c>
      <c r="E25" s="3284" t="s">
        <v>2794</v>
      </c>
      <c r="F25" s="3284" t="s">
        <v>3251</v>
      </c>
      <c r="G25" s="3284" t="s">
        <v>3086</v>
      </c>
      <c r="H25" s="3284" t="s">
        <v>3252</v>
      </c>
      <c r="I25" s="3284" t="s">
        <v>3221</v>
      </c>
      <c r="J25" s="3284">
        <v>42352.55</v>
      </c>
      <c r="K25" s="3284">
        <v>148233.9</v>
      </c>
      <c r="L25" s="3284" t="s">
        <v>3222</v>
      </c>
      <c r="M25" s="3284" t="s">
        <v>2794</v>
      </c>
      <c r="N25" s="3284" t="s">
        <v>3090</v>
      </c>
      <c r="O25" s="3284" t="s">
        <v>2794</v>
      </c>
      <c r="P25" s="3284" t="s">
        <v>2794</v>
      </c>
      <c r="Q25" s="3284" t="s">
        <v>2794</v>
      </c>
      <c r="R25" s="3284" t="s">
        <v>2794</v>
      </c>
      <c r="S25" s="3284" t="s">
        <v>2794</v>
      </c>
      <c r="T25" s="3284" t="s">
        <v>3091</v>
      </c>
      <c r="U25" s="3284" t="s">
        <v>2794</v>
      </c>
      <c r="V25" s="3284" t="s">
        <v>2794</v>
      </c>
      <c r="W25" s="3284" t="s">
        <v>3153</v>
      </c>
      <c r="X25" s="3284" t="s">
        <v>3235</v>
      </c>
      <c r="Y25" s="3284" t="s">
        <v>3236</v>
      </c>
      <c r="Z25" s="3284" t="s">
        <v>3237</v>
      </c>
      <c r="AA25" s="3284" t="s">
        <v>3237</v>
      </c>
      <c r="AB25" s="3284" t="s">
        <v>3238</v>
      </c>
      <c r="AC25" s="3284" t="s">
        <v>3097</v>
      </c>
      <c r="AD25" s="3284" t="s">
        <v>3239</v>
      </c>
      <c r="AE25" s="3284">
        <v>19850</v>
      </c>
      <c r="AF25" s="3284">
        <v>39700</v>
      </c>
      <c r="AH25" s="3284">
        <v>39700</v>
      </c>
      <c r="AI25" s="3284">
        <v>624.91</v>
      </c>
      <c r="AJ25" s="3284">
        <v>624.91</v>
      </c>
      <c r="AK25" s="3284">
        <v>2678.19</v>
      </c>
      <c r="AL25" s="3284">
        <v>2678.19</v>
      </c>
      <c r="AM25" s="3284" t="s">
        <v>2794</v>
      </c>
      <c r="AN25" s="3284" t="s">
        <v>2794</v>
      </c>
      <c r="AO25" s="3284">
        <v>0</v>
      </c>
      <c r="AP25" s="3284">
        <v>70</v>
      </c>
      <c r="AQ25" s="3284" t="s">
        <v>2794</v>
      </c>
      <c r="AR25" s="3284" t="s">
        <v>2794</v>
      </c>
      <c r="AS25" s="3284" t="s">
        <v>2794</v>
      </c>
      <c r="AT25" s="3284" t="s">
        <v>3110</v>
      </c>
    </row>
    <row r="26" spans="1:46" ht="19.5" customHeight="1">
      <c r="A26" s="3284" t="s">
        <v>3253</v>
      </c>
      <c r="B26" s="3284" t="s">
        <v>3083</v>
      </c>
      <c r="C26" s="3284" t="s">
        <v>3084</v>
      </c>
      <c r="D26" s="3284" t="s">
        <v>3085</v>
      </c>
      <c r="E26" s="3284" t="s">
        <v>2794</v>
      </c>
      <c r="F26" s="3284" t="s">
        <v>3253</v>
      </c>
      <c r="G26" s="3284" t="s">
        <v>3086</v>
      </c>
      <c r="H26" s="3284" t="s">
        <v>3254</v>
      </c>
      <c r="I26" s="3284" t="s">
        <v>3255</v>
      </c>
      <c r="J26" s="3284">
        <v>27431.93</v>
      </c>
      <c r="K26" s="3284">
        <v>54863.86</v>
      </c>
      <c r="L26" s="3284" t="s">
        <v>3256</v>
      </c>
      <c r="M26" s="3284" t="s">
        <v>2794</v>
      </c>
      <c r="N26" s="3284" t="s">
        <v>3090</v>
      </c>
      <c r="O26" s="3284" t="s">
        <v>2794</v>
      </c>
      <c r="P26" s="3284" t="s">
        <v>2794</v>
      </c>
      <c r="Q26" s="3284" t="s">
        <v>2794</v>
      </c>
      <c r="R26" s="3284" t="s">
        <v>2794</v>
      </c>
      <c r="S26" s="3284" t="s">
        <v>2794</v>
      </c>
      <c r="T26" s="3284" t="s">
        <v>2794</v>
      </c>
      <c r="U26" s="3284" t="s">
        <v>2794</v>
      </c>
      <c r="V26" s="3284" t="s">
        <v>2794</v>
      </c>
      <c r="W26" s="3284" t="s">
        <v>3153</v>
      </c>
      <c r="X26" s="3284" t="s">
        <v>3257</v>
      </c>
      <c r="Y26" s="3284" t="s">
        <v>3258</v>
      </c>
      <c r="Z26" s="3284" t="s">
        <v>3259</v>
      </c>
      <c r="AA26" s="3284" t="s">
        <v>3259</v>
      </c>
      <c r="AB26" s="3284" t="s">
        <v>3260</v>
      </c>
      <c r="AC26" s="3284" t="s">
        <v>3097</v>
      </c>
      <c r="AD26" s="3284" t="s">
        <v>3261</v>
      </c>
      <c r="AE26" s="3284">
        <v>12230</v>
      </c>
      <c r="AF26" s="3284">
        <v>24455</v>
      </c>
      <c r="AH26" s="3284">
        <v>24455</v>
      </c>
      <c r="AI26" s="3284">
        <v>594.32000000000005</v>
      </c>
      <c r="AJ26" s="3284">
        <v>594.32000000000005</v>
      </c>
      <c r="AK26" s="3284">
        <v>4457.3900000000003</v>
      </c>
      <c r="AL26" s="3284">
        <v>4457.3900000000003</v>
      </c>
      <c r="AM26" s="3284" t="s">
        <v>2794</v>
      </c>
      <c r="AN26" s="3284" t="s">
        <v>2794</v>
      </c>
      <c r="AO26" s="3284">
        <v>0</v>
      </c>
      <c r="AP26" s="3284" t="s">
        <v>3240</v>
      </c>
      <c r="AQ26" s="3284" t="s">
        <v>2794</v>
      </c>
      <c r="AR26" s="3284" t="s">
        <v>2794</v>
      </c>
      <c r="AS26" s="3284" t="s">
        <v>2794</v>
      </c>
      <c r="AT26" s="3284" t="s">
        <v>3100</v>
      </c>
    </row>
    <row r="27" spans="1:46" s="3288" customFormat="1" ht="19.5" customHeight="1">
      <c r="A27" s="3288" t="s">
        <v>3262</v>
      </c>
      <c r="B27" s="3288" t="s">
        <v>3083</v>
      </c>
      <c r="C27" s="3288" t="s">
        <v>3084</v>
      </c>
      <c r="D27" s="3288" t="s">
        <v>3085</v>
      </c>
      <c r="E27" s="3288" t="s">
        <v>2794</v>
      </c>
      <c r="F27" s="3288" t="s">
        <v>3262</v>
      </c>
      <c r="G27" s="3288" t="s">
        <v>3086</v>
      </c>
      <c r="H27" s="3288" t="s">
        <v>3263</v>
      </c>
      <c r="I27" s="3288" t="s">
        <v>3191</v>
      </c>
      <c r="J27" s="3288">
        <v>51395.4</v>
      </c>
      <c r="K27" s="3288">
        <v>128488.5</v>
      </c>
      <c r="L27" s="3288" t="s">
        <v>3264</v>
      </c>
      <c r="M27" s="3288" t="s">
        <v>2794</v>
      </c>
      <c r="N27" s="3288" t="s">
        <v>3265</v>
      </c>
      <c r="O27" s="3288" t="s">
        <v>3266</v>
      </c>
      <c r="P27" s="3288" t="s">
        <v>2794</v>
      </c>
      <c r="Q27" s="3288" t="s">
        <v>2794</v>
      </c>
      <c r="R27" s="3288" t="s">
        <v>2794</v>
      </c>
      <c r="S27" s="3288" t="s">
        <v>2794</v>
      </c>
      <c r="T27" s="3288" t="s">
        <v>3091</v>
      </c>
      <c r="U27" s="3288" t="s">
        <v>3244</v>
      </c>
      <c r="V27" s="3288" t="s">
        <v>2794</v>
      </c>
      <c r="W27" s="3288" t="s">
        <v>3153</v>
      </c>
      <c r="X27" s="3288" t="s">
        <v>3267</v>
      </c>
      <c r="Y27" s="3288" t="s">
        <v>3268</v>
      </c>
      <c r="Z27" s="3288" t="s">
        <v>3269</v>
      </c>
      <c r="AA27" s="3288" t="s">
        <v>3269</v>
      </c>
      <c r="AB27" s="3288" t="s">
        <v>3270</v>
      </c>
      <c r="AC27" s="3288" t="s">
        <v>3097</v>
      </c>
      <c r="AD27" s="3288" t="s">
        <v>3271</v>
      </c>
      <c r="AE27" s="3288">
        <v>43763</v>
      </c>
      <c r="AF27" s="3288">
        <v>43763</v>
      </c>
      <c r="AH27" s="3288">
        <v>67260</v>
      </c>
      <c r="AI27" s="3288">
        <v>567.66</v>
      </c>
      <c r="AJ27" s="3288">
        <v>872.45</v>
      </c>
      <c r="AK27" s="3288">
        <v>3405.98</v>
      </c>
      <c r="AL27" s="3288">
        <v>5234.71</v>
      </c>
      <c r="AM27" s="3288" t="s">
        <v>2794</v>
      </c>
      <c r="AN27" s="3288" t="s">
        <v>2794</v>
      </c>
      <c r="AO27" s="3288">
        <v>53.69</v>
      </c>
      <c r="AP27" s="3288" t="s">
        <v>3240</v>
      </c>
      <c r="AQ27" s="3288" t="s">
        <v>2794</v>
      </c>
      <c r="AR27" s="3288" t="s">
        <v>2794</v>
      </c>
      <c r="AS27" s="3288" t="s">
        <v>2794</v>
      </c>
      <c r="AT27" s="3288" t="s">
        <v>3110</v>
      </c>
    </row>
    <row r="28" spans="1:46" ht="19.5" customHeight="1">
      <c r="A28" s="3284" t="s">
        <v>3272</v>
      </c>
      <c r="B28" s="3284" t="s">
        <v>3083</v>
      </c>
      <c r="C28" s="3284" t="s">
        <v>3219</v>
      </c>
      <c r="D28" s="3284" t="s">
        <v>3085</v>
      </c>
      <c r="E28" s="3284" t="s">
        <v>2794</v>
      </c>
      <c r="F28" s="3284" t="s">
        <v>3272</v>
      </c>
      <c r="G28" s="3284" t="s">
        <v>3086</v>
      </c>
      <c r="H28" s="3284" t="s">
        <v>3273</v>
      </c>
      <c r="I28" s="3284" t="s">
        <v>3221</v>
      </c>
      <c r="J28" s="3284">
        <v>83616.100000000006</v>
      </c>
      <c r="K28" s="3284">
        <v>209040.3</v>
      </c>
      <c r="L28" s="3284" t="s">
        <v>3264</v>
      </c>
      <c r="M28" s="3284" t="s">
        <v>2794</v>
      </c>
      <c r="N28" s="3284" t="s">
        <v>3090</v>
      </c>
      <c r="O28" s="3284" t="s">
        <v>3090</v>
      </c>
      <c r="P28" s="3284" t="s">
        <v>2794</v>
      </c>
      <c r="Q28" s="3284" t="s">
        <v>2794</v>
      </c>
      <c r="R28" s="3284" t="s">
        <v>2794</v>
      </c>
      <c r="S28" s="3284" t="s">
        <v>2794</v>
      </c>
      <c r="T28" s="3284" t="s">
        <v>3274</v>
      </c>
      <c r="U28" s="3284" t="s">
        <v>2794</v>
      </c>
      <c r="V28" s="3284" t="s">
        <v>2794</v>
      </c>
      <c r="W28" s="3284" t="s">
        <v>3153</v>
      </c>
      <c r="X28" s="3284" t="s">
        <v>3275</v>
      </c>
      <c r="Y28" s="3284" t="s">
        <v>3276</v>
      </c>
      <c r="Z28" s="3284" t="s">
        <v>3277</v>
      </c>
      <c r="AA28" s="3284" t="s">
        <v>3277</v>
      </c>
      <c r="AB28" s="3284" t="s">
        <v>3278</v>
      </c>
      <c r="AC28" s="3284" t="s">
        <v>3097</v>
      </c>
      <c r="AD28" s="3284" t="s">
        <v>3173</v>
      </c>
      <c r="AE28" s="3284">
        <v>27117</v>
      </c>
      <c r="AF28" s="3284">
        <v>54234</v>
      </c>
      <c r="AH28" s="3284">
        <v>54234</v>
      </c>
      <c r="AI28" s="3284">
        <v>432.4</v>
      </c>
      <c r="AJ28" s="3284">
        <v>432.4</v>
      </c>
      <c r="AK28" s="3284">
        <v>2594.42</v>
      </c>
      <c r="AL28" s="3284">
        <v>2594.42</v>
      </c>
      <c r="AM28" s="3284" t="s">
        <v>2794</v>
      </c>
      <c r="AN28" s="3284" t="s">
        <v>2794</v>
      </c>
      <c r="AO28" s="3284">
        <v>0</v>
      </c>
      <c r="AP28" s="3284">
        <v>70</v>
      </c>
      <c r="AQ28" s="3284" t="s">
        <v>2794</v>
      </c>
      <c r="AR28" s="3284" t="s">
        <v>2794</v>
      </c>
      <c r="AS28" s="3284" t="s">
        <v>2794</v>
      </c>
      <c r="AT28" s="3284" t="s">
        <v>3138</v>
      </c>
    </row>
    <row r="29" spans="1:46" ht="19.5" customHeight="1">
      <c r="A29" s="3284" t="s">
        <v>3279</v>
      </c>
      <c r="B29" s="3284" t="s">
        <v>3083</v>
      </c>
      <c r="C29" s="3284" t="s">
        <v>3219</v>
      </c>
      <c r="D29" s="3284" t="s">
        <v>3085</v>
      </c>
      <c r="E29" s="3284" t="s">
        <v>2794</v>
      </c>
      <c r="F29" s="3284" t="s">
        <v>3279</v>
      </c>
      <c r="G29" s="3284" t="s">
        <v>3086</v>
      </c>
      <c r="H29" s="3284" t="s">
        <v>3280</v>
      </c>
      <c r="I29" s="3284" t="s">
        <v>3221</v>
      </c>
      <c r="J29" s="3284">
        <v>38382.239999999998</v>
      </c>
      <c r="K29" s="3284">
        <v>95955.6</v>
      </c>
      <c r="L29" s="3284" t="s">
        <v>3264</v>
      </c>
      <c r="M29" s="3284" t="s">
        <v>2794</v>
      </c>
      <c r="N29" s="3284" t="s">
        <v>3090</v>
      </c>
      <c r="O29" s="3284" t="s">
        <v>3090</v>
      </c>
      <c r="P29" s="3284" t="s">
        <v>2794</v>
      </c>
      <c r="Q29" s="3284" t="s">
        <v>2794</v>
      </c>
      <c r="R29" s="3284" t="s">
        <v>2794</v>
      </c>
      <c r="S29" s="3284" t="s">
        <v>2794</v>
      </c>
      <c r="T29" s="3284" t="s">
        <v>3091</v>
      </c>
      <c r="U29" s="3284" t="s">
        <v>2794</v>
      </c>
      <c r="V29" s="3284" t="s">
        <v>2794</v>
      </c>
      <c r="W29" s="3284" t="s">
        <v>3153</v>
      </c>
      <c r="X29" s="3284" t="s">
        <v>3275</v>
      </c>
      <c r="Y29" s="3284" t="s">
        <v>3276</v>
      </c>
      <c r="Z29" s="3284" t="s">
        <v>3277</v>
      </c>
      <c r="AA29" s="3284" t="s">
        <v>3277</v>
      </c>
      <c r="AB29" s="3284" t="s">
        <v>3278</v>
      </c>
      <c r="AC29" s="3284" t="s">
        <v>3097</v>
      </c>
      <c r="AD29" s="3284" t="s">
        <v>3173</v>
      </c>
      <c r="AE29" s="3284">
        <v>12442</v>
      </c>
      <c r="AF29" s="3284">
        <v>24884</v>
      </c>
      <c r="AH29" s="3284">
        <v>24884</v>
      </c>
      <c r="AI29" s="3284">
        <v>432.21</v>
      </c>
      <c r="AJ29" s="3284">
        <v>432.21</v>
      </c>
      <c r="AK29" s="3284">
        <v>2593.2800000000002</v>
      </c>
      <c r="AL29" s="3284">
        <v>2593.2800000000002</v>
      </c>
      <c r="AM29" s="3284" t="s">
        <v>2794</v>
      </c>
      <c r="AN29" s="3284" t="s">
        <v>2794</v>
      </c>
      <c r="AO29" s="3284">
        <v>0</v>
      </c>
      <c r="AP29" s="3284">
        <v>70</v>
      </c>
      <c r="AQ29" s="3284" t="s">
        <v>2794</v>
      </c>
      <c r="AR29" s="3284" t="s">
        <v>2794</v>
      </c>
      <c r="AS29" s="3284" t="s">
        <v>2794</v>
      </c>
      <c r="AT29" s="3284" t="s">
        <v>3138</v>
      </c>
    </row>
    <row r="30" spans="1:46" ht="19.5" customHeight="1">
      <c r="A30" s="3284" t="s">
        <v>3281</v>
      </c>
      <c r="B30" s="3284" t="s">
        <v>3083</v>
      </c>
      <c r="C30" s="3284" t="s">
        <v>3219</v>
      </c>
      <c r="D30" s="3284" t="s">
        <v>3085</v>
      </c>
      <c r="E30" s="3284" t="s">
        <v>2794</v>
      </c>
      <c r="F30" s="3284" t="s">
        <v>3281</v>
      </c>
      <c r="G30" s="3284" t="s">
        <v>3086</v>
      </c>
      <c r="H30" s="3284" t="s">
        <v>3282</v>
      </c>
      <c r="I30" s="3284" t="s">
        <v>3221</v>
      </c>
      <c r="J30" s="3284">
        <v>41388.57</v>
      </c>
      <c r="K30" s="3284">
        <v>103471.43</v>
      </c>
      <c r="L30" s="3284" t="s">
        <v>3264</v>
      </c>
      <c r="M30" s="3284" t="s">
        <v>2794</v>
      </c>
      <c r="N30" s="3284" t="s">
        <v>3090</v>
      </c>
      <c r="O30" s="3284" t="s">
        <v>3090</v>
      </c>
      <c r="P30" s="3284" t="s">
        <v>2794</v>
      </c>
      <c r="Q30" s="3284" t="s">
        <v>2794</v>
      </c>
      <c r="R30" s="3284" t="s">
        <v>2794</v>
      </c>
      <c r="S30" s="3284" t="s">
        <v>2794</v>
      </c>
      <c r="T30" s="3284" t="s">
        <v>2794</v>
      </c>
      <c r="U30" s="3284" t="s">
        <v>2794</v>
      </c>
      <c r="V30" s="3284" t="s">
        <v>2794</v>
      </c>
      <c r="W30" s="3284" t="s">
        <v>3153</v>
      </c>
      <c r="X30" s="3284" t="s">
        <v>3275</v>
      </c>
      <c r="Y30" s="3284" t="s">
        <v>3276</v>
      </c>
      <c r="Z30" s="3284" t="s">
        <v>3277</v>
      </c>
      <c r="AA30" s="3284" t="s">
        <v>3277</v>
      </c>
      <c r="AB30" s="3284" t="s">
        <v>3278</v>
      </c>
      <c r="AC30" s="3284" t="s">
        <v>3097</v>
      </c>
      <c r="AD30" s="3284" t="s">
        <v>3173</v>
      </c>
      <c r="AE30" s="3284">
        <v>13417</v>
      </c>
      <c r="AF30" s="3284">
        <v>26833</v>
      </c>
      <c r="AH30" s="3284">
        <v>26833</v>
      </c>
      <c r="AI30" s="3284">
        <v>432.21</v>
      </c>
      <c r="AJ30" s="3284">
        <v>432.21</v>
      </c>
      <c r="AK30" s="3284">
        <v>2593.27</v>
      </c>
      <c r="AL30" s="3284">
        <v>2593.2800000000002</v>
      </c>
      <c r="AM30" s="3284" t="s">
        <v>2794</v>
      </c>
      <c r="AN30" s="3284" t="s">
        <v>2794</v>
      </c>
      <c r="AO30" s="3284">
        <v>0</v>
      </c>
      <c r="AP30" s="3284">
        <v>70</v>
      </c>
      <c r="AQ30" s="3284" t="s">
        <v>2794</v>
      </c>
      <c r="AR30" s="3284" t="s">
        <v>2794</v>
      </c>
      <c r="AS30" s="3284" t="s">
        <v>2794</v>
      </c>
      <c r="AT30" s="3284" t="s">
        <v>3138</v>
      </c>
    </row>
    <row r="31" spans="1:46" ht="19.5" customHeight="1">
      <c r="A31" s="3284" t="s">
        <v>3283</v>
      </c>
      <c r="B31" s="3284" t="s">
        <v>3083</v>
      </c>
      <c r="C31" s="3284" t="s">
        <v>3219</v>
      </c>
      <c r="D31" s="3284" t="s">
        <v>3085</v>
      </c>
      <c r="E31" s="3284" t="s">
        <v>2794</v>
      </c>
      <c r="F31" s="3284" t="s">
        <v>3283</v>
      </c>
      <c r="G31" s="3284" t="s">
        <v>3086</v>
      </c>
      <c r="H31" s="3284" t="s">
        <v>3284</v>
      </c>
      <c r="I31" s="3284" t="s">
        <v>3221</v>
      </c>
      <c r="J31" s="3284">
        <v>27787.11</v>
      </c>
      <c r="K31" s="3284">
        <v>86140.04</v>
      </c>
      <c r="L31" s="3284" t="s">
        <v>3285</v>
      </c>
      <c r="M31" s="3284" t="s">
        <v>2794</v>
      </c>
      <c r="N31" s="3284" t="s">
        <v>3090</v>
      </c>
      <c r="O31" s="3284" t="s">
        <v>3090</v>
      </c>
      <c r="P31" s="3284" t="s">
        <v>2794</v>
      </c>
      <c r="Q31" s="3284" t="s">
        <v>2794</v>
      </c>
      <c r="R31" s="3284" t="s">
        <v>2794</v>
      </c>
      <c r="S31" s="3284" t="s">
        <v>2794</v>
      </c>
      <c r="T31" s="3284" t="s">
        <v>3091</v>
      </c>
      <c r="U31" s="3284" t="s">
        <v>2794</v>
      </c>
      <c r="V31" s="3284" t="s">
        <v>2794</v>
      </c>
      <c r="W31" s="3284" t="s">
        <v>3153</v>
      </c>
      <c r="X31" s="3284" t="s">
        <v>3275</v>
      </c>
      <c r="Y31" s="3284" t="s">
        <v>3276</v>
      </c>
      <c r="Z31" s="3284" t="s">
        <v>3277</v>
      </c>
      <c r="AA31" s="3284" t="s">
        <v>3277</v>
      </c>
      <c r="AB31" s="3284" t="s">
        <v>3278</v>
      </c>
      <c r="AC31" s="3284" t="s">
        <v>3097</v>
      </c>
      <c r="AD31" s="3284" t="s">
        <v>3173</v>
      </c>
      <c r="AE31" s="3284">
        <v>9657</v>
      </c>
      <c r="AF31" s="3284">
        <v>19313</v>
      </c>
      <c r="AH31" s="3284">
        <v>19313</v>
      </c>
      <c r="AI31" s="3284">
        <v>463.36</v>
      </c>
      <c r="AJ31" s="3284">
        <v>463.36</v>
      </c>
      <c r="AK31" s="3284">
        <v>2242.04</v>
      </c>
      <c r="AL31" s="3284">
        <v>2242.0500000000002</v>
      </c>
      <c r="AM31" s="3284" t="s">
        <v>2794</v>
      </c>
      <c r="AN31" s="3284" t="s">
        <v>2794</v>
      </c>
      <c r="AO31" s="3284">
        <v>0</v>
      </c>
      <c r="AP31" s="3284">
        <v>70</v>
      </c>
      <c r="AQ31" s="3284" t="s">
        <v>2794</v>
      </c>
      <c r="AR31" s="3284" t="s">
        <v>2794</v>
      </c>
      <c r="AS31" s="3284" t="s">
        <v>2794</v>
      </c>
      <c r="AT31" s="3284" t="s">
        <v>3138</v>
      </c>
    </row>
    <row r="32" spans="1:46" ht="19.5" customHeight="1">
      <c r="A32" s="3284" t="s">
        <v>3286</v>
      </c>
      <c r="B32" s="3284" t="s">
        <v>3083</v>
      </c>
      <c r="C32" s="3284" t="s">
        <v>3219</v>
      </c>
      <c r="D32" s="3284" t="s">
        <v>3085</v>
      </c>
      <c r="E32" s="3284" t="s">
        <v>2794</v>
      </c>
      <c r="F32" s="3284" t="s">
        <v>3286</v>
      </c>
      <c r="G32" s="3284" t="s">
        <v>3086</v>
      </c>
      <c r="H32" s="3284" t="s">
        <v>3287</v>
      </c>
      <c r="I32" s="3284" t="s">
        <v>3288</v>
      </c>
      <c r="J32" s="3284">
        <v>51407.03</v>
      </c>
      <c r="K32" s="3284">
        <v>205628.1</v>
      </c>
      <c r="L32" s="3284" t="s">
        <v>3289</v>
      </c>
      <c r="M32" s="3284" t="s">
        <v>2794</v>
      </c>
      <c r="N32" s="3284" t="s">
        <v>3090</v>
      </c>
      <c r="O32" s="3284" t="s">
        <v>3090</v>
      </c>
      <c r="P32" s="3284" t="s">
        <v>2794</v>
      </c>
      <c r="Q32" s="3284" t="s">
        <v>2794</v>
      </c>
      <c r="R32" s="3284" t="s">
        <v>2794</v>
      </c>
      <c r="S32" s="3284" t="s">
        <v>2794</v>
      </c>
      <c r="T32" s="3284" t="s">
        <v>2794</v>
      </c>
      <c r="U32" s="3284" t="s">
        <v>2794</v>
      </c>
      <c r="V32" s="3284" t="s">
        <v>2794</v>
      </c>
      <c r="W32" s="3284" t="s">
        <v>3153</v>
      </c>
      <c r="X32" s="3284" t="s">
        <v>3290</v>
      </c>
      <c r="Y32" s="3284" t="s">
        <v>3291</v>
      </c>
      <c r="Z32" s="3284" t="s">
        <v>3292</v>
      </c>
      <c r="AA32" s="3284" t="s">
        <v>3292</v>
      </c>
      <c r="AB32" s="3284" t="s">
        <v>3293</v>
      </c>
      <c r="AC32" s="3284" t="s">
        <v>3097</v>
      </c>
      <c r="AD32" s="3284" t="s">
        <v>3098</v>
      </c>
      <c r="AE32" s="3284">
        <v>22208</v>
      </c>
      <c r="AF32" s="3284">
        <v>44416</v>
      </c>
      <c r="AH32" s="3284">
        <v>44416</v>
      </c>
      <c r="AI32" s="3284">
        <v>576</v>
      </c>
      <c r="AJ32" s="3284">
        <v>576</v>
      </c>
      <c r="AK32" s="3284">
        <v>2160.0100000000002</v>
      </c>
      <c r="AL32" s="3284">
        <v>2160.0100000000002</v>
      </c>
      <c r="AM32" s="3284" t="s">
        <v>2794</v>
      </c>
      <c r="AN32" s="3284" t="s">
        <v>2794</v>
      </c>
      <c r="AO32" s="3284">
        <v>0</v>
      </c>
      <c r="AP32" s="3284" t="s">
        <v>3294</v>
      </c>
      <c r="AQ32" s="3284" t="s">
        <v>2794</v>
      </c>
      <c r="AR32" s="3284" t="s">
        <v>2794</v>
      </c>
      <c r="AS32" s="3284" t="s">
        <v>2794</v>
      </c>
      <c r="AT32" s="3284" t="s">
        <v>3100</v>
      </c>
    </row>
    <row r="33" spans="1:46" ht="19.5" customHeight="1">
      <c r="A33" s="3284" t="s">
        <v>3295</v>
      </c>
      <c r="B33" s="3284" t="s">
        <v>3083</v>
      </c>
      <c r="C33" s="3284" t="s">
        <v>3219</v>
      </c>
      <c r="D33" s="3284" t="s">
        <v>3085</v>
      </c>
      <c r="E33" s="3284" t="s">
        <v>2794</v>
      </c>
      <c r="F33" s="3284" t="s">
        <v>3295</v>
      </c>
      <c r="G33" s="3284" t="s">
        <v>3086</v>
      </c>
      <c r="H33" s="3284" t="s">
        <v>3296</v>
      </c>
      <c r="I33" s="3284" t="s">
        <v>3288</v>
      </c>
      <c r="J33" s="3284">
        <v>16854.88</v>
      </c>
      <c r="K33" s="3284">
        <v>67419.520000000004</v>
      </c>
      <c r="L33" s="3284" t="s">
        <v>3289</v>
      </c>
      <c r="M33" s="3284" t="s">
        <v>2794</v>
      </c>
      <c r="N33" s="3284" t="s">
        <v>3090</v>
      </c>
      <c r="O33" s="3284" t="s">
        <v>3090</v>
      </c>
      <c r="P33" s="3284" t="s">
        <v>2794</v>
      </c>
      <c r="Q33" s="3284" t="s">
        <v>2794</v>
      </c>
      <c r="R33" s="3284" t="s">
        <v>2794</v>
      </c>
      <c r="S33" s="3284" t="s">
        <v>2794</v>
      </c>
      <c r="T33" s="3284" t="s">
        <v>2794</v>
      </c>
      <c r="U33" s="3284" t="s">
        <v>2794</v>
      </c>
      <c r="V33" s="3284" t="s">
        <v>2794</v>
      </c>
      <c r="W33" s="3284" t="s">
        <v>3153</v>
      </c>
      <c r="X33" s="3284" t="s">
        <v>3290</v>
      </c>
      <c r="Y33" s="3284" t="s">
        <v>3291</v>
      </c>
      <c r="Z33" s="3284" t="s">
        <v>3292</v>
      </c>
      <c r="AA33" s="3284" t="s">
        <v>3292</v>
      </c>
      <c r="AB33" s="3284" t="s">
        <v>3293</v>
      </c>
      <c r="AC33" s="3284" t="s">
        <v>3097</v>
      </c>
      <c r="AD33" s="3284" t="s">
        <v>3098</v>
      </c>
      <c r="AE33" s="3284">
        <v>7170</v>
      </c>
      <c r="AF33" s="3284">
        <v>14339</v>
      </c>
      <c r="AH33" s="3284">
        <v>14339</v>
      </c>
      <c r="AI33" s="3284">
        <v>567.16</v>
      </c>
      <c r="AJ33" s="3284">
        <v>567.16</v>
      </c>
      <c r="AK33" s="3284">
        <v>2126.83</v>
      </c>
      <c r="AL33" s="3284">
        <v>2126.8200000000002</v>
      </c>
      <c r="AM33" s="3284" t="s">
        <v>2794</v>
      </c>
      <c r="AN33" s="3284" t="s">
        <v>2794</v>
      </c>
      <c r="AO33" s="3284">
        <v>0</v>
      </c>
      <c r="AP33" s="3284" t="s">
        <v>3294</v>
      </c>
      <c r="AQ33" s="3284" t="s">
        <v>2794</v>
      </c>
      <c r="AR33" s="3284" t="s">
        <v>2794</v>
      </c>
      <c r="AS33" s="3284" t="s">
        <v>2794</v>
      </c>
      <c r="AT33" s="3284" t="s">
        <v>3100</v>
      </c>
    </row>
    <row r="34" spans="1:46" ht="19.5" customHeight="1">
      <c r="A34" s="3284" t="s">
        <v>3297</v>
      </c>
      <c r="B34" s="3284" t="s">
        <v>3083</v>
      </c>
      <c r="C34" s="3284" t="s">
        <v>3219</v>
      </c>
      <c r="D34" s="3284" t="s">
        <v>3085</v>
      </c>
      <c r="E34" s="3284" t="s">
        <v>2794</v>
      </c>
      <c r="F34" s="3284" t="s">
        <v>3297</v>
      </c>
      <c r="G34" s="3284" t="s">
        <v>3086</v>
      </c>
      <c r="H34" s="3284" t="s">
        <v>3298</v>
      </c>
      <c r="I34" s="3284" t="s">
        <v>3288</v>
      </c>
      <c r="J34" s="3284">
        <v>51050.89</v>
      </c>
      <c r="K34" s="3284">
        <v>199098.5</v>
      </c>
      <c r="L34" s="3284" t="s">
        <v>3299</v>
      </c>
      <c r="M34" s="3284" t="s">
        <v>2794</v>
      </c>
      <c r="N34" s="3284" t="s">
        <v>3090</v>
      </c>
      <c r="O34" s="3284" t="s">
        <v>3090</v>
      </c>
      <c r="P34" s="3284" t="s">
        <v>2794</v>
      </c>
      <c r="Q34" s="3284" t="s">
        <v>2794</v>
      </c>
      <c r="R34" s="3284" t="s">
        <v>2794</v>
      </c>
      <c r="S34" s="3284" t="s">
        <v>2794</v>
      </c>
      <c r="T34" s="3284" t="s">
        <v>2794</v>
      </c>
      <c r="U34" s="3284" t="s">
        <v>2794</v>
      </c>
      <c r="V34" s="3284" t="s">
        <v>2794</v>
      </c>
      <c r="W34" s="3284" t="s">
        <v>3153</v>
      </c>
      <c r="X34" s="3284" t="s">
        <v>3290</v>
      </c>
      <c r="Y34" s="3284" t="s">
        <v>3291</v>
      </c>
      <c r="Z34" s="3284" t="s">
        <v>3292</v>
      </c>
      <c r="AA34" s="3284" t="s">
        <v>3292</v>
      </c>
      <c r="AB34" s="3284" t="s">
        <v>3293</v>
      </c>
      <c r="AC34" s="3284" t="s">
        <v>3097</v>
      </c>
      <c r="AD34" s="3284" t="s">
        <v>3098</v>
      </c>
      <c r="AE34" s="3284">
        <v>21534</v>
      </c>
      <c r="AF34" s="3284">
        <v>43067</v>
      </c>
      <c r="AH34" s="3284">
        <v>43067</v>
      </c>
      <c r="AI34" s="3284">
        <v>562.41</v>
      </c>
      <c r="AJ34" s="3284">
        <v>562.41</v>
      </c>
      <c r="AK34" s="3284">
        <v>2163.09</v>
      </c>
      <c r="AL34" s="3284">
        <v>2163.09</v>
      </c>
      <c r="AM34" s="3284" t="s">
        <v>2794</v>
      </c>
      <c r="AN34" s="3284" t="s">
        <v>2794</v>
      </c>
      <c r="AO34" s="3284">
        <v>0</v>
      </c>
      <c r="AP34" s="3284" t="s">
        <v>3294</v>
      </c>
      <c r="AQ34" s="3284" t="s">
        <v>2794</v>
      </c>
      <c r="AR34" s="3284" t="s">
        <v>2794</v>
      </c>
      <c r="AS34" s="3284" t="s">
        <v>2794</v>
      </c>
      <c r="AT34" s="3284" t="s">
        <v>3100</v>
      </c>
    </row>
    <row r="35" spans="1:46" ht="19.5" customHeight="1">
      <c r="A35" s="3284" t="s">
        <v>3300</v>
      </c>
      <c r="B35" s="3284" t="s">
        <v>3083</v>
      </c>
      <c r="C35" s="3284" t="s">
        <v>3084</v>
      </c>
      <c r="D35" s="3284" t="s">
        <v>3085</v>
      </c>
      <c r="E35" s="3284" t="s">
        <v>2794</v>
      </c>
      <c r="F35" s="3284" t="s">
        <v>3300</v>
      </c>
      <c r="G35" s="3284" t="s">
        <v>3086</v>
      </c>
      <c r="H35" s="3284" t="s">
        <v>3301</v>
      </c>
      <c r="I35" s="3284" t="s">
        <v>2794</v>
      </c>
      <c r="J35" s="3284">
        <v>82432.149999999994</v>
      </c>
      <c r="K35" s="3284">
        <v>370944.7</v>
      </c>
      <c r="L35" s="3284" t="s">
        <v>3302</v>
      </c>
      <c r="M35" s="3284" t="s">
        <v>2794</v>
      </c>
      <c r="N35" s="3284" t="s">
        <v>3090</v>
      </c>
      <c r="O35" s="3284" t="s">
        <v>3090</v>
      </c>
      <c r="P35" s="3284" t="s">
        <v>2794</v>
      </c>
      <c r="Q35" s="3284" t="s">
        <v>2794</v>
      </c>
      <c r="R35" s="3284" t="s">
        <v>2794</v>
      </c>
      <c r="S35" s="3284" t="s">
        <v>2794</v>
      </c>
      <c r="T35" s="3284" t="s">
        <v>2794</v>
      </c>
      <c r="U35" s="3284" t="s">
        <v>2794</v>
      </c>
      <c r="V35" s="3284" t="s">
        <v>2794</v>
      </c>
      <c r="W35" s="3284" t="s">
        <v>3153</v>
      </c>
      <c r="X35" s="3284" t="s">
        <v>3303</v>
      </c>
      <c r="Y35" s="3284" t="s">
        <v>3290</v>
      </c>
      <c r="Z35" s="3284" t="s">
        <v>3304</v>
      </c>
      <c r="AA35" s="3284" t="s">
        <v>3304</v>
      </c>
      <c r="AB35" s="3284" t="s">
        <v>3305</v>
      </c>
      <c r="AC35" s="3284" t="s">
        <v>3097</v>
      </c>
      <c r="AD35" s="3284" t="s">
        <v>3216</v>
      </c>
      <c r="AE35" s="3284">
        <v>37195</v>
      </c>
      <c r="AF35" s="3284">
        <v>74390</v>
      </c>
      <c r="AH35" s="3284">
        <v>74390</v>
      </c>
      <c r="AI35" s="3284">
        <v>601.63</v>
      </c>
      <c r="AJ35" s="3284">
        <v>601.63</v>
      </c>
      <c r="AK35" s="3284">
        <v>2005.42</v>
      </c>
      <c r="AL35" s="3284">
        <v>2005.42</v>
      </c>
      <c r="AM35" s="3284" t="s">
        <v>2794</v>
      </c>
      <c r="AN35" s="3284" t="s">
        <v>2794</v>
      </c>
      <c r="AO35" s="3284">
        <v>0</v>
      </c>
      <c r="AP35" s="3284" t="s">
        <v>3306</v>
      </c>
      <c r="AQ35" s="3284" t="s">
        <v>2794</v>
      </c>
      <c r="AR35" s="3284" t="s">
        <v>2794</v>
      </c>
      <c r="AS35" s="3284" t="s">
        <v>2794</v>
      </c>
      <c r="AT35" s="3284" t="s">
        <v>3138</v>
      </c>
    </row>
    <row r="36" spans="1:46" ht="19.5" customHeight="1">
      <c r="A36" s="3284" t="s">
        <v>3307</v>
      </c>
      <c r="B36" s="3284" t="s">
        <v>3083</v>
      </c>
      <c r="C36" s="3284" t="s">
        <v>3219</v>
      </c>
      <c r="D36" s="3284" t="s">
        <v>3085</v>
      </c>
      <c r="E36" s="3284" t="s">
        <v>2794</v>
      </c>
      <c r="F36" s="3284" t="s">
        <v>3307</v>
      </c>
      <c r="G36" s="3284" t="s">
        <v>3086</v>
      </c>
      <c r="H36" s="3284" t="s">
        <v>3308</v>
      </c>
      <c r="I36" s="3284" t="s">
        <v>3288</v>
      </c>
      <c r="J36" s="3284">
        <v>4855.7</v>
      </c>
      <c r="K36" s="3284">
        <v>16994.95</v>
      </c>
      <c r="L36" s="3284" t="s">
        <v>3309</v>
      </c>
      <c r="M36" s="3284" t="s">
        <v>2794</v>
      </c>
      <c r="N36" s="3284" t="s">
        <v>3090</v>
      </c>
      <c r="O36" s="3284" t="s">
        <v>3090</v>
      </c>
      <c r="P36" s="3284" t="s">
        <v>2794</v>
      </c>
      <c r="Q36" s="3284" t="s">
        <v>2794</v>
      </c>
      <c r="R36" s="3284" t="s">
        <v>2794</v>
      </c>
      <c r="S36" s="3284" t="s">
        <v>2794</v>
      </c>
      <c r="T36" s="3284" t="s">
        <v>3244</v>
      </c>
      <c r="U36" s="3284" t="s">
        <v>2794</v>
      </c>
      <c r="V36" s="3284" t="s">
        <v>2794</v>
      </c>
      <c r="W36" s="3284" t="s">
        <v>3310</v>
      </c>
      <c r="X36" s="3284" t="s">
        <v>3311</v>
      </c>
      <c r="Y36" s="3284" t="s">
        <v>3312</v>
      </c>
      <c r="Z36" s="3284" t="s">
        <v>3313</v>
      </c>
      <c r="AA36" s="3284" t="s">
        <v>3313</v>
      </c>
      <c r="AB36" s="3284" t="s">
        <v>3314</v>
      </c>
      <c r="AC36" s="3284" t="s">
        <v>3097</v>
      </c>
      <c r="AD36" s="3284" t="s">
        <v>3315</v>
      </c>
      <c r="AE36" s="3284">
        <v>2280</v>
      </c>
      <c r="AF36" s="3284">
        <v>4556</v>
      </c>
      <c r="AH36" s="3284">
        <v>4556</v>
      </c>
      <c r="AI36" s="3284">
        <v>625.52</v>
      </c>
      <c r="AJ36" s="3284">
        <v>625.52</v>
      </c>
      <c r="AK36" s="3284">
        <v>2680.79</v>
      </c>
      <c r="AL36" s="3284">
        <v>2680.8</v>
      </c>
      <c r="AM36" s="3284" t="s">
        <v>2794</v>
      </c>
      <c r="AN36" s="3284" t="s">
        <v>2794</v>
      </c>
      <c r="AO36" s="3284">
        <v>0</v>
      </c>
      <c r="AP36" s="3284" t="s">
        <v>3294</v>
      </c>
      <c r="AQ36" s="3284" t="s">
        <v>2794</v>
      </c>
      <c r="AR36" s="3284" t="s">
        <v>2794</v>
      </c>
      <c r="AS36" s="3284" t="s">
        <v>2794</v>
      </c>
      <c r="AT36" s="3284" t="s">
        <v>3138</v>
      </c>
    </row>
    <row r="37" spans="1:46" ht="19.5" customHeight="1">
      <c r="A37" s="3284" t="s">
        <v>3316</v>
      </c>
      <c r="B37" s="3284" t="s">
        <v>3083</v>
      </c>
      <c r="C37" s="3284" t="s">
        <v>3219</v>
      </c>
      <c r="D37" s="3284" t="s">
        <v>3085</v>
      </c>
      <c r="E37" s="3284" t="s">
        <v>2794</v>
      </c>
      <c r="F37" s="3284" t="s">
        <v>3316</v>
      </c>
      <c r="G37" s="3284" t="s">
        <v>3086</v>
      </c>
      <c r="H37" s="3284" t="s">
        <v>3317</v>
      </c>
      <c r="I37" s="3284" t="s">
        <v>3288</v>
      </c>
      <c r="J37" s="3284">
        <v>63387.67</v>
      </c>
      <c r="K37" s="3284">
        <v>285244.5</v>
      </c>
      <c r="L37" s="3284" t="s">
        <v>3318</v>
      </c>
      <c r="M37" s="3284" t="s">
        <v>2794</v>
      </c>
      <c r="N37" s="3284" t="s">
        <v>3090</v>
      </c>
      <c r="O37" s="3284" t="s">
        <v>3090</v>
      </c>
      <c r="P37" s="3284" t="s">
        <v>2794</v>
      </c>
      <c r="Q37" s="3284" t="s">
        <v>2794</v>
      </c>
      <c r="R37" s="3284" t="s">
        <v>2794</v>
      </c>
      <c r="S37" s="3284" t="s">
        <v>2794</v>
      </c>
      <c r="T37" s="3284" t="s">
        <v>3244</v>
      </c>
      <c r="U37" s="3284" t="s">
        <v>2794</v>
      </c>
      <c r="V37" s="3284" t="s">
        <v>2794</v>
      </c>
      <c r="W37" s="3284" t="s">
        <v>3310</v>
      </c>
      <c r="X37" s="3284" t="s">
        <v>3311</v>
      </c>
      <c r="Y37" s="3284" t="s">
        <v>3312</v>
      </c>
      <c r="Z37" s="3284" t="s">
        <v>3313</v>
      </c>
      <c r="AA37" s="3284" t="s">
        <v>3313</v>
      </c>
      <c r="AB37" s="3284" t="s">
        <v>3319</v>
      </c>
      <c r="AC37" s="3284" t="s">
        <v>3097</v>
      </c>
      <c r="AD37" s="3284" t="s">
        <v>3216</v>
      </c>
      <c r="AE37" s="3284">
        <v>27625</v>
      </c>
      <c r="AF37" s="3284">
        <v>55250</v>
      </c>
      <c r="AH37" s="3284">
        <v>55250</v>
      </c>
      <c r="AI37" s="3284">
        <v>581.08000000000004</v>
      </c>
      <c r="AJ37" s="3284">
        <v>581.08000000000004</v>
      </c>
      <c r="AK37" s="3284">
        <v>1936.93</v>
      </c>
      <c r="AL37" s="3284">
        <v>1936.93</v>
      </c>
      <c r="AM37" s="3284" t="s">
        <v>2794</v>
      </c>
      <c r="AN37" s="3284" t="s">
        <v>2794</v>
      </c>
      <c r="AO37" s="3284">
        <v>0</v>
      </c>
      <c r="AP37" s="3284" t="s">
        <v>3294</v>
      </c>
      <c r="AQ37" s="3284" t="s">
        <v>2794</v>
      </c>
      <c r="AR37" s="3284" t="s">
        <v>2794</v>
      </c>
      <c r="AS37" s="3284" t="s">
        <v>2794</v>
      </c>
      <c r="AT37" s="3284" t="s">
        <v>3138</v>
      </c>
    </row>
    <row r="38" spans="1:46" ht="19.5" customHeight="1">
      <c r="A38" s="3284" t="s">
        <v>3320</v>
      </c>
      <c r="B38" s="3284" t="s">
        <v>3083</v>
      </c>
      <c r="C38" s="3284" t="s">
        <v>3219</v>
      </c>
      <c r="D38" s="3284" t="s">
        <v>3085</v>
      </c>
      <c r="E38" s="3284" t="s">
        <v>2794</v>
      </c>
      <c r="F38" s="3284" t="s">
        <v>3320</v>
      </c>
      <c r="G38" s="3284" t="s">
        <v>3086</v>
      </c>
      <c r="H38" s="3284" t="s">
        <v>3321</v>
      </c>
      <c r="I38" s="3284" t="s">
        <v>3288</v>
      </c>
      <c r="J38" s="3284">
        <v>58178.48</v>
      </c>
      <c r="K38" s="3284">
        <v>290892.40000000002</v>
      </c>
      <c r="L38" s="3284" t="s">
        <v>3322</v>
      </c>
      <c r="M38" s="3284" t="s">
        <v>2794</v>
      </c>
      <c r="N38" s="3284" t="s">
        <v>3090</v>
      </c>
      <c r="O38" s="3284" t="s">
        <v>3090</v>
      </c>
      <c r="P38" s="3284" t="s">
        <v>2794</v>
      </c>
      <c r="Q38" s="3284" t="s">
        <v>2794</v>
      </c>
      <c r="R38" s="3284" t="s">
        <v>2794</v>
      </c>
      <c r="S38" s="3284" t="s">
        <v>2794</v>
      </c>
      <c r="T38" s="3284" t="s">
        <v>3244</v>
      </c>
      <c r="U38" s="3284" t="s">
        <v>2794</v>
      </c>
      <c r="V38" s="3284" t="s">
        <v>2794</v>
      </c>
      <c r="W38" s="3284" t="s">
        <v>3310</v>
      </c>
      <c r="X38" s="3284" t="s">
        <v>3311</v>
      </c>
      <c r="Y38" s="3284" t="s">
        <v>3312</v>
      </c>
      <c r="Z38" s="3284" t="s">
        <v>3313</v>
      </c>
      <c r="AA38" s="3284" t="s">
        <v>3313</v>
      </c>
      <c r="AB38" s="3284" t="s">
        <v>3323</v>
      </c>
      <c r="AC38" s="3284" t="s">
        <v>3097</v>
      </c>
      <c r="AD38" s="3284" t="s">
        <v>3324</v>
      </c>
      <c r="AE38" s="3284">
        <v>31880</v>
      </c>
      <c r="AF38" s="3284">
        <v>63758</v>
      </c>
      <c r="AH38" s="3284">
        <v>63758</v>
      </c>
      <c r="AI38" s="3284">
        <v>730.6</v>
      </c>
      <c r="AJ38" s="3284">
        <v>730.6</v>
      </c>
      <c r="AK38" s="3284">
        <v>2191.8000000000002</v>
      </c>
      <c r="AL38" s="3284">
        <v>2191.8000000000002</v>
      </c>
      <c r="AM38" s="3284" t="s">
        <v>2794</v>
      </c>
      <c r="AN38" s="3284" t="s">
        <v>2794</v>
      </c>
      <c r="AO38" s="3284">
        <v>0</v>
      </c>
      <c r="AP38" s="3284" t="s">
        <v>3294</v>
      </c>
      <c r="AQ38" s="3284" t="s">
        <v>2794</v>
      </c>
      <c r="AR38" s="3284" t="s">
        <v>2794</v>
      </c>
      <c r="AS38" s="3284" t="s">
        <v>2794</v>
      </c>
      <c r="AT38" s="3284" t="s">
        <v>3100</v>
      </c>
    </row>
    <row r="39" spans="1:46" ht="19.5" customHeight="1">
      <c r="A39" s="3284" t="s">
        <v>3325</v>
      </c>
      <c r="B39" s="3284" t="s">
        <v>3083</v>
      </c>
      <c r="C39" s="3284" t="s">
        <v>3219</v>
      </c>
      <c r="D39" s="3284" t="s">
        <v>3085</v>
      </c>
      <c r="E39" s="3284" t="s">
        <v>2794</v>
      </c>
      <c r="F39" s="3284" t="s">
        <v>3325</v>
      </c>
      <c r="G39" s="3284" t="s">
        <v>3086</v>
      </c>
      <c r="H39" s="3284" t="s">
        <v>3326</v>
      </c>
      <c r="I39" s="3284" t="s">
        <v>3288</v>
      </c>
      <c r="J39" s="3284">
        <v>23308.880000000001</v>
      </c>
      <c r="K39" s="3284">
        <v>139853.29999999999</v>
      </c>
      <c r="L39" s="3284" t="s">
        <v>3327</v>
      </c>
      <c r="M39" s="3284" t="s">
        <v>2794</v>
      </c>
      <c r="N39" s="3284" t="s">
        <v>3090</v>
      </c>
      <c r="O39" s="3284" t="s">
        <v>3090</v>
      </c>
      <c r="P39" s="3284" t="s">
        <v>2794</v>
      </c>
      <c r="Q39" s="3284" t="s">
        <v>2794</v>
      </c>
      <c r="R39" s="3284" t="s">
        <v>2794</v>
      </c>
      <c r="S39" s="3284" t="s">
        <v>2794</v>
      </c>
      <c r="T39" s="3284" t="s">
        <v>3244</v>
      </c>
      <c r="U39" s="3284" t="s">
        <v>2794</v>
      </c>
      <c r="V39" s="3284" t="s">
        <v>2794</v>
      </c>
      <c r="W39" s="3284" t="s">
        <v>3310</v>
      </c>
      <c r="X39" s="3284" t="s">
        <v>3311</v>
      </c>
      <c r="Y39" s="3284" t="s">
        <v>3312</v>
      </c>
      <c r="Z39" s="3284" t="s">
        <v>3313</v>
      </c>
      <c r="AA39" s="3284" t="s">
        <v>3313</v>
      </c>
      <c r="AB39" s="3284" t="s">
        <v>3328</v>
      </c>
      <c r="AC39" s="3284" t="s">
        <v>3097</v>
      </c>
      <c r="AD39" s="3284" t="s">
        <v>3315</v>
      </c>
      <c r="AE39" s="3284">
        <v>15098</v>
      </c>
      <c r="AF39" s="3284">
        <v>30196</v>
      </c>
      <c r="AH39" s="3284">
        <v>30196</v>
      </c>
      <c r="AI39" s="3284">
        <v>863.65</v>
      </c>
      <c r="AJ39" s="3284">
        <v>863.65</v>
      </c>
      <c r="AK39" s="3284">
        <v>2159.11</v>
      </c>
      <c r="AL39" s="3284">
        <v>2159.11</v>
      </c>
      <c r="AM39" s="3284" t="s">
        <v>2794</v>
      </c>
      <c r="AN39" s="3284" t="s">
        <v>2794</v>
      </c>
      <c r="AO39" s="3284">
        <v>0</v>
      </c>
      <c r="AP39" s="3284" t="s">
        <v>3294</v>
      </c>
      <c r="AQ39" s="3284" t="s">
        <v>2794</v>
      </c>
      <c r="AR39" s="3284" t="s">
        <v>2794</v>
      </c>
      <c r="AS39" s="3284" t="s">
        <v>2794</v>
      </c>
      <c r="AT39" s="3284" t="s">
        <v>3138</v>
      </c>
    </row>
    <row r="40" spans="1:46" ht="19.5" customHeight="1">
      <c r="A40" s="3284" t="s">
        <v>3307</v>
      </c>
      <c r="B40" s="3284" t="s">
        <v>3083</v>
      </c>
      <c r="C40" s="3284" t="s">
        <v>3219</v>
      </c>
      <c r="D40" s="3284" t="s">
        <v>3085</v>
      </c>
      <c r="E40" s="3284" t="s">
        <v>2794</v>
      </c>
      <c r="F40" s="3284" t="s">
        <v>3307</v>
      </c>
      <c r="G40" s="3284" t="s">
        <v>3086</v>
      </c>
      <c r="H40" s="3284" t="s">
        <v>3329</v>
      </c>
      <c r="I40" s="3284" t="s">
        <v>3288</v>
      </c>
      <c r="J40" s="3284">
        <v>24508.93</v>
      </c>
      <c r="K40" s="3284">
        <v>134799.1</v>
      </c>
      <c r="L40" s="3284" t="s">
        <v>3330</v>
      </c>
      <c r="M40" s="3284" t="s">
        <v>2794</v>
      </c>
      <c r="N40" s="3284" t="s">
        <v>3090</v>
      </c>
      <c r="O40" s="3284" t="s">
        <v>3090</v>
      </c>
      <c r="P40" s="3284" t="s">
        <v>2794</v>
      </c>
      <c r="Q40" s="3284" t="s">
        <v>2794</v>
      </c>
      <c r="R40" s="3284" t="s">
        <v>2794</v>
      </c>
      <c r="S40" s="3284" t="s">
        <v>2794</v>
      </c>
      <c r="T40" s="3284" t="s">
        <v>3244</v>
      </c>
      <c r="U40" s="3284" t="s">
        <v>2794</v>
      </c>
      <c r="V40" s="3284" t="s">
        <v>2794</v>
      </c>
      <c r="W40" s="3284" t="s">
        <v>3310</v>
      </c>
      <c r="X40" s="3284" t="s">
        <v>3331</v>
      </c>
      <c r="Y40" s="3284" t="s">
        <v>3332</v>
      </c>
      <c r="Z40" s="3284" t="s">
        <v>3333</v>
      </c>
      <c r="AA40" s="3284" t="s">
        <v>3333</v>
      </c>
      <c r="AB40" s="3284" t="s">
        <v>3334</v>
      </c>
      <c r="AC40" s="3284" t="s">
        <v>3097</v>
      </c>
      <c r="AD40" s="3284" t="s">
        <v>3335</v>
      </c>
      <c r="AE40" s="3284">
        <v>15300</v>
      </c>
      <c r="AF40" s="3284">
        <v>30561</v>
      </c>
      <c r="AH40" s="3284">
        <v>30561</v>
      </c>
      <c r="AI40" s="3284">
        <v>831.29</v>
      </c>
      <c r="AJ40" s="3284">
        <v>831.29</v>
      </c>
      <c r="AK40" s="3284">
        <v>2267.15</v>
      </c>
      <c r="AL40" s="3284">
        <v>2267.15</v>
      </c>
      <c r="AM40" s="3284" t="s">
        <v>2794</v>
      </c>
      <c r="AN40" s="3284" t="s">
        <v>2794</v>
      </c>
      <c r="AO40" s="3284">
        <v>0</v>
      </c>
      <c r="AP40" s="3284" t="s">
        <v>3294</v>
      </c>
      <c r="AQ40" s="3284" t="s">
        <v>2794</v>
      </c>
      <c r="AR40" s="3284" t="s">
        <v>2794</v>
      </c>
      <c r="AS40" s="3284" t="s">
        <v>2794</v>
      </c>
      <c r="AT40" s="3284" t="s">
        <v>3138</v>
      </c>
    </row>
    <row r="41" spans="1:46" ht="19.5" customHeight="1">
      <c r="A41" s="3284" t="s">
        <v>3336</v>
      </c>
      <c r="B41" s="3284" t="s">
        <v>3083</v>
      </c>
      <c r="C41" s="3284" t="s">
        <v>3219</v>
      </c>
      <c r="D41" s="3284" t="s">
        <v>3085</v>
      </c>
      <c r="E41" s="3284" t="s">
        <v>2794</v>
      </c>
      <c r="F41" s="3284" t="s">
        <v>3336</v>
      </c>
      <c r="G41" s="3284" t="s">
        <v>3086</v>
      </c>
      <c r="H41" s="3284" t="s">
        <v>3337</v>
      </c>
      <c r="I41" s="3284" t="s">
        <v>3288</v>
      </c>
      <c r="J41" s="3284">
        <v>76756.55</v>
      </c>
      <c r="K41" s="3284">
        <v>268647.90000000002</v>
      </c>
      <c r="L41" s="3284" t="s">
        <v>3338</v>
      </c>
      <c r="M41" s="3284" t="s">
        <v>2794</v>
      </c>
      <c r="N41" s="3284" t="s">
        <v>3090</v>
      </c>
      <c r="O41" s="3284" t="s">
        <v>3090</v>
      </c>
      <c r="P41" s="3284" t="s">
        <v>2794</v>
      </c>
      <c r="Q41" s="3284" t="s">
        <v>2794</v>
      </c>
      <c r="R41" s="3284" t="s">
        <v>2794</v>
      </c>
      <c r="S41" s="3284" t="s">
        <v>2794</v>
      </c>
      <c r="T41" s="3284" t="s">
        <v>3091</v>
      </c>
      <c r="U41" s="3284" t="s">
        <v>2794</v>
      </c>
      <c r="V41" s="3284" t="s">
        <v>2794</v>
      </c>
      <c r="W41" s="3284" t="s">
        <v>3310</v>
      </c>
      <c r="X41" s="3284" t="s">
        <v>3339</v>
      </c>
      <c r="Y41" s="3284" t="s">
        <v>3340</v>
      </c>
      <c r="Z41" s="3284" t="s">
        <v>3341</v>
      </c>
      <c r="AA41" s="3284" t="s">
        <v>3341</v>
      </c>
      <c r="AB41" s="3284" t="s">
        <v>3342</v>
      </c>
      <c r="AC41" s="3284" t="s">
        <v>3097</v>
      </c>
      <c r="AD41" s="3284" t="s">
        <v>3136</v>
      </c>
      <c r="AE41" s="3284">
        <v>27300</v>
      </c>
      <c r="AF41" s="3284">
        <v>54586</v>
      </c>
      <c r="AH41" s="3284">
        <v>54586</v>
      </c>
      <c r="AI41" s="3284">
        <v>474.11</v>
      </c>
      <c r="AJ41" s="3284">
        <v>474.11</v>
      </c>
      <c r="AK41" s="3284">
        <v>2031.87</v>
      </c>
      <c r="AL41" s="3284">
        <v>2031.88</v>
      </c>
      <c r="AM41" s="3284" t="s">
        <v>2794</v>
      </c>
      <c r="AN41" s="3284" t="s">
        <v>2794</v>
      </c>
      <c r="AO41" s="3284">
        <v>0</v>
      </c>
      <c r="AP41" s="3284" t="s">
        <v>3294</v>
      </c>
      <c r="AQ41" s="3284" t="s">
        <v>2794</v>
      </c>
      <c r="AR41" s="3284" t="s">
        <v>2794</v>
      </c>
      <c r="AS41" s="3284" t="s">
        <v>2794</v>
      </c>
      <c r="AT41" s="3284" t="s">
        <v>3138</v>
      </c>
    </row>
    <row r="42" spans="1:46" ht="19.5" customHeight="1">
      <c r="A42" s="3284" t="s">
        <v>3343</v>
      </c>
      <c r="B42" s="3284" t="s">
        <v>3083</v>
      </c>
      <c r="C42" s="3284" t="s">
        <v>3219</v>
      </c>
      <c r="D42" s="3284" t="s">
        <v>3085</v>
      </c>
      <c r="E42" s="3284" t="s">
        <v>2794</v>
      </c>
      <c r="F42" s="3284" t="s">
        <v>3343</v>
      </c>
      <c r="G42" s="3284" t="s">
        <v>3086</v>
      </c>
      <c r="H42" s="3284" t="s">
        <v>3344</v>
      </c>
      <c r="I42" s="3284" t="s">
        <v>3288</v>
      </c>
      <c r="J42" s="3284">
        <v>46390.59</v>
      </c>
      <c r="K42" s="3284">
        <v>162367.1</v>
      </c>
      <c r="L42" s="3284" t="s">
        <v>3338</v>
      </c>
      <c r="M42" s="3284" t="s">
        <v>2794</v>
      </c>
      <c r="N42" s="3284" t="s">
        <v>3090</v>
      </c>
      <c r="O42" s="3284" t="s">
        <v>3090</v>
      </c>
      <c r="P42" s="3284" t="s">
        <v>2794</v>
      </c>
      <c r="Q42" s="3284" t="s">
        <v>2794</v>
      </c>
      <c r="R42" s="3284" t="s">
        <v>2794</v>
      </c>
      <c r="S42" s="3284" t="s">
        <v>2794</v>
      </c>
      <c r="T42" s="3284" t="s">
        <v>3091</v>
      </c>
      <c r="U42" s="3284" t="s">
        <v>2794</v>
      </c>
      <c r="V42" s="3284" t="s">
        <v>2794</v>
      </c>
      <c r="W42" s="3284" t="s">
        <v>3310</v>
      </c>
      <c r="X42" s="3284" t="s">
        <v>3339</v>
      </c>
      <c r="Y42" s="3284" t="s">
        <v>3340</v>
      </c>
      <c r="Z42" s="3284" t="s">
        <v>3341</v>
      </c>
      <c r="AA42" s="3284" t="s">
        <v>3341</v>
      </c>
      <c r="AB42" s="3284" t="s">
        <v>3342</v>
      </c>
      <c r="AC42" s="3284" t="s">
        <v>3097</v>
      </c>
      <c r="AD42" s="3284" t="s">
        <v>3136</v>
      </c>
      <c r="AE42" s="3284">
        <v>16920</v>
      </c>
      <c r="AF42" s="3284">
        <v>33840</v>
      </c>
      <c r="AH42" s="3284">
        <v>33840</v>
      </c>
      <c r="AI42" s="3284">
        <v>486.31</v>
      </c>
      <c r="AJ42" s="3284">
        <v>486.31</v>
      </c>
      <c r="AK42" s="3284">
        <v>2084.16</v>
      </c>
      <c r="AL42" s="3284">
        <v>2084.17</v>
      </c>
      <c r="AM42" s="3284" t="s">
        <v>2794</v>
      </c>
      <c r="AN42" s="3284" t="s">
        <v>2794</v>
      </c>
      <c r="AO42" s="3284">
        <v>0</v>
      </c>
      <c r="AP42" s="3284" t="s">
        <v>3294</v>
      </c>
      <c r="AQ42" s="3284" t="s">
        <v>2794</v>
      </c>
      <c r="AR42" s="3284" t="s">
        <v>2794</v>
      </c>
      <c r="AS42" s="3284" t="s">
        <v>2794</v>
      </c>
      <c r="AT42" s="3284" t="s">
        <v>3138</v>
      </c>
    </row>
    <row r="43" spans="1:46" ht="19.5" customHeight="1">
      <c r="A43" s="3284" t="s">
        <v>3345</v>
      </c>
      <c r="B43" s="3284" t="s">
        <v>3083</v>
      </c>
      <c r="C43" s="3284" t="s">
        <v>3219</v>
      </c>
      <c r="D43" s="3284" t="s">
        <v>3085</v>
      </c>
      <c r="E43" s="3284" t="s">
        <v>2794</v>
      </c>
      <c r="F43" s="3284" t="s">
        <v>3345</v>
      </c>
      <c r="G43" s="3284" t="s">
        <v>3086</v>
      </c>
      <c r="H43" s="3284" t="s">
        <v>3346</v>
      </c>
      <c r="I43" s="3284" t="s">
        <v>3288</v>
      </c>
      <c r="J43" s="3284">
        <v>46299.71</v>
      </c>
      <c r="K43" s="3284">
        <v>162049</v>
      </c>
      <c r="L43" s="3284" t="s">
        <v>3338</v>
      </c>
      <c r="M43" s="3284" t="s">
        <v>2794</v>
      </c>
      <c r="N43" s="3284" t="s">
        <v>3090</v>
      </c>
      <c r="O43" s="3284" t="s">
        <v>3090</v>
      </c>
      <c r="P43" s="3284" t="s">
        <v>2794</v>
      </c>
      <c r="Q43" s="3284" t="s">
        <v>2794</v>
      </c>
      <c r="R43" s="3284" t="s">
        <v>2794</v>
      </c>
      <c r="S43" s="3284" t="s">
        <v>2794</v>
      </c>
      <c r="T43" s="3284" t="s">
        <v>3091</v>
      </c>
      <c r="U43" s="3284" t="s">
        <v>2794</v>
      </c>
      <c r="V43" s="3284" t="s">
        <v>2794</v>
      </c>
      <c r="W43" s="3284" t="s">
        <v>3310</v>
      </c>
      <c r="X43" s="3284" t="s">
        <v>3339</v>
      </c>
      <c r="Y43" s="3284" t="s">
        <v>3340</v>
      </c>
      <c r="Z43" s="3284" t="s">
        <v>3341</v>
      </c>
      <c r="AA43" s="3284" t="s">
        <v>3341</v>
      </c>
      <c r="AB43" s="3284" t="s">
        <v>3342</v>
      </c>
      <c r="AC43" s="3284" t="s">
        <v>3097</v>
      </c>
      <c r="AD43" s="3284" t="s">
        <v>3136</v>
      </c>
      <c r="AE43" s="3284">
        <v>16887</v>
      </c>
      <c r="AF43" s="3284">
        <v>33774</v>
      </c>
      <c r="AH43" s="3284">
        <v>33774</v>
      </c>
      <c r="AI43" s="3284">
        <v>486.31</v>
      </c>
      <c r="AJ43" s="3284">
        <v>486.31</v>
      </c>
      <c r="AK43" s="3284">
        <v>2084.1799999999998</v>
      </c>
      <c r="AL43" s="3284">
        <v>2084.17</v>
      </c>
      <c r="AM43" s="3284" t="s">
        <v>2794</v>
      </c>
      <c r="AN43" s="3284" t="s">
        <v>2794</v>
      </c>
      <c r="AO43" s="3284">
        <v>0</v>
      </c>
      <c r="AP43" s="3284" t="s">
        <v>3294</v>
      </c>
      <c r="AQ43" s="3284" t="s">
        <v>2794</v>
      </c>
      <c r="AR43" s="3284" t="s">
        <v>2794</v>
      </c>
      <c r="AS43" s="3284" t="s">
        <v>2794</v>
      </c>
      <c r="AT43" s="3284" t="s">
        <v>3138</v>
      </c>
    </row>
    <row r="44" spans="1:46" ht="19.5" customHeight="1">
      <c r="A44" s="3284" t="s">
        <v>3347</v>
      </c>
      <c r="B44" s="3284" t="s">
        <v>3083</v>
      </c>
      <c r="C44" s="3284" t="s">
        <v>3219</v>
      </c>
      <c r="D44" s="3284" t="s">
        <v>3085</v>
      </c>
      <c r="E44" s="3284" t="s">
        <v>2794</v>
      </c>
      <c r="F44" s="3284" t="s">
        <v>3347</v>
      </c>
      <c r="G44" s="3284" t="s">
        <v>3086</v>
      </c>
      <c r="H44" s="3284" t="s">
        <v>3348</v>
      </c>
      <c r="I44" s="3284" t="s">
        <v>3288</v>
      </c>
      <c r="J44" s="3284">
        <v>129526.8</v>
      </c>
      <c r="K44" s="3284">
        <v>453343.6</v>
      </c>
      <c r="L44" s="3284" t="s">
        <v>3309</v>
      </c>
      <c r="M44" s="3284" t="s">
        <v>2794</v>
      </c>
      <c r="N44" s="3284" t="s">
        <v>3090</v>
      </c>
      <c r="O44" s="3284" t="s">
        <v>3090</v>
      </c>
      <c r="P44" s="3284" t="s">
        <v>2794</v>
      </c>
      <c r="Q44" s="3284" t="s">
        <v>2794</v>
      </c>
      <c r="R44" s="3284" t="s">
        <v>2794</v>
      </c>
      <c r="S44" s="3284" t="s">
        <v>2794</v>
      </c>
      <c r="T44" s="3284" t="s">
        <v>3091</v>
      </c>
      <c r="U44" s="3284" t="s">
        <v>2794</v>
      </c>
      <c r="V44" s="3284" t="s">
        <v>2794</v>
      </c>
      <c r="W44" s="3284" t="s">
        <v>3310</v>
      </c>
      <c r="X44" s="3284" t="s">
        <v>3349</v>
      </c>
      <c r="Y44" s="3284" t="s">
        <v>3350</v>
      </c>
      <c r="Z44" s="3284" t="s">
        <v>3351</v>
      </c>
      <c r="AA44" s="3284" t="s">
        <v>3351</v>
      </c>
      <c r="AB44" s="3284" t="s">
        <v>3352</v>
      </c>
      <c r="AC44" s="3284" t="s">
        <v>3097</v>
      </c>
      <c r="AD44" s="3284" t="s">
        <v>3353</v>
      </c>
      <c r="AE44" s="3284">
        <v>39006</v>
      </c>
      <c r="AF44" s="3284">
        <v>78012</v>
      </c>
      <c r="AH44" s="3284">
        <v>78012</v>
      </c>
      <c r="AI44" s="3284">
        <v>401.52</v>
      </c>
      <c r="AJ44" s="3284">
        <v>401.52</v>
      </c>
      <c r="AK44" s="3284">
        <v>1720.81</v>
      </c>
      <c r="AL44" s="3284">
        <v>1720.8</v>
      </c>
      <c r="AM44" s="3284" t="s">
        <v>2794</v>
      </c>
      <c r="AN44" s="3284" t="s">
        <v>2794</v>
      </c>
      <c r="AO44" s="3284">
        <v>0</v>
      </c>
      <c r="AP44" s="3284" t="s">
        <v>3294</v>
      </c>
      <c r="AQ44" s="3284" t="s">
        <v>2794</v>
      </c>
      <c r="AR44" s="3284" t="s">
        <v>2794</v>
      </c>
      <c r="AS44" s="3284" t="s">
        <v>2794</v>
      </c>
      <c r="AT44" s="3284" t="s">
        <v>3138</v>
      </c>
    </row>
    <row r="45" spans="1:46" ht="19.5" customHeight="1">
      <c r="A45" s="3284" t="s">
        <v>3354</v>
      </c>
      <c r="B45" s="3284" t="s">
        <v>3083</v>
      </c>
      <c r="C45" s="3284" t="s">
        <v>3084</v>
      </c>
      <c r="D45" s="3284" t="s">
        <v>3085</v>
      </c>
      <c r="E45" s="3284" t="s">
        <v>2794</v>
      </c>
      <c r="F45" s="3284" t="s">
        <v>3354</v>
      </c>
      <c r="G45" s="3284" t="s">
        <v>3086</v>
      </c>
      <c r="H45" s="3284" t="s">
        <v>3355</v>
      </c>
      <c r="I45" s="3284" t="s">
        <v>3356</v>
      </c>
      <c r="J45" s="3284">
        <v>21069.55</v>
      </c>
      <c r="K45" s="3284">
        <v>84278.2</v>
      </c>
      <c r="L45" s="3284" t="s">
        <v>3357</v>
      </c>
      <c r="M45" s="3284" t="s">
        <v>2794</v>
      </c>
      <c r="N45" s="3284" t="s">
        <v>3090</v>
      </c>
      <c r="O45" s="3284" t="s">
        <v>3090</v>
      </c>
      <c r="P45" s="3284" t="s">
        <v>2794</v>
      </c>
      <c r="Q45" s="3284" t="s">
        <v>2794</v>
      </c>
      <c r="R45" s="3284" t="s">
        <v>2794</v>
      </c>
      <c r="S45" s="3284" t="s">
        <v>2794</v>
      </c>
      <c r="T45" s="3284" t="s">
        <v>3091</v>
      </c>
      <c r="U45" s="3284" t="s">
        <v>2794</v>
      </c>
      <c r="V45" s="3284" t="s">
        <v>2794</v>
      </c>
      <c r="W45" s="3284" t="s">
        <v>3310</v>
      </c>
      <c r="X45" s="3284" t="s">
        <v>3358</v>
      </c>
      <c r="Y45" s="3284" t="s">
        <v>3359</v>
      </c>
      <c r="Z45" s="3284" t="s">
        <v>3360</v>
      </c>
      <c r="AA45" s="3284" t="s">
        <v>3360</v>
      </c>
      <c r="AB45" s="3284" t="s">
        <v>3361</v>
      </c>
      <c r="AC45" s="3284" t="s">
        <v>3097</v>
      </c>
      <c r="AD45" s="3284" t="s">
        <v>3362</v>
      </c>
      <c r="AE45" s="3284">
        <v>17427</v>
      </c>
      <c r="AF45" s="3284">
        <v>17427</v>
      </c>
      <c r="AH45" s="3284">
        <v>17427</v>
      </c>
      <c r="AI45" s="3284">
        <v>551.41</v>
      </c>
      <c r="AJ45" s="3284">
        <v>551.41</v>
      </c>
      <c r="AK45" s="3284">
        <v>2067.79</v>
      </c>
      <c r="AL45" s="3284">
        <v>2067.7800000000002</v>
      </c>
      <c r="AM45" s="3284" t="s">
        <v>2794</v>
      </c>
      <c r="AN45" s="3284" t="s">
        <v>2794</v>
      </c>
      <c r="AO45" s="3284">
        <v>0</v>
      </c>
      <c r="AP45" s="3284" t="s">
        <v>3363</v>
      </c>
      <c r="AQ45" s="3284" t="s">
        <v>2794</v>
      </c>
      <c r="AR45" s="3284" t="s">
        <v>2794</v>
      </c>
      <c r="AS45" s="3284" t="s">
        <v>2794</v>
      </c>
      <c r="AT45" s="3284" t="s">
        <v>3100</v>
      </c>
    </row>
  </sheetData>
  <phoneticPr fontId="229"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G27" sqref="F24:G27"/>
    </sheetView>
  </sheetViews>
  <sheetFormatPr defaultColWidth="6.625" defaultRowHeight="12.75"/>
  <cols>
    <col min="1" max="1" width="9.75" style="2006" customWidth="1"/>
    <col min="2" max="2" width="25.75" style="1996" customWidth="1"/>
    <col min="3" max="3" width="14.62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9</v>
      </c>
      <c r="L1" s="290"/>
      <c r="M1" s="290"/>
      <c r="N1" s="290"/>
      <c r="O1" s="290"/>
      <c r="P1" s="290"/>
      <c r="Q1" s="290"/>
      <c r="R1" s="290"/>
      <c r="S1" s="290"/>
      <c r="T1" s="290"/>
      <c r="U1" s="290"/>
      <c r="V1" s="290"/>
      <c r="W1" s="290"/>
      <c r="X1" s="290"/>
      <c r="Y1" s="290"/>
      <c r="Z1" s="290"/>
    </row>
    <row r="2" spans="1:31" s="1924" customFormat="1" ht="18" customHeight="1">
      <c r="A2" s="1983" t="s">
        <v>461</v>
      </c>
      <c r="B2" s="1987">
        <f ca="1">C36</f>
        <v>104078</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3789</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19830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1322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285985</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3370</v>
      </c>
      <c r="D7" s="430" t="s">
        <v>3003</v>
      </c>
      <c r="E7" s="430" t="s">
        <v>3373</v>
      </c>
      <c r="F7" s="430"/>
      <c r="G7" s="430"/>
      <c r="H7" s="430"/>
      <c r="I7" s="430"/>
      <c r="J7" s="430"/>
      <c r="K7" s="431"/>
      <c r="AA7" s="1994"/>
      <c r="AB7" s="1994"/>
      <c r="AC7" s="1994"/>
      <c r="AD7" s="1994"/>
      <c r="AE7" s="1994"/>
    </row>
    <row r="8" spans="1:31" s="1997" customFormat="1" ht="13.5" customHeight="1">
      <c r="A8" s="793" t="s">
        <v>1836</v>
      </c>
      <c r="B8" s="259" t="s">
        <v>466</v>
      </c>
      <c r="C8" s="2551">
        <f>'不动产比较法-住宅'!B3</f>
        <v>13379</v>
      </c>
      <c r="D8" s="2551">
        <f ca="1">'不动产收益法（商业）'!B3</f>
        <v>0</v>
      </c>
      <c r="E8" s="2551">
        <f ca="1">'不动产收益法（地下车位）'!B3</f>
        <v>1998</v>
      </c>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204292.17</v>
      </c>
      <c r="D9" s="435">
        <f>SUMIF('数据-汇总表'!$C19:$C33,'剩余法-待开发'!D7,'数据-汇总表'!$E19:$E33)</f>
        <v>0</v>
      </c>
      <c r="E9" s="435">
        <f>SUMIF('数据-汇总表'!$C19:$C33,'剩余法-待开发'!E7,'数据-汇总表'!$E19:$E33)</f>
        <v>63386.549999999996</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'不动产比较法-住宅'!B2</f>
        <v>273322</v>
      </c>
      <c r="D10" s="2742">
        <f ca="1">'不动产收益法（商业）'!B2</f>
        <v>0</v>
      </c>
      <c r="E10" s="2742">
        <f ca="1">'不动产收益法（地下车位）'!B2</f>
        <v>12663</v>
      </c>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80586</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2418</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5230</v>
      </c>
      <c r="D15" s="2561"/>
      <c r="E15" s="2562"/>
      <c r="F15" s="2564">
        <f>'数据-取费表'!B34</f>
        <v>0.08</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5493</v>
      </c>
      <c r="D16" s="2561">
        <f ca="1">IF(B1="",'数据-汇总表'!E3,INDIRECT("'数据-取费表'!K"&amp;$K$1)+INDIRECT("'数据-取费表'!S"&amp;$K$1))</f>
        <v>274652.19</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1209</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94936</v>
      </c>
      <c r="D18" s="2570"/>
      <c r="E18" s="462"/>
      <c r="F18" s="462"/>
      <c r="G18" s="2533" t="s">
        <v>2411</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274652.19</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4669</v>
      </c>
      <c r="D20" s="2571"/>
      <c r="E20" s="2525"/>
      <c r="F20" s="2572"/>
      <c r="G20" s="2776"/>
      <c r="H20" s="2527"/>
      <c r="I20" s="2528" t="s">
        <v>2628</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3473</v>
      </c>
      <c r="D21" s="2561">
        <f ca="1">IF(B1="",'数据-汇总表'!E5,IF(INDIRECT("'数据-取费表'!c"&amp;$K$1)="住宅",INDIRECT("'数据-取费表'!k"&amp;$K$1),0))</f>
        <v>204292.17</v>
      </c>
      <c r="E21" s="53">
        <f>'数据-取费表'!B27</f>
        <v>170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1196</v>
      </c>
      <c r="D22" s="2561">
        <f ca="1">IF(B1="",'数据-汇总表'!E6,IF(INDIRECT("'数据-取费表'!c"&amp;$K$1)="住宅",INDIRECT("'数据-取费表'!s"&amp;$K$1),INDIRECT("'数据-取费表'!k"&amp;$K$1)+INDIRECT("'数据-取费表'!s"&amp;$K$1)))</f>
        <v>70360.01999999999</v>
      </c>
      <c r="E22" s="53">
        <f>'数据-取费表'!B28</f>
        <v>170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2810</v>
      </c>
      <c r="C23" s="2569">
        <f ca="1">ROUND((C18+C19+C20)*F23,0)</f>
        <v>1992</v>
      </c>
      <c r="D23" s="462"/>
      <c r="E23" s="462"/>
      <c r="F23" s="2573">
        <f>'数据-取费表'!B37</f>
        <v>0.02</v>
      </c>
      <c r="G23" s="2529" t="s">
        <v>2412</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2813</v>
      </c>
      <c r="C24" s="2569">
        <f ca="1">ROUND(C6*F24,0)</f>
        <v>8580</v>
      </c>
      <c r="D24" s="469"/>
      <c r="E24" s="467"/>
      <c r="F24" s="2573">
        <f>'数据-取费表'!B38</f>
        <v>0.03</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2811</v>
      </c>
      <c r="C25" s="461">
        <f>ROUND(F25/(1+'数据-取费表'!C42),4)</f>
        <v>3.8600000000000002E-2</v>
      </c>
      <c r="D25" s="456" t="s">
        <v>2805</v>
      </c>
      <c r="E25" s="463"/>
      <c r="F25" s="2573">
        <f>IF(项目基本情况!B8="出让",0,'数据-取费表'!B48+'数据-取费表'!B49)</f>
        <v>4.0500000000000001E-2</v>
      </c>
      <c r="G25" s="2537" t="s">
        <v>2274</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2812</v>
      </c>
      <c r="C26" s="2574">
        <f ca="1">C28</f>
        <v>7943</v>
      </c>
      <c r="D26" s="461">
        <f ca="1">C27</f>
        <v>0.15509999999999999</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0.15509999999999999</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2814</v>
      </c>
      <c r="C28" s="2577">
        <f ca="1">ROUND(IF('数据-取费表'!B22&lt;=1,(C18+C19+C20+C23+C24)*F26*'数据-取费表'!B24/2,(C18+C19+C20+C23+C24)*(POWER((1+F26),'数据-取费表'!B24/2)-1)),0)</f>
        <v>7943</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 ca="1">ROUND(C6*F29/(1+'数据-取费表'!C42),0)</f>
        <v>15253</v>
      </c>
      <c r="D29" s="462"/>
      <c r="E29" s="462"/>
      <c r="F29" s="2750">
        <f>'数据-取费表'!B41</f>
        <v>5.6000000000000001E-2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3" t="s">
        <v>1854</v>
      </c>
      <c r="B30" s="2579" t="s">
        <v>494</v>
      </c>
      <c r="C30" s="2574">
        <f ca="1">C31</f>
        <v>133373</v>
      </c>
      <c r="D30" s="471">
        <f ca="1">C32</f>
        <v>0.19370000000000001</v>
      </c>
      <c r="E30" s="463" t="s">
        <v>489</v>
      </c>
      <c r="F30" s="465"/>
      <c r="G30" s="2537" t="s">
        <v>2929</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133373</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0.19370000000000001</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2809</v>
      </c>
      <c r="B33" s="2745" t="s">
        <v>2807</v>
      </c>
      <c r="C33" s="472">
        <f ca="1">C35</f>
        <v>14323</v>
      </c>
      <c r="D33" s="461">
        <f ca="1">C34</f>
        <v>0.13500000000000001</v>
      </c>
      <c r="E33" s="463" t="s">
        <v>489</v>
      </c>
      <c r="F33" s="473">
        <f ca="1">IF(B1="",'数据-取费表'!Q16,INDIRECT("'数据-取费表'!q"&amp;$K$1))</f>
        <v>0.13</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0.13500000000000001</v>
      </c>
      <c r="D34" s="466"/>
      <c r="E34" s="467"/>
      <c r="F34" s="474"/>
      <c r="G34" s="259" t="s">
        <v>2275</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4" t="s">
        <v>1848</v>
      </c>
      <c r="B35" s="2746" t="s">
        <v>2815</v>
      </c>
      <c r="C35" s="1556">
        <f ca="1">ROUND((C18+C19+C20+C23+C24)*F33,0)</f>
        <v>14323</v>
      </c>
      <c r="D35" s="1557"/>
      <c r="E35" s="2581"/>
      <c r="F35" s="1558"/>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104078</v>
      </c>
      <c r="D36" s="2543"/>
      <c r="E36" s="2543"/>
      <c r="F36" s="2543"/>
      <c r="G36" s="2542" t="s">
        <v>2816</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7"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52" sqref="S5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c r="A3" s="1331"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16" t="s">
        <v>516</v>
      </c>
      <c r="D6" s="3517"/>
      <c r="E6" s="3541" t="s">
        <v>517</v>
      </c>
      <c r="F6" s="3542"/>
      <c r="G6" s="3516" t="s">
        <v>518</v>
      </c>
      <c r="H6" s="3517"/>
      <c r="I6" s="3516" t="s">
        <v>519</v>
      </c>
      <c r="J6" s="3517"/>
      <c r="K6" s="508" t="s">
        <v>520</v>
      </c>
      <c r="L6" s="2015"/>
      <c r="M6" s="2016"/>
      <c r="N6" s="2016"/>
      <c r="O6" s="2016"/>
      <c r="P6" s="3518" t="s">
        <v>521</v>
      </c>
      <c r="Q6" s="3519"/>
      <c r="R6" s="3504" t="s">
        <v>517</v>
      </c>
      <c r="S6" s="3505"/>
      <c r="T6" s="3504" t="s">
        <v>518</v>
      </c>
      <c r="U6" s="3505"/>
      <c r="V6" s="3524" t="s">
        <v>519</v>
      </c>
      <c r="W6" s="3524"/>
      <c r="X6" s="1501"/>
      <c r="Y6" s="3504" t="s">
        <v>521</v>
      </c>
      <c r="Z6" s="3505"/>
      <c r="AA6" s="3499" t="s">
        <v>517</v>
      </c>
      <c r="AB6" s="3500" t="s">
        <v>518</v>
      </c>
      <c r="AC6" s="3499" t="s">
        <v>519</v>
      </c>
    </row>
    <row r="7" spans="1:29" ht="15">
      <c r="A7" s="509"/>
      <c r="B7" s="510"/>
      <c r="C7" s="3527" t="s">
        <v>2890</v>
      </c>
      <c r="D7" s="3528"/>
      <c r="E7" s="3543" t="s">
        <v>2891</v>
      </c>
      <c r="F7" s="3544"/>
      <c r="G7" s="3527" t="s">
        <v>2892</v>
      </c>
      <c r="H7" s="3528"/>
      <c r="I7" s="3527" t="s">
        <v>2893</v>
      </c>
      <c r="J7" s="3528"/>
      <c r="K7" s="508"/>
      <c r="L7" s="2015"/>
      <c r="M7" s="2016"/>
      <c r="N7" s="2016"/>
      <c r="O7" s="2016"/>
      <c r="P7" s="3520"/>
      <c r="Q7" s="3521"/>
      <c r="R7" s="3506"/>
      <c r="S7" s="3507"/>
      <c r="T7" s="3506"/>
      <c r="U7" s="3507"/>
      <c r="V7" s="3524"/>
      <c r="W7" s="3524"/>
      <c r="X7" s="1501"/>
      <c r="Y7" s="3506"/>
      <c r="Z7" s="3507"/>
      <c r="AA7" s="3500"/>
      <c r="AB7" s="3500"/>
      <c r="AC7" s="3500"/>
    </row>
    <row r="8" spans="1:29" ht="15.75" thickBot="1">
      <c r="A8" s="511"/>
      <c r="B8" s="512"/>
      <c r="C8" s="3525" t="s">
        <v>2894</v>
      </c>
      <c r="D8" s="3526"/>
      <c r="E8" s="3545" t="s">
        <v>2894</v>
      </c>
      <c r="F8" s="3546"/>
      <c r="G8" s="3525" t="s">
        <v>2894</v>
      </c>
      <c r="H8" s="3526"/>
      <c r="I8" s="3525" t="s">
        <v>2894</v>
      </c>
      <c r="J8" s="3526"/>
      <c r="K8" s="508" t="s">
        <v>522</v>
      </c>
      <c r="L8" s="2015"/>
      <c r="M8" s="2016"/>
      <c r="N8" s="2016"/>
      <c r="O8" s="2016"/>
      <c r="P8" s="3522"/>
      <c r="Q8" s="3523"/>
      <c r="R8" s="3506"/>
      <c r="S8" s="3507"/>
      <c r="T8" s="3508"/>
      <c r="U8" s="3509"/>
      <c r="V8" s="3524"/>
      <c r="W8" s="3524"/>
      <c r="X8" s="1501"/>
      <c r="Y8" s="3508"/>
      <c r="Z8" s="3509"/>
      <c r="AA8" s="3501"/>
      <c r="AB8" s="3501"/>
      <c r="AC8" s="3501"/>
    </row>
    <row r="9" spans="1:29" s="1202" customFormat="1" ht="15.75" thickBot="1">
      <c r="A9" s="2629"/>
      <c r="B9" s="2636" t="s">
        <v>523</v>
      </c>
      <c r="C9" s="513">
        <f>'数据-取费表'!B2</f>
        <v>44062</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02" t="s">
        <v>524</v>
      </c>
      <c r="Q9" s="3511"/>
      <c r="R9" s="1502" t="s">
        <v>8</v>
      </c>
      <c r="S9" s="1503">
        <f t="shared" ref="S9:S17" si="0">F9</f>
        <v>0</v>
      </c>
      <c r="T9" s="1502" t="s">
        <v>8</v>
      </c>
      <c r="U9" s="1503">
        <f t="shared" ref="U9:U17" si="1">H9</f>
        <v>0</v>
      </c>
      <c r="V9" s="1502" t="s">
        <v>8</v>
      </c>
      <c r="W9" s="1503">
        <f t="shared" ref="W9:W17" si="2">J9</f>
        <v>0</v>
      </c>
      <c r="X9" s="1504"/>
      <c r="Y9" s="3502" t="s">
        <v>524</v>
      </c>
      <c r="Z9" s="3503"/>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02" t="s">
        <v>527</v>
      </c>
      <c r="Q10" s="3503"/>
      <c r="R10" s="1502" t="s">
        <v>8</v>
      </c>
      <c r="S10" s="1503">
        <f t="shared" si="0"/>
        <v>0</v>
      </c>
      <c r="T10" s="1502" t="s">
        <v>8</v>
      </c>
      <c r="U10" s="1503">
        <f t="shared" si="1"/>
        <v>0</v>
      </c>
      <c r="V10" s="1502" t="s">
        <v>8</v>
      </c>
      <c r="W10" s="1503">
        <f t="shared" si="2"/>
        <v>0</v>
      </c>
      <c r="X10" s="1504"/>
      <c r="Y10" s="3502" t="s">
        <v>527</v>
      </c>
      <c r="Z10" s="3503"/>
      <c r="AA10" s="1505" t="e">
        <f t="shared" ref="AA10:AA42" si="3">D10/F10</f>
        <v>#DIV/0!</v>
      </c>
      <c r="AB10" s="1505" t="e">
        <f t="shared" ref="AB10:AB42" si="4">D10/H10</f>
        <v>#DIV/0!</v>
      </c>
      <c r="AC10" s="1505" t="e">
        <f t="shared" ref="AC10:AC42" si="5">D10/J10</f>
        <v>#DIV/0!</v>
      </c>
    </row>
    <row r="11" spans="1:29" s="1202" customFormat="1" ht="15">
      <c r="A11" s="2631"/>
      <c r="B11" s="2638" t="s">
        <v>2733</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10" t="s">
        <v>529</v>
      </c>
      <c r="Q11" s="1133" t="str">
        <f t="shared" ref="Q11:Q17" si="6">B11</f>
        <v>用途</v>
      </c>
      <c r="R11" s="1502" t="s">
        <v>8</v>
      </c>
      <c r="S11" s="1503">
        <f t="shared" si="0"/>
        <v>100</v>
      </c>
      <c r="T11" s="1502" t="s">
        <v>8</v>
      </c>
      <c r="U11" s="1503">
        <f t="shared" si="1"/>
        <v>100</v>
      </c>
      <c r="V11" s="1502" t="s">
        <v>8</v>
      </c>
      <c r="W11" s="1503">
        <f t="shared" si="2"/>
        <v>100</v>
      </c>
      <c r="X11" s="1504"/>
      <c r="Y11" s="3461" t="s">
        <v>530</v>
      </c>
      <c r="Z11" s="1132" t="str">
        <f t="shared" ref="Z11:Z17" si="7">Q11</f>
        <v>用途</v>
      </c>
      <c r="AA11" s="1505">
        <f t="shared" si="3"/>
        <v>1</v>
      </c>
      <c r="AB11" s="1505">
        <f t="shared" si="4"/>
        <v>1</v>
      </c>
      <c r="AC11" s="1505">
        <f t="shared" si="5"/>
        <v>1</v>
      </c>
    </row>
    <row r="12" spans="1:29" s="1291" customFormat="1" ht="27">
      <c r="A12" s="2632"/>
      <c r="B12" s="2637" t="s">
        <v>2734</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10"/>
      <c r="Q12" s="1133" t="str">
        <f t="shared" si="6"/>
        <v>土地使用年限（年）</v>
      </c>
      <c r="R12" s="1502" t="s">
        <v>8</v>
      </c>
      <c r="S12" s="1503">
        <f t="shared" si="0"/>
        <v>100</v>
      </c>
      <c r="T12" s="1502" t="s">
        <v>8</v>
      </c>
      <c r="U12" s="1503">
        <f t="shared" si="1"/>
        <v>100</v>
      </c>
      <c r="V12" s="1502" t="s">
        <v>8</v>
      </c>
      <c r="W12" s="1503">
        <f t="shared" si="2"/>
        <v>100</v>
      </c>
      <c r="X12" s="1504"/>
      <c r="Y12" s="3461"/>
      <c r="Z12" s="1132" t="str">
        <f t="shared" si="7"/>
        <v>土地使用年限（年）</v>
      </c>
      <c r="AA12" s="1505">
        <f t="shared" si="3"/>
        <v>1</v>
      </c>
      <c r="AB12" s="1505">
        <f t="shared" si="4"/>
        <v>1</v>
      </c>
      <c r="AC12" s="1505">
        <f t="shared" si="5"/>
        <v>1</v>
      </c>
    </row>
    <row r="13" spans="1:29" ht="15">
      <c r="A13" s="2633"/>
      <c r="B13" s="2637" t="s">
        <v>2735</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10"/>
      <c r="Q13" s="1133" t="str">
        <f t="shared" si="6"/>
        <v>容积率</v>
      </c>
      <c r="R13" s="1502" t="s">
        <v>8</v>
      </c>
      <c r="S13" s="1503" t="e">
        <f t="shared" si="0"/>
        <v>#N/A</v>
      </c>
      <c r="T13" s="1502" t="s">
        <v>8</v>
      </c>
      <c r="U13" s="1503" t="e">
        <f t="shared" si="1"/>
        <v>#N/A</v>
      </c>
      <c r="V13" s="1502" t="s">
        <v>8</v>
      </c>
      <c r="W13" s="1503" t="e">
        <f t="shared" si="2"/>
        <v>#N/A</v>
      </c>
      <c r="X13" s="1504"/>
      <c r="Y13" s="3461"/>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10"/>
      <c r="Q14" s="1133">
        <f t="shared" si="6"/>
        <v>111</v>
      </c>
      <c r="R14" s="1502" t="s">
        <v>8</v>
      </c>
      <c r="S14" s="1503">
        <f t="shared" si="0"/>
        <v>100</v>
      </c>
      <c r="T14" s="1502" t="s">
        <v>8</v>
      </c>
      <c r="U14" s="1503">
        <f t="shared" si="1"/>
        <v>100</v>
      </c>
      <c r="V14" s="1502" t="s">
        <v>8</v>
      </c>
      <c r="W14" s="1503">
        <f t="shared" si="2"/>
        <v>100</v>
      </c>
      <c r="X14" s="1504"/>
      <c r="Y14" s="3461"/>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10"/>
      <c r="Q15" s="1133">
        <f t="shared" si="6"/>
        <v>111</v>
      </c>
      <c r="R15" s="1502" t="s">
        <v>8</v>
      </c>
      <c r="S15" s="1503">
        <f t="shared" si="0"/>
        <v>100</v>
      </c>
      <c r="T15" s="1502" t="s">
        <v>8</v>
      </c>
      <c r="U15" s="1503">
        <f t="shared" si="1"/>
        <v>100</v>
      </c>
      <c r="V15" s="1502" t="s">
        <v>8</v>
      </c>
      <c r="W15" s="1503">
        <f t="shared" si="2"/>
        <v>100</v>
      </c>
      <c r="X15" s="1504"/>
      <c r="Y15" s="3461"/>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10"/>
      <c r="Q16" s="1133">
        <f t="shared" si="6"/>
        <v>111</v>
      </c>
      <c r="R16" s="1502" t="s">
        <v>8</v>
      </c>
      <c r="S16" s="1503">
        <f t="shared" si="0"/>
        <v>100</v>
      </c>
      <c r="T16" s="1502" t="s">
        <v>8</v>
      </c>
      <c r="U16" s="1503">
        <f t="shared" si="1"/>
        <v>100</v>
      </c>
      <c r="V16" s="1502" t="s">
        <v>8</v>
      </c>
      <c r="W16" s="1503">
        <f t="shared" si="2"/>
        <v>100</v>
      </c>
      <c r="X16" s="1504"/>
      <c r="Y16" s="3461"/>
      <c r="Z16" s="1132">
        <f t="shared" si="7"/>
        <v>111</v>
      </c>
      <c r="AA16" s="1505">
        <f t="shared" si="3"/>
        <v>1</v>
      </c>
      <c r="AB16" s="1505">
        <f t="shared" si="4"/>
        <v>1</v>
      </c>
      <c r="AC16" s="1505">
        <f t="shared" si="5"/>
        <v>1</v>
      </c>
    </row>
    <row r="17" spans="1:29" ht="57">
      <c r="A17" s="2627" t="s">
        <v>2731</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12" t="s">
        <v>534</v>
      </c>
      <c r="Q17" s="1506" t="str">
        <f t="shared" si="6"/>
        <v>产业集聚程度</v>
      </c>
      <c r="R17" s="1507" t="s">
        <v>8</v>
      </c>
      <c r="S17" s="1508">
        <f t="shared" si="0"/>
        <v>100</v>
      </c>
      <c r="T17" s="1507" t="s">
        <v>8</v>
      </c>
      <c r="U17" s="1508">
        <f t="shared" si="1"/>
        <v>100</v>
      </c>
      <c r="V17" s="1507" t="s">
        <v>8</v>
      </c>
      <c r="W17" s="1508">
        <f t="shared" si="2"/>
        <v>100</v>
      </c>
      <c r="X17" s="1501"/>
      <c r="Y17" s="3512"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13"/>
      <c r="Q18" s="1506"/>
      <c r="R18" s="1507"/>
      <c r="S18" s="1508"/>
      <c r="T18" s="1507"/>
      <c r="U18" s="1508"/>
      <c r="V18" s="1507"/>
      <c r="W18" s="1508"/>
      <c r="X18" s="1501"/>
      <c r="Y18" s="3513"/>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13"/>
      <c r="Q19" s="1506" t="str">
        <f>B19</f>
        <v>交通便捷度</v>
      </c>
      <c r="R19" s="1507" t="s">
        <v>8</v>
      </c>
      <c r="S19" s="1508">
        <f>F19</f>
        <v>100</v>
      </c>
      <c r="T19" s="1507" t="s">
        <v>8</v>
      </c>
      <c r="U19" s="1508">
        <f>H19</f>
        <v>100</v>
      </c>
      <c r="V19" s="1507" t="s">
        <v>8</v>
      </c>
      <c r="W19" s="1508">
        <f>J19</f>
        <v>100</v>
      </c>
      <c r="X19" s="1501"/>
      <c r="Y19" s="3513"/>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513"/>
      <c r="Q20" s="1506"/>
      <c r="R20" s="1507"/>
      <c r="S20" s="1508"/>
      <c r="T20" s="1507"/>
      <c r="U20" s="1508"/>
      <c r="V20" s="1507"/>
      <c r="W20" s="1508"/>
      <c r="X20" s="1501"/>
      <c r="Y20" s="3513"/>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513"/>
      <c r="Q21" s="1506" t="str">
        <f t="shared" ref="Q21:Q35" si="8">B21</f>
        <v>区域土地利用方向</v>
      </c>
      <c r="R21" s="1507" t="s">
        <v>8</v>
      </c>
      <c r="S21" s="1508">
        <f>F21</f>
        <v>100</v>
      </c>
      <c r="T21" s="1507" t="s">
        <v>8</v>
      </c>
      <c r="U21" s="1508">
        <f>H21</f>
        <v>100</v>
      </c>
      <c r="V21" s="1507" t="s">
        <v>8</v>
      </c>
      <c r="W21" s="1508">
        <f>J21</f>
        <v>100</v>
      </c>
      <c r="X21" s="1501"/>
      <c r="Y21" s="3513"/>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513"/>
      <c r="Q22" s="1506"/>
      <c r="R22" s="1507"/>
      <c r="S22" s="1508"/>
      <c r="T22" s="1507"/>
      <c r="U22" s="1508"/>
      <c r="V22" s="1507"/>
      <c r="W22" s="1508"/>
      <c r="X22" s="1501"/>
      <c r="Y22" s="3513"/>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13"/>
      <c r="Q23" s="1506" t="str">
        <f t="shared" si="8"/>
        <v>环境状况</v>
      </c>
      <c r="R23" s="1507" t="s">
        <v>8</v>
      </c>
      <c r="S23" s="1508">
        <f>F23</f>
        <v>100</v>
      </c>
      <c r="T23" s="1507" t="s">
        <v>8</v>
      </c>
      <c r="U23" s="1508">
        <f>H23</f>
        <v>100</v>
      </c>
      <c r="V23" s="1507" t="s">
        <v>8</v>
      </c>
      <c r="W23" s="1508">
        <f>J23</f>
        <v>100</v>
      </c>
      <c r="X23" s="1501"/>
      <c r="Y23" s="3513"/>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13"/>
      <c r="Q24" s="1506"/>
      <c r="R24" s="1507"/>
      <c r="S24" s="1508"/>
      <c r="T24" s="1507"/>
      <c r="U24" s="1508"/>
      <c r="V24" s="1507"/>
      <c r="W24" s="1508"/>
      <c r="X24" s="1501"/>
      <c r="Y24" s="3513"/>
      <c r="Z24" s="1509"/>
      <c r="AA24" s="1510">
        <v>1</v>
      </c>
      <c r="AB24" s="1510">
        <v>1</v>
      </c>
      <c r="AC24" s="1510">
        <v>1</v>
      </c>
    </row>
    <row r="25" spans="1:29" s="1202" customFormat="1" ht="42.75">
      <c r="A25" s="571"/>
      <c r="B25" s="2437" t="s">
        <v>2527</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13"/>
      <c r="Q25" s="1133" t="str">
        <f t="shared" si="8"/>
        <v>公共配套设施</v>
      </c>
      <c r="R25" s="1502" t="s">
        <v>8</v>
      </c>
      <c r="S25" s="1503">
        <f>F25</f>
        <v>100</v>
      </c>
      <c r="T25" s="1502" t="s">
        <v>8</v>
      </c>
      <c r="U25" s="1503">
        <f>H25</f>
        <v>100</v>
      </c>
      <c r="V25" s="1502" t="s">
        <v>8</v>
      </c>
      <c r="W25" s="1503">
        <f>J25</f>
        <v>100</v>
      </c>
      <c r="X25" s="1504"/>
      <c r="Y25" s="3513"/>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513"/>
      <c r="Q26" s="1133"/>
      <c r="R26" s="1502"/>
      <c r="S26" s="1503"/>
      <c r="T26" s="1502"/>
      <c r="U26" s="1503"/>
      <c r="V26" s="1502"/>
      <c r="W26" s="1503"/>
      <c r="X26" s="1504"/>
      <c r="Y26" s="3513"/>
      <c r="Z26" s="1132"/>
      <c r="AA26" s="1505">
        <v>1</v>
      </c>
      <c r="AB26" s="1505">
        <v>1</v>
      </c>
      <c r="AC26" s="1505">
        <v>1</v>
      </c>
    </row>
    <row r="27" spans="1:29" s="1202" customFormat="1" ht="28.5">
      <c r="A27" s="571"/>
      <c r="B27" s="2437" t="s">
        <v>2528</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13"/>
      <c r="Q27" s="2428" t="str">
        <f t="shared" ref="Q27" si="9">B27</f>
        <v>基础设施水平</v>
      </c>
      <c r="R27" s="1502" t="s">
        <v>8</v>
      </c>
      <c r="S27" s="1503">
        <f>F27</f>
        <v>100</v>
      </c>
      <c r="T27" s="1502" t="s">
        <v>8</v>
      </c>
      <c r="U27" s="1503">
        <f>H27</f>
        <v>100</v>
      </c>
      <c r="V27" s="1502" t="s">
        <v>8</v>
      </c>
      <c r="W27" s="1503">
        <f>J27</f>
        <v>100</v>
      </c>
      <c r="X27" s="1504"/>
      <c r="Y27" s="3513"/>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513"/>
      <c r="Q28" s="2428"/>
      <c r="R28" s="1502"/>
      <c r="S28" s="1503"/>
      <c r="T28" s="1502"/>
      <c r="U28" s="1503"/>
      <c r="V28" s="1502"/>
      <c r="W28" s="1503"/>
      <c r="X28" s="1504"/>
      <c r="Y28" s="3513"/>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13"/>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13"/>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13"/>
      <c r="Q30" s="1506" t="str">
        <f t="shared" si="8"/>
        <v>毗邻道路的类型与等级</v>
      </c>
      <c r="R30" s="1507" t="s">
        <v>8</v>
      </c>
      <c r="S30" s="1508">
        <f t="shared" si="10"/>
        <v>100</v>
      </c>
      <c r="T30" s="1507" t="s">
        <v>8</v>
      </c>
      <c r="U30" s="1508">
        <f t="shared" si="11"/>
        <v>100</v>
      </c>
      <c r="V30" s="1507" t="s">
        <v>8</v>
      </c>
      <c r="W30" s="1508">
        <f t="shared" si="12"/>
        <v>100</v>
      </c>
      <c r="X30" s="1501"/>
      <c r="Y30" s="3513"/>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13"/>
      <c r="Q31" s="1506"/>
      <c r="R31" s="1507"/>
      <c r="S31" s="1508"/>
      <c r="T31" s="1507"/>
      <c r="U31" s="1508"/>
      <c r="V31" s="1507"/>
      <c r="W31" s="1508"/>
      <c r="X31" s="1501"/>
      <c r="Y31" s="3513"/>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13"/>
      <c r="Q32" s="1506" t="str">
        <f t="shared" si="8"/>
        <v>土地级别</v>
      </c>
      <c r="R32" s="1507" t="s">
        <v>8</v>
      </c>
      <c r="S32" s="1508">
        <f t="shared" si="10"/>
        <v>100</v>
      </c>
      <c r="T32" s="1507" t="s">
        <v>8</v>
      </c>
      <c r="U32" s="1508">
        <f t="shared" si="11"/>
        <v>100</v>
      </c>
      <c r="V32" s="1507" t="s">
        <v>8</v>
      </c>
      <c r="W32" s="1508">
        <f t="shared" si="12"/>
        <v>100</v>
      </c>
      <c r="X32" s="1501"/>
      <c r="Y32" s="3513"/>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13"/>
      <c r="Q33" s="1506">
        <f t="shared" si="8"/>
        <v>111</v>
      </c>
      <c r="R33" s="1507" t="s">
        <v>8</v>
      </c>
      <c r="S33" s="1508">
        <f t="shared" si="10"/>
        <v>100</v>
      </c>
      <c r="T33" s="1507" t="s">
        <v>8</v>
      </c>
      <c r="U33" s="1508">
        <f t="shared" si="11"/>
        <v>100</v>
      </c>
      <c r="V33" s="1507" t="s">
        <v>8</v>
      </c>
      <c r="W33" s="1508">
        <f t="shared" si="12"/>
        <v>100</v>
      </c>
      <c r="X33" s="1501"/>
      <c r="Y33" s="3513"/>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14" t="s">
        <v>544</v>
      </c>
      <c r="Q34" s="1506">
        <f t="shared" si="8"/>
        <v>111</v>
      </c>
      <c r="R34" s="1507" t="s">
        <v>8</v>
      </c>
      <c r="S34" s="1508">
        <f t="shared" si="10"/>
        <v>100</v>
      </c>
      <c r="T34" s="1507" t="s">
        <v>8</v>
      </c>
      <c r="U34" s="1508">
        <f t="shared" si="11"/>
        <v>100</v>
      </c>
      <c r="V34" s="1507" t="s">
        <v>8</v>
      </c>
      <c r="W34" s="1508">
        <f t="shared" si="12"/>
        <v>100</v>
      </c>
      <c r="X34" s="1501"/>
      <c r="Y34" s="3515"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15"/>
      <c r="Q35" s="1506">
        <f t="shared" si="8"/>
        <v>111</v>
      </c>
      <c r="R35" s="1511" t="s">
        <v>8</v>
      </c>
      <c r="S35" s="1512">
        <f t="shared" si="10"/>
        <v>100</v>
      </c>
      <c r="T35" s="1511" t="s">
        <v>8</v>
      </c>
      <c r="U35" s="1512">
        <f t="shared" si="11"/>
        <v>100</v>
      </c>
      <c r="V35" s="1511" t="s">
        <v>8</v>
      </c>
      <c r="W35" s="1512">
        <f t="shared" si="12"/>
        <v>100</v>
      </c>
      <c r="X35" s="1513"/>
      <c r="Y35" s="3515"/>
      <c r="Z35" s="1514">
        <f t="shared" si="13"/>
        <v>111</v>
      </c>
      <c r="AA35" s="1510">
        <f t="shared" si="3"/>
        <v>1</v>
      </c>
      <c r="AB35" s="1510">
        <f t="shared" si="4"/>
        <v>1</v>
      </c>
      <c r="AC35" s="1510">
        <f t="shared" si="5"/>
        <v>1</v>
      </c>
    </row>
    <row r="36" spans="1:29" ht="15">
      <c r="A36" s="2624" t="s">
        <v>2732</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15"/>
      <c r="Q36" s="1506" t="str">
        <f>B36</f>
        <v>宗地面积</v>
      </c>
      <c r="R36" s="1507" t="s">
        <v>8</v>
      </c>
      <c r="S36" s="1508" t="e">
        <f t="shared" si="10"/>
        <v>#N/A</v>
      </c>
      <c r="T36" s="1507" t="s">
        <v>8</v>
      </c>
      <c r="U36" s="1508" t="e">
        <f t="shared" si="11"/>
        <v>#N/A</v>
      </c>
      <c r="V36" s="1507" t="s">
        <v>8</v>
      </c>
      <c r="W36" s="1508" t="e">
        <f t="shared" si="12"/>
        <v>#N/A</v>
      </c>
      <c r="X36" s="1501"/>
      <c r="Y36" s="3515"/>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15"/>
      <c r="Q37" s="1506" t="str">
        <f t="shared" ref="Q37:Q42" si="14">B37</f>
        <v>宗地形状</v>
      </c>
      <c r="R37" s="1507" t="s">
        <v>8</v>
      </c>
      <c r="S37" s="1508">
        <f t="shared" si="10"/>
        <v>100</v>
      </c>
      <c r="T37" s="1507" t="s">
        <v>8</v>
      </c>
      <c r="U37" s="1508">
        <f t="shared" si="11"/>
        <v>100</v>
      </c>
      <c r="V37" s="1507" t="s">
        <v>8</v>
      </c>
      <c r="W37" s="1508">
        <f t="shared" si="12"/>
        <v>100</v>
      </c>
      <c r="X37" s="1501"/>
      <c r="Y37" s="3515"/>
      <c r="Z37" s="1509" t="str">
        <f t="shared" si="13"/>
        <v>宗地形状</v>
      </c>
      <c r="AA37" s="1510">
        <f t="shared" si="3"/>
        <v>1</v>
      </c>
      <c r="AB37" s="1510">
        <f t="shared" si="4"/>
        <v>1</v>
      </c>
      <c r="AC37" s="1510">
        <f t="shared" si="5"/>
        <v>1</v>
      </c>
    </row>
    <row r="38" spans="1:29" s="1202" customFormat="1" ht="15">
      <c r="A38" s="594"/>
      <c r="B38" s="1809" t="s">
        <v>2406</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15"/>
      <c r="Q38" s="1506" t="str">
        <f t="shared" si="14"/>
        <v>宗地开发程度</v>
      </c>
      <c r="R38" s="1502" t="s">
        <v>8</v>
      </c>
      <c r="S38" s="1503">
        <f t="shared" si="10"/>
        <v>100</v>
      </c>
      <c r="T38" s="1502" t="s">
        <v>8</v>
      </c>
      <c r="U38" s="1503">
        <f t="shared" si="11"/>
        <v>100</v>
      </c>
      <c r="V38" s="1502" t="s">
        <v>8</v>
      </c>
      <c r="W38" s="1503">
        <f t="shared" si="12"/>
        <v>100</v>
      </c>
      <c r="X38" s="1504"/>
      <c r="Y38" s="3515"/>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15" t="s">
        <v>595</v>
      </c>
      <c r="Q39" s="1506" t="str">
        <f t="shared" si="14"/>
        <v>工程地质条件</v>
      </c>
      <c r="R39" s="1507" t="s">
        <v>8</v>
      </c>
      <c r="S39" s="1508">
        <f t="shared" si="10"/>
        <v>100</v>
      </c>
      <c r="T39" s="1507" t="s">
        <v>8</v>
      </c>
      <c r="U39" s="1508">
        <f t="shared" si="11"/>
        <v>100</v>
      </c>
      <c r="V39" s="1507" t="s">
        <v>8</v>
      </c>
      <c r="W39" s="1508">
        <f t="shared" si="12"/>
        <v>100</v>
      </c>
      <c r="X39" s="1501"/>
      <c r="Y39" s="3515"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15"/>
      <c r="Q40" s="1506">
        <f t="shared" si="14"/>
        <v>111</v>
      </c>
      <c r="R40" s="1507" t="s">
        <v>8</v>
      </c>
      <c r="S40" s="1508">
        <f t="shared" si="10"/>
        <v>100</v>
      </c>
      <c r="T40" s="1507" t="s">
        <v>8</v>
      </c>
      <c r="U40" s="1508">
        <f t="shared" si="11"/>
        <v>100</v>
      </c>
      <c r="V40" s="1507" t="s">
        <v>8</v>
      </c>
      <c r="W40" s="1508">
        <f t="shared" si="12"/>
        <v>100</v>
      </c>
      <c r="X40" s="1501"/>
      <c r="Y40" s="3515"/>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15"/>
      <c r="Q41" s="1506">
        <f t="shared" si="14"/>
        <v>111</v>
      </c>
      <c r="R41" s="1507" t="s">
        <v>8</v>
      </c>
      <c r="S41" s="1508">
        <f t="shared" si="10"/>
        <v>100</v>
      </c>
      <c r="T41" s="1507" t="s">
        <v>8</v>
      </c>
      <c r="U41" s="1508">
        <f t="shared" si="11"/>
        <v>100</v>
      </c>
      <c r="V41" s="1507" t="s">
        <v>8</v>
      </c>
      <c r="W41" s="1508">
        <f t="shared" si="12"/>
        <v>100</v>
      </c>
      <c r="X41" s="1501"/>
      <c r="Y41" s="3515"/>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15"/>
      <c r="Q42" s="1506">
        <f t="shared" si="14"/>
        <v>111</v>
      </c>
      <c r="R42" s="1511" t="s">
        <v>8</v>
      </c>
      <c r="S42" s="1512">
        <f t="shared" si="10"/>
        <v>100</v>
      </c>
      <c r="T42" s="1511" t="s">
        <v>8</v>
      </c>
      <c r="U42" s="1512">
        <f t="shared" si="11"/>
        <v>100</v>
      </c>
      <c r="V42" s="1511" t="s">
        <v>8</v>
      </c>
      <c r="W42" s="1512">
        <f t="shared" si="12"/>
        <v>100</v>
      </c>
      <c r="X42" s="1513"/>
      <c r="Y42" s="3515"/>
      <c r="Z42" s="1514">
        <f t="shared" si="13"/>
        <v>111</v>
      </c>
      <c r="AA42" s="1510">
        <f t="shared" si="3"/>
        <v>1</v>
      </c>
      <c r="AB42" s="1510">
        <f t="shared" si="4"/>
        <v>1</v>
      </c>
      <c r="AC42" s="1510">
        <f t="shared" si="5"/>
        <v>1</v>
      </c>
    </row>
    <row r="43" spans="1:29" ht="15">
      <c r="A43" s="601" t="s">
        <v>550</v>
      </c>
      <c r="B43" s="602" t="s">
        <v>2895</v>
      </c>
      <c r="C43" s="603" t="s">
        <v>1</v>
      </c>
      <c r="D43" s="604"/>
      <c r="E43" s="605"/>
      <c r="F43" s="606"/>
      <c r="G43" s="607"/>
      <c r="H43" s="608"/>
      <c r="I43" s="605"/>
      <c r="J43" s="608"/>
      <c r="K43" s="1293"/>
      <c r="L43" s="2026"/>
      <c r="M43" s="2016"/>
      <c r="N43" s="2016"/>
      <c r="O43" s="2027"/>
      <c r="P43" s="3510" t="str">
        <f>A43</f>
        <v>成交单价</v>
      </c>
      <c r="Q43" s="3510"/>
      <c r="R43" s="3524">
        <f>E43</f>
        <v>0</v>
      </c>
      <c r="S43" s="3524"/>
      <c r="T43" s="3524">
        <f>G43</f>
        <v>0</v>
      </c>
      <c r="U43" s="3524"/>
      <c r="V43" s="3524">
        <f>I43</f>
        <v>0</v>
      </c>
      <c r="W43" s="3524"/>
      <c r="X43" s="1496"/>
      <c r="Y43" s="1515"/>
      <c r="Z43" s="1496"/>
      <c r="AA43" s="1496"/>
      <c r="AB43" s="1496"/>
      <c r="AC43" s="1496"/>
    </row>
    <row r="44" spans="1:29" ht="15.75" thickBot="1">
      <c r="A44" s="609" t="s">
        <v>2670</v>
      </c>
      <c r="B44" s="610"/>
      <c r="C44" s="611" t="e">
        <f>R45</f>
        <v>#DIV/0!</v>
      </c>
      <c r="D44" s="3014" t="s">
        <v>2965</v>
      </c>
      <c r="E44" s="611" t="e">
        <f>R44</f>
        <v>#DIV/0!</v>
      </c>
      <c r="F44" s="3015"/>
      <c r="G44" s="612" t="e">
        <f>T44</f>
        <v>#DIV/0!</v>
      </c>
      <c r="H44" s="3015"/>
      <c r="I44" s="611" t="e">
        <f>V44</f>
        <v>#DIV/0!</v>
      </c>
      <c r="J44" s="3015"/>
      <c r="K44" s="3016">
        <f>F44+H44+J44</f>
        <v>0</v>
      </c>
      <c r="L44" s="2026"/>
      <c r="M44" s="2016"/>
      <c r="N44" s="2016"/>
      <c r="O44" s="2027"/>
      <c r="P44" s="3510" t="str">
        <f>A44</f>
        <v>比较价格（元/平方米）</v>
      </c>
      <c r="Q44" s="3510"/>
      <c r="R44" s="3534" t="e">
        <f>ROUND(PRODUCT(R43,AA9:AA42),0)</f>
        <v>#DIV/0!</v>
      </c>
      <c r="S44" s="3534"/>
      <c r="T44" s="3534" t="e">
        <f>ROUND(PRODUCT(T43,AB9:AB42),0)</f>
        <v>#DIV/0!</v>
      </c>
      <c r="U44" s="3534"/>
      <c r="V44" s="3534" t="e">
        <f>ROUND(PRODUCT(V43,AC9:AC42),0)</f>
        <v>#DIV/0!</v>
      </c>
      <c r="W44" s="3534"/>
      <c r="X44" s="1496"/>
      <c r="Y44" s="1496"/>
      <c r="Z44" s="1496"/>
      <c r="AA44" s="1496"/>
      <c r="AB44" s="1496"/>
      <c r="AC44" s="1496"/>
    </row>
    <row r="45" spans="1:29" ht="15.75" thickBot="1">
      <c r="A45" s="613" t="s">
        <v>2896</v>
      </c>
      <c r="B45" s="614"/>
      <c r="C45" s="615" t="e">
        <f>R45</f>
        <v>#DIV/0!</v>
      </c>
      <c r="D45" s="615"/>
      <c r="E45" s="615"/>
      <c r="F45" s="615"/>
      <c r="G45" s="615"/>
      <c r="H45" s="615"/>
      <c r="I45" s="615"/>
      <c r="J45" s="615"/>
      <c r="K45" s="1294"/>
      <c r="L45" s="2026"/>
      <c r="M45" s="2016"/>
      <c r="N45" s="2016"/>
      <c r="O45" s="2027"/>
      <c r="P45" s="3531" t="str">
        <f>A45</f>
        <v>估价对象XX用房的比较价格（楼面单价，元/平方米）</v>
      </c>
      <c r="Q45" s="3532"/>
      <c r="R45" s="3540" t="e">
        <f>ROUND(IF(D44="简单平均",AVERAGE(R44:W44),R44*F44+T44*H44+V44*J44),0)</f>
        <v>#DIV/0!</v>
      </c>
      <c r="S45" s="3540"/>
      <c r="T45" s="3540"/>
      <c r="U45" s="3540"/>
      <c r="V45" s="3540"/>
      <c r="W45" s="3540"/>
      <c r="X45" s="1496"/>
      <c r="Y45" s="1496"/>
      <c r="Z45" s="1496"/>
      <c r="AA45" s="1496"/>
      <c r="AB45" s="1496"/>
      <c r="AC45" s="1496"/>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2278</v>
      </c>
      <c r="E52" s="623" t="s">
        <v>556</v>
      </c>
      <c r="F52" s="1865" t="s">
        <v>557</v>
      </c>
      <c r="G52" s="3535" t="s">
        <v>2269</v>
      </c>
      <c r="H52" s="3536"/>
      <c r="I52" s="1866" t="s">
        <v>1934</v>
      </c>
      <c r="J52" s="1493" t="str">
        <f>项目基本情况!F41</f>
        <v>河南省郑州市高新区</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204292.17</v>
      </c>
      <c r="F53" s="1864" t="e">
        <f t="shared" ref="F53:F62" si="15">ROUND(B53*E53/10000,0)</f>
        <v>#DIV/0!</v>
      </c>
      <c r="G53" s="3537"/>
      <c r="H53" s="3538"/>
      <c r="I53" s="1867">
        <v>1</v>
      </c>
      <c r="J53" s="1494">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39" t="s">
        <v>2270</v>
      </c>
      <c r="H54" s="1868">
        <f>项目基本情况!B43</f>
        <v>0</v>
      </c>
      <c r="I54" s="1867">
        <f>SUMIF(修正!$A$45:$A$56,H54,修正!B45:B56)</f>
        <v>0</v>
      </c>
      <c r="J54" s="1495"/>
      <c r="K54" s="3219"/>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39"/>
      <c r="H55" s="1869">
        <f>项目基本情况!B43</f>
        <v>0</v>
      </c>
      <c r="I55" s="1867">
        <f>SUMIF(修正!$A$45:$A$56,H55,修正!C45:C56)</f>
        <v>0</v>
      </c>
      <c r="J55" s="1495"/>
      <c r="K55" s="3219"/>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39"/>
      <c r="H56" s="1869">
        <f>项目基本情况!B43</f>
        <v>0</v>
      </c>
      <c r="I56" s="1867">
        <f>SUMIF(修正!$A$45:$A$56,H56,修正!D45:D56)</f>
        <v>0</v>
      </c>
      <c r="J56" s="1495"/>
      <c r="K56" s="3219"/>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39"/>
      <c r="H57" s="1869">
        <f>项目基本情况!B43</f>
        <v>0</v>
      </c>
      <c r="I57" s="1867">
        <f>SUMIF(修正!$A$45:$A$56,H57,修正!E45:E56)</f>
        <v>0</v>
      </c>
      <c r="J57" s="1495"/>
      <c r="K57" s="3219"/>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2313</v>
      </c>
      <c r="B58" s="630" t="e">
        <f t="shared" si="17"/>
        <v>#DIV/0!</v>
      </c>
      <c r="C58" s="372">
        <f t="shared" si="16"/>
        <v>0</v>
      </c>
      <c r="D58" s="2109">
        <v>0.25</v>
      </c>
      <c r="E58" s="633">
        <f>'数据-汇总表'!E11</f>
        <v>202.39</v>
      </c>
      <c r="F58" s="1864" t="e">
        <f t="shared" si="15"/>
        <v>#DIV/0!</v>
      </c>
      <c r="G58" s="1870" t="s">
        <v>2271</v>
      </c>
      <c r="H58" s="1869">
        <f>项目基本情况!C43</f>
        <v>0</v>
      </c>
      <c r="I58" s="1867">
        <f>SUMIF(修正!$A$45:$A$56,H58,修正!F45:F56)</f>
        <v>0</v>
      </c>
      <c r="J58" s="1495"/>
      <c r="K58" s="3219"/>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63386.549999999996</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2270</v>
      </c>
      <c r="H61" s="1869">
        <f>项目基本情况!B43</f>
        <v>0</v>
      </c>
      <c r="I61" s="1867">
        <f>SUMIF(修正!$A$45:$A$56,H61,修正!H45:H56)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2271</v>
      </c>
      <c r="H62" s="1872">
        <f>项目基本情况!C43</f>
        <v>0</v>
      </c>
      <c r="I62" s="1867">
        <f>SUMIF(修正!$A$45:$A$56,H62,修正!H45:H56)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2279</v>
      </c>
      <c r="E63" s="635">
        <f>IF(B43="楼面地价",SUM(E53:E62),'数据-汇总表'!D3)</f>
        <v>52485.58</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2020-8-1</v>
      </c>
      <c r="D65" s="2516">
        <f>EDATE(C65,-3)</f>
        <v>43952</v>
      </c>
      <c r="E65" s="2516">
        <f t="shared" ref="E65:N65" si="18">EDATE(D65,-3)</f>
        <v>43862</v>
      </c>
      <c r="F65" s="2516">
        <f t="shared" si="18"/>
        <v>43770</v>
      </c>
      <c r="G65" s="2516">
        <f t="shared" si="18"/>
        <v>43678</v>
      </c>
      <c r="H65" s="2516">
        <f t="shared" si="18"/>
        <v>43586</v>
      </c>
      <c r="I65" s="2516">
        <f t="shared" si="18"/>
        <v>43497</v>
      </c>
      <c r="J65" s="2516">
        <f t="shared" si="18"/>
        <v>43405</v>
      </c>
      <c r="K65" s="2516">
        <f t="shared" si="18"/>
        <v>43313</v>
      </c>
      <c r="L65" s="2516">
        <f t="shared" si="18"/>
        <v>43221</v>
      </c>
      <c r="M65" s="2516">
        <f t="shared" si="18"/>
        <v>43132</v>
      </c>
      <c r="N65" s="2516">
        <f t="shared" si="18"/>
        <v>43040</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2512</v>
      </c>
      <c r="B67" s="638"/>
      <c r="C67" s="2513" t="str">
        <f>YEAR(C65)&amp;"-"&amp;ROUNDUP(MONTH(C65)/3,0)</f>
        <v>2020-3</v>
      </c>
      <c r="D67" s="2518" t="str">
        <f t="shared" ref="D67:N67" si="19">YEAR(D65)&amp;"-"&amp;ROUNDUP(MONTH(D65)/3,0)</f>
        <v>2020-2</v>
      </c>
      <c r="E67" s="2518" t="str">
        <f t="shared" si="19"/>
        <v>2020-1</v>
      </c>
      <c r="F67" s="2518" t="str">
        <f t="shared" si="19"/>
        <v>2019-4</v>
      </c>
      <c r="G67" s="2518" t="str">
        <f t="shared" si="19"/>
        <v>2019-3</v>
      </c>
      <c r="H67" s="2518" t="str">
        <f t="shared" si="19"/>
        <v>2019-2</v>
      </c>
      <c r="I67" s="2518" t="str">
        <f t="shared" si="19"/>
        <v>2019-1</v>
      </c>
      <c r="J67" s="2518" t="str">
        <f t="shared" si="19"/>
        <v>2018-4</v>
      </c>
      <c r="K67" s="2518" t="str">
        <f t="shared" si="19"/>
        <v>2018-3</v>
      </c>
      <c r="L67" s="2518" t="str">
        <f t="shared" si="19"/>
        <v>2018-2</v>
      </c>
      <c r="M67" s="2518" t="str">
        <f t="shared" si="19"/>
        <v>2018-1</v>
      </c>
      <c r="N67" s="2518" t="str">
        <f t="shared" si="19"/>
        <v>2017-4</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2626</v>
      </c>
      <c r="B68" s="473" t="str">
        <f>"北京市平均增长率"&amp;TEXT(基准地价!P24,"0.00%")</f>
        <v>北京市平均增长率1.27%</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2527</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2529</v>
      </c>
      <c r="C95" s="2442" t="s">
        <v>2530</v>
      </c>
      <c r="D95" s="2442" t="s">
        <v>2531</v>
      </c>
      <c r="E95" s="2442" t="s">
        <v>2532</v>
      </c>
      <c r="F95" s="2442" t="s">
        <v>2533</v>
      </c>
      <c r="G95" s="2442" t="s">
        <v>2534</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2407</v>
      </c>
      <c r="C114" s="1326"/>
      <c r="D114" s="1326"/>
      <c r="E114" s="1326"/>
      <c r="F114" s="1326"/>
      <c r="G114" s="1326"/>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49" priority="17" stopIfTrue="1" operator="containsText" text="超过">
      <formula>NOT(ISERROR(SEARCH("超过",F48)))</formula>
    </cfRule>
  </conditionalFormatting>
  <conditionalFormatting sqref="J50">
    <cfRule type="containsText" dxfId="148" priority="16" stopIfTrue="1" operator="containsText" text="超过">
      <formula>NOT(ISERROR(SEARCH("超过",J50)))</formula>
    </cfRule>
  </conditionalFormatting>
  <conditionalFormatting sqref="H50">
    <cfRule type="containsText" dxfId="147" priority="15" stopIfTrue="1" operator="containsText" text="超过">
      <formula>NOT(ISERROR(SEARCH("超过",H50)))</formula>
    </cfRule>
  </conditionalFormatting>
  <conditionalFormatting sqref="F50">
    <cfRule type="containsText" dxfId="146" priority="14" stopIfTrue="1" operator="containsText" text="超过">
      <formula>NOT(ISERROR(SEARCH("超过",F50)))</formula>
    </cfRule>
  </conditionalFormatting>
  <conditionalFormatting sqref="F49 H49 J49">
    <cfRule type="containsText" dxfId="145" priority="13" stopIfTrue="1" operator="containsText" text="超过">
      <formula>NOT(ISERROR(SEARCH("超过",F49)))</formula>
    </cfRule>
  </conditionalFormatting>
  <conditionalFormatting sqref="E48">
    <cfRule type="expression" dxfId="144" priority="12" stopIfTrue="1">
      <formula>$F$48="超过30%"</formula>
    </cfRule>
  </conditionalFormatting>
  <conditionalFormatting sqref="G50">
    <cfRule type="expression" dxfId="143" priority="11" stopIfTrue="1">
      <formula>$H$50="超过30%"</formula>
    </cfRule>
  </conditionalFormatting>
  <conditionalFormatting sqref="E50">
    <cfRule type="expression" dxfId="142" priority="9" stopIfTrue="1">
      <formula>$F$50="超过30%"</formula>
    </cfRule>
  </conditionalFormatting>
  <conditionalFormatting sqref="G48">
    <cfRule type="expression" dxfId="141" priority="8" stopIfTrue="1">
      <formula>$H$48="超过30%"</formula>
    </cfRule>
  </conditionalFormatting>
  <conditionalFormatting sqref="G49">
    <cfRule type="expression" dxfId="140" priority="7" stopIfTrue="1">
      <formula>$H$49="超过20%"</formula>
    </cfRule>
  </conditionalFormatting>
  <conditionalFormatting sqref="I48">
    <cfRule type="expression" dxfId="139" priority="6" stopIfTrue="1">
      <formula>$J$48="超过30%"</formula>
    </cfRule>
  </conditionalFormatting>
  <conditionalFormatting sqref="I49">
    <cfRule type="expression" dxfId="138" priority="5" stopIfTrue="1">
      <formula>$J$49="超过20%"</formula>
    </cfRule>
  </conditionalFormatting>
  <conditionalFormatting sqref="I50">
    <cfRule type="expression" dxfId="137" priority="4" stopIfTrue="1">
      <formula>$J$50="超过30%"</formula>
    </cfRule>
  </conditionalFormatting>
  <conditionalFormatting sqref="E49">
    <cfRule type="expression" dxfId="136" priority="50" stopIfTrue="1">
      <formula>#REF!+$F$49="超过20%"</formula>
    </cfRule>
  </conditionalFormatting>
  <conditionalFormatting sqref="F44">
    <cfRule type="expression" dxfId="135" priority="3">
      <formula>$D$44="简单平均"</formula>
    </cfRule>
  </conditionalFormatting>
  <conditionalFormatting sqref="H44">
    <cfRule type="expression" dxfId="134" priority="2">
      <formula>$D$44="简单平均"</formula>
    </cfRule>
  </conditionalFormatting>
  <conditionalFormatting sqref="J44">
    <cfRule type="expression" dxfId="133" priority="1">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S52" sqref="S52"/>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2408</v>
      </c>
      <c r="D1" s="1460">
        <f>SUM(D29:D30,D33:D39)</f>
        <v>0</v>
      </c>
      <c r="E1" s="1354" t="s">
        <v>2409</v>
      </c>
      <c r="F1" s="2307"/>
      <c r="G1" s="1349"/>
      <c r="H1" s="1349"/>
      <c r="I1" s="1349"/>
      <c r="J1" s="1349"/>
      <c r="K1" s="2070"/>
      <c r="L1" s="1796" t="s">
        <v>2224</v>
      </c>
      <c r="M1" s="1797">
        <f>SUMPRODUCT((区片价!B5:B9=I2)*(区片价!C3:F3=E2)*(区片价!C5:F9))</f>
        <v>0</v>
      </c>
      <c r="N1" s="1798">
        <f>SUMPRODUCT((因素修正幅度!B5:B9=I2)*(因素修正幅度!C3:F3=E2)*(因素修正幅度!C5:F9))</f>
        <v>0</v>
      </c>
      <c r="O1" s="2070"/>
      <c r="P1" s="2070"/>
      <c r="Q1" s="2070"/>
      <c r="R1" s="2653" t="s">
        <v>2738</v>
      </c>
      <c r="S1" s="2653" t="s">
        <v>2739</v>
      </c>
      <c r="T1" s="2653" t="s">
        <v>2760</v>
      </c>
      <c r="U1" s="2653" t="s">
        <v>2761</v>
      </c>
      <c r="V1" s="2653" t="s">
        <v>2762</v>
      </c>
      <c r="W1" s="2070"/>
      <c r="X1" s="2070"/>
      <c r="Y1" s="2070"/>
      <c r="Z1" s="2070"/>
      <c r="AA1" s="2070"/>
      <c r="AB1" s="2070"/>
      <c r="AC1" s="2071"/>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32"/>
      <c r="L2" s="1799" t="s">
        <v>2225</v>
      </c>
      <c r="M2" s="1800">
        <f>SUMPRODUCT((区片价!B10:B28=I2)*(区片价!C3:F3=E2)*(区片价!C10:F28))</f>
        <v>0</v>
      </c>
      <c r="N2" s="1801">
        <f>SUMPRODUCT((因素修正幅度!B10:B28=I2)*(因素修正幅度!C3:F3=E2)*(因素修正幅度!C10:F28))</f>
        <v>0</v>
      </c>
      <c r="O2" s="3232"/>
      <c r="P2" s="2070"/>
      <c r="Q2" s="2070"/>
      <c r="R2" s="2654">
        <v>1</v>
      </c>
      <c r="S2" s="2654" t="e">
        <f>ROUND(IF(G3&gt;1,IF(R2&lt;7,SUMPRODUCT((B93:B98=R2)*(C92:N92=G2)*(C93:N98)),SUMIF(C92:N92,G2,C100:N100)),IF(R2&lt;7,SUMPRODUCT((B102:B107=R2)*(C92:N92=G2)*(C102:N107)),SUMIF(C92:N92,G2,C109:N109))),4)</f>
        <v>#DIV/0!</v>
      </c>
      <c r="T2" s="2654" t="e">
        <f>ROUND($C$5*$C$18*$C$19*$C$20*S2*$C$24,0)</f>
        <v>#DIV/0!</v>
      </c>
      <c r="U2" s="2643"/>
      <c r="V2" s="2654" t="e">
        <f>ROUND(T2*U2/10000,0)</f>
        <v>#DIV/0!</v>
      </c>
      <c r="W2" s="2070"/>
      <c r="X2" s="2070"/>
      <c r="Y2" s="2070"/>
      <c r="Z2" s="2070"/>
      <c r="AA2" s="2070"/>
      <c r="AB2" s="2070"/>
      <c r="AC2" s="2071"/>
    </row>
    <row r="3" spans="1:39" ht="15.75">
      <c r="A3" s="1359" t="s">
        <v>1678</v>
      </c>
      <c r="B3" s="1024" t="e">
        <f>ROUND(B2*10000/D1,0)</f>
        <v>#DIV/0!</v>
      </c>
      <c r="C3" s="1355" t="s">
        <v>918</v>
      </c>
      <c r="D3" s="1356" t="s">
        <v>919</v>
      </c>
      <c r="E3" s="1360"/>
      <c r="F3" s="1361"/>
      <c r="G3" s="1025">
        <f>IF(F3="宗地容积率",'数据-汇总表'!I4,IF(F3="估价对象容积率",'数据-汇总表'!I6,'数据-汇总表'!I7))</f>
        <v>0</v>
      </c>
      <c r="H3" s="1362" t="s">
        <v>920</v>
      </c>
      <c r="I3" s="1026">
        <v>8</v>
      </c>
      <c r="J3" s="1358" t="s">
        <v>921</v>
      </c>
      <c r="K3" s="3232"/>
      <c r="L3" s="1799" t="s">
        <v>2226</v>
      </c>
      <c r="M3" s="1800">
        <f>SUMPRODUCT((区片价!B29:B48=I2)*(区片价!C3:F3=E2)*(区片价!C29:F48))</f>
        <v>0</v>
      </c>
      <c r="N3" s="1801">
        <f>SUMPRODUCT((因素修正幅度!B29:B48=I2)*(因素修正幅度!C3:F3=E2)*(因素修正幅度!C29:F48))</f>
        <v>0</v>
      </c>
      <c r="O3" s="3232"/>
      <c r="P3" s="2070"/>
      <c r="Q3" s="2070"/>
      <c r="R3" s="2654">
        <v>2</v>
      </c>
      <c r="S3" s="2654" t="e">
        <f>ROUND(IF(G3&gt;1,IF(R3&lt;7,SUMPRODUCT((B93:B98=R3)*(C92:N92=G2)*(C93:N98)),SUMIF(C92:N92,G2,C100:N100)),IF(R3&lt;7,SUMPRODUCT((B102:B107=R3)*(C92:N92=G2)*(C102:N107)),SUMIF(C92:N92,G2,C109:N109))),4)</f>
        <v>#DIV/0!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2265</v>
      </c>
      <c r="B4" s="2308" t="e">
        <f>ROUND(B2*10000/F1,0)</f>
        <v>#DIV/0!</v>
      </c>
      <c r="C4" s="1808" t="s">
        <v>2240</v>
      </c>
      <c r="D4" s="1808" t="e">
        <f>ROUND(B2/(F1/666.67),0)</f>
        <v>#DIV/0!</v>
      </c>
      <c r="E4" s="1808" t="s">
        <v>2241</v>
      </c>
      <c r="F4" s="1806"/>
      <c r="G4" s="1806"/>
      <c r="H4" s="1806"/>
      <c r="I4" s="1806"/>
      <c r="J4" s="1807"/>
      <c r="K4" s="3233"/>
      <c r="L4" s="1799" t="s">
        <v>2227</v>
      </c>
      <c r="M4" s="1800">
        <f>SUMPRODUCT((区片价!B49:B75=I2)*(区片价!C3:F3=E2)*(区片价!C49:F75))</f>
        <v>0</v>
      </c>
      <c r="N4" s="1801">
        <f>SUMPRODUCT((因素修正幅度!B49:B75=I2)*(因素修正幅度!C3:F3=E2)*(因素修正幅度!C49:F75))</f>
        <v>0</v>
      </c>
      <c r="O4" s="3233"/>
      <c r="P4" s="2070"/>
      <c r="Q4" s="2070"/>
      <c r="R4" s="2654">
        <v>3</v>
      </c>
      <c r="S4" s="2654" t="e">
        <f>ROUND(IF(G3&gt;1,IF(R4&lt;7,SUMPRODUCT((B93:B98=R4)*(C92:N92=G2)*(C93:N98)),SUMIF(C92:N92,G2,C100:N100)),IF(R4&lt;7,SUMPRODUCT((B102:B107=R4)*(C92:N92=G2)*(C102:N107)),SUMIF(C92:N92,G2,C109:N109))),4)</f>
        <v>#DIV/0!</v>
      </c>
      <c r="T4" s="2654" t="e">
        <f t="shared" si="0"/>
        <v>#DIV/0!</v>
      </c>
      <c r="U4" s="2643"/>
      <c r="V4" s="2654" t="e">
        <f t="shared" si="1"/>
        <v>#DIV/0!</v>
      </c>
      <c r="W4" s="2070"/>
      <c r="X4" s="2070"/>
      <c r="Y4" s="2070"/>
      <c r="Z4" s="2070"/>
      <c r="AA4" s="2070"/>
      <c r="AB4" s="2070"/>
      <c r="AC4" s="2071"/>
    </row>
    <row r="5" spans="1:39" s="1369" customFormat="1" ht="15.75" thickBot="1">
      <c r="A5" s="1566" t="s">
        <v>1814</v>
      </c>
      <c r="B5" s="1363" t="s">
        <v>922</v>
      </c>
      <c r="C5" s="1027" t="e">
        <f>ROUND(IF(E2="商业",C6*C7+C16,(IF(E2="住宅",C6*C12+C16,C6+C16))),0)</f>
        <v>#DIV/0!</v>
      </c>
      <c r="D5" s="2793" t="e">
        <f>ROUND(C6+C16,0)</f>
        <v>#DIV/0!</v>
      </c>
      <c r="E5" s="2793"/>
      <c r="F5" s="1364"/>
      <c r="G5" s="1365"/>
      <c r="H5" s="1365"/>
      <c r="I5" s="1365"/>
      <c r="J5" s="1366"/>
      <c r="K5" s="3234"/>
      <c r="L5" s="1799" t="s">
        <v>2228</v>
      </c>
      <c r="M5" s="1800">
        <f>SUMPRODUCT((区片价!B76:B109=I2)*(区片价!C3:F3=E2)*(区片价!C76:F109))</f>
        <v>0</v>
      </c>
      <c r="N5" s="1801">
        <f>SUMPRODUCT((因素修正幅度!B76:B109=I2)*(因素修正幅度!C3:F3=E2)*(因素修正幅度!C76:F109))</f>
        <v>0</v>
      </c>
      <c r="O5" s="3234"/>
      <c r="P5" s="3237"/>
      <c r="Q5" s="2070"/>
      <c r="R5" s="2654">
        <v>4</v>
      </c>
      <c r="S5" s="2654" t="e">
        <f>ROUND(IF(G3&gt;1,IF(R5&lt;7,SUMPRODUCT((B93:B98=R5)*(C92:N92=G2)*(C93:N98)),SUMIF(C92:N92,G2,C100:N100)),IF(R5&lt;7,SUMPRODUCT((B102:B107=R5)*(C92:N92=G2)*(C102:N107)),SUMIF(C92:N92,G2,C109:N109))),4)</f>
        <v>#DIV/0!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SUMIF(L1:L12,基准地价!G2,M1:M12)</f>
        <v>0</v>
      </c>
      <c r="D6" s="1371" t="s">
        <v>1686</v>
      </c>
      <c r="E6" s="1372"/>
      <c r="F6" s="1372"/>
      <c r="G6" s="1373"/>
      <c r="H6" s="1373"/>
      <c r="I6" s="1373"/>
      <c r="J6" s="1374"/>
      <c r="K6" s="3235"/>
      <c r="L6" s="1799" t="s">
        <v>2229</v>
      </c>
      <c r="M6" s="1800">
        <f>SUMPRODUCT((区片价!B110:B157=I2)*(区片价!C3:F3=E2)*(区片价!C110:F157))</f>
        <v>0</v>
      </c>
      <c r="N6" s="1801">
        <f>SUMPRODUCT((因素修正幅度!B110:B157=I2)*(因素修正幅度!C3:F3=E2)*(因素修正幅度!C110:F157))</f>
        <v>0</v>
      </c>
      <c r="O6" s="3235"/>
      <c r="P6" s="3238"/>
      <c r="Q6" s="2070"/>
      <c r="R6" s="2654">
        <v>5</v>
      </c>
      <c r="S6" s="2654" t="e">
        <f>ROUND(IF(G3&gt;1,IF(R6&lt;7,SUMPRODUCT((B93:B98=R6)*(C92:N92=G2)*(C93:N98)),SUMIF(C92:N92,G2,C100:N100)),IF(R6&lt;7,SUMPRODUCT((B102:B107=R6)*(C92:N92=G2)*(C102:N107)),SUMIF(C92:N92,G2,C109:N109))),4)</f>
        <v>#DIV/0!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48" t="str">
        <f>IF(E2="商业",IF(C8="不临58条商业街","",2),"")</f>
        <v/>
      </c>
      <c r="B7" s="1375" t="s">
        <v>923</v>
      </c>
      <c r="C7" s="1029" t="e">
        <f>IF(C8="不临58条商业街",1,ROUND(1+(1.6*E8+1.2*E9+0.8*E10+0.4*E11)*C9,4))</f>
        <v>#DIV/0!</v>
      </c>
      <c r="D7" s="1376" t="s">
        <v>924</v>
      </c>
      <c r="E7" s="1030"/>
      <c r="F7" s="1377"/>
      <c r="G7" s="1378"/>
      <c r="H7" s="1378"/>
      <c r="I7" s="1378"/>
      <c r="J7" s="1379"/>
      <c r="K7" s="3235"/>
      <c r="L7" s="1799" t="s">
        <v>2230</v>
      </c>
      <c r="M7" s="1800">
        <f>SUMPRODUCT((区片价!B158:B205=I2)*(区片价!C3:F3=E2)*(区片价!C158:F205))</f>
        <v>0</v>
      </c>
      <c r="N7" s="1801">
        <f>SUMPRODUCT((因素修正幅度!B158:B205=I2)*(因素修正幅度!C3:F3=E2)*(因素修正幅度!C158:F205))</f>
        <v>0</v>
      </c>
      <c r="O7" s="3235"/>
      <c r="P7" s="3238"/>
      <c r="Q7" s="2070"/>
      <c r="R7" s="2654">
        <v>6</v>
      </c>
      <c r="S7" s="2654" t="e">
        <f>ROUND(IF(G3&gt;1,IF(R7&lt;7,SUMPRODUCT((B93:B98=R7)*(C92:N92=G2)*(C93:N98)),SUMIF(C92:N92,G2,C100:N100)),IF(R7&lt;7,SUMPRODUCT((B102:B107=R7)*(C92:N92=G2)*(C102:N107)),SUMIF(C92:N92,G2,C109:N109))),4)</f>
        <v>#DIV/0!</v>
      </c>
      <c r="T7" s="2654" t="e">
        <f t="shared" si="0"/>
        <v>#DIV/0!</v>
      </c>
      <c r="U7" s="2643"/>
      <c r="V7" s="2654" t="e">
        <f t="shared" si="1"/>
        <v>#DIV/0!</v>
      </c>
      <c r="W7" s="2652" t="s">
        <v>2741</v>
      </c>
      <c r="X7" s="2644">
        <f>G2</f>
        <v>0</v>
      </c>
      <c r="Y7" s="2644" t="s">
        <v>2742</v>
      </c>
      <c r="Z7" s="2645">
        <f>G3</f>
        <v>0</v>
      </c>
      <c r="AA7" s="2073"/>
      <c r="AB7" s="2073"/>
      <c r="AC7" s="2074"/>
      <c r="AD7" s="2646"/>
      <c r="AE7" s="2646"/>
      <c r="AF7" s="2646"/>
      <c r="AG7" s="2646"/>
      <c r="AH7" s="2646"/>
      <c r="AI7" s="2646"/>
      <c r="AJ7" s="2647"/>
    </row>
    <row r="8" spans="1:39" ht="15">
      <c r="A8" s="3549"/>
      <c r="B8" s="1362" t="s">
        <v>925</v>
      </c>
      <c r="C8" s="1468"/>
      <c r="D8" s="1031" t="s">
        <v>926</v>
      </c>
      <c r="E8" s="1032" t="e">
        <f>ROUND(C11/E7,4)</f>
        <v>#DIV/0!</v>
      </c>
      <c r="F8" s="1380" t="s">
        <v>927</v>
      </c>
      <c r="G8" s="1381"/>
      <c r="H8" s="1381"/>
      <c r="I8" s="1381"/>
      <c r="J8" s="1382"/>
      <c r="K8" s="3235"/>
      <c r="L8" s="1799" t="s">
        <v>2231</v>
      </c>
      <c r="M8" s="1800">
        <f>SUMPRODUCT((区片价!B206:B244=I2)*(区片价!C3:F3=E2)*(区片价!C206:F244))</f>
        <v>0</v>
      </c>
      <c r="N8" s="1801">
        <f>SUMPRODUCT((因素修正幅度!B206:B244=I2)*(因素修正幅度!C3:F3=E2)*(因素修正幅度!C206:F244))</f>
        <v>0</v>
      </c>
      <c r="O8" s="3235"/>
      <c r="P8" s="2070"/>
      <c r="Q8" s="2070"/>
      <c r="R8" s="2654">
        <v>7</v>
      </c>
      <c r="S8" s="2643"/>
      <c r="T8" s="2654" t="e">
        <f t="shared" si="0"/>
        <v>#DIV/0!</v>
      </c>
      <c r="U8" s="2643"/>
      <c r="V8" s="2654" t="e">
        <f t="shared" si="1"/>
        <v>#DIV/0!</v>
      </c>
      <c r="W8" s="3559" t="s">
        <v>2759</v>
      </c>
      <c r="X8" s="3560"/>
      <c r="Y8" s="1763" t="s">
        <v>2743</v>
      </c>
      <c r="Z8" s="1763" t="s">
        <v>2744</v>
      </c>
      <c r="AA8" s="1763" t="s">
        <v>2745</v>
      </c>
      <c r="AB8" s="1763" t="s">
        <v>2746</v>
      </c>
      <c r="AC8" s="1763" t="s">
        <v>2747</v>
      </c>
      <c r="AD8" s="1763" t="s">
        <v>2748</v>
      </c>
      <c r="AE8" s="1763" t="s">
        <v>2749</v>
      </c>
      <c r="AF8" s="1763" t="s">
        <v>2750</v>
      </c>
      <c r="AG8" s="1763" t="s">
        <v>2751</v>
      </c>
      <c r="AH8" s="1763" t="s">
        <v>2752</v>
      </c>
      <c r="AI8" s="1763" t="s">
        <v>2753</v>
      </c>
      <c r="AJ8" s="1763" t="s">
        <v>2754</v>
      </c>
    </row>
    <row r="9" spans="1:39" ht="15">
      <c r="A9" s="3549"/>
      <c r="B9" s="1362" t="s">
        <v>928</v>
      </c>
      <c r="C9" s="1033">
        <f>SUMIF(修正!C59:C119,C8,修正!E59:E119)</f>
        <v>0</v>
      </c>
      <c r="D9" s="1034" t="s">
        <v>929</v>
      </c>
      <c r="E9" s="1034" t="e">
        <f>ROUND(C11/E7,4)</f>
        <v>#DIV/0!</v>
      </c>
      <c r="F9" s="1380" t="s">
        <v>930</v>
      </c>
      <c r="G9" s="1381"/>
      <c r="H9" s="1381"/>
      <c r="I9" s="1381"/>
      <c r="J9" s="1382"/>
      <c r="K9" s="3235"/>
      <c r="L9" s="1799" t="s">
        <v>2232</v>
      </c>
      <c r="M9" s="1800">
        <f>SUMPRODUCT((区片价!B245:B289=I2)*(区片价!C3:F3=E2)*(区片价!C245:F289))</f>
        <v>0</v>
      </c>
      <c r="N9" s="1801">
        <f>SUMPRODUCT((因素修正幅度!B245:B289=I2)*(因素修正幅度!C3:F3=E2)*(因素修正幅度!C245:F289))</f>
        <v>0</v>
      </c>
      <c r="O9" s="3235"/>
      <c r="P9" s="2070"/>
      <c r="Q9" s="2070"/>
      <c r="R9" s="2654">
        <v>8</v>
      </c>
      <c r="S9" s="2643"/>
      <c r="T9" s="2654" t="e">
        <f t="shared" si="0"/>
        <v>#DIV/0!</v>
      </c>
      <c r="U9" s="2643"/>
      <c r="V9" s="2654" t="e">
        <f t="shared" si="1"/>
        <v>#DIV/0!</v>
      </c>
      <c r="W9" s="3558" t="s">
        <v>2755</v>
      </c>
      <c r="X9" s="2648" t="s">
        <v>2756</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49"/>
      <c r="B10" s="1362" t="s">
        <v>931</v>
      </c>
      <c r="C10" s="1034">
        <f>SUMIF(修正!C59:C119,C8,修正!F59:F119)</f>
        <v>0</v>
      </c>
      <c r="D10" s="1034" t="s">
        <v>932</v>
      </c>
      <c r="E10" s="1034" t="e">
        <f>ROUND(C11/E7,4)</f>
        <v>#DIV/0!</v>
      </c>
      <c r="F10" s="1380" t="s">
        <v>933</v>
      </c>
      <c r="G10" s="1381"/>
      <c r="H10" s="1381"/>
      <c r="I10" s="1381"/>
      <c r="J10" s="1382"/>
      <c r="K10" s="3235"/>
      <c r="L10" s="1799" t="s">
        <v>2233</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t="e">
        <f t="shared" si="0"/>
        <v>#DIV/0!</v>
      </c>
      <c r="U10" s="2643"/>
      <c r="V10" s="2654" t="e">
        <f t="shared" si="1"/>
        <v>#DIV/0!</v>
      </c>
      <c r="W10" s="3558"/>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49"/>
      <c r="B11" s="1383" t="s">
        <v>934</v>
      </c>
      <c r="C11" s="1035">
        <f>C10/4</f>
        <v>0</v>
      </c>
      <c r="D11" s="1035" t="s">
        <v>935</v>
      </c>
      <c r="E11" s="1035" t="e">
        <f>ROUND(C11/E7,4)</f>
        <v>#DIV/0!</v>
      </c>
      <c r="F11" s="1384" t="s">
        <v>936</v>
      </c>
      <c r="G11" s="1385"/>
      <c r="H11" s="1385"/>
      <c r="I11" s="1385"/>
      <c r="J11" s="1386"/>
      <c r="K11" s="3235"/>
      <c r="L11" s="1799" t="s">
        <v>2234</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t="e">
        <f t="shared" si="0"/>
        <v>#DIV/0!</v>
      </c>
      <c r="U11" s="2643"/>
      <c r="V11" s="2654" t="e">
        <f t="shared" si="1"/>
        <v>#DIV/0!</v>
      </c>
      <c r="W11" s="3558" t="s">
        <v>2757</v>
      </c>
      <c r="X11" s="1034" t="s">
        <v>2742</v>
      </c>
      <c r="Y11" s="1581">
        <f>$G$3</f>
        <v>0</v>
      </c>
      <c r="Z11" s="1581">
        <f t="shared" ref="Z11:AJ11" si="3">$G$3</f>
        <v>0</v>
      </c>
      <c r="AA11" s="1581">
        <f t="shared" si="3"/>
        <v>0</v>
      </c>
      <c r="AB11" s="1581">
        <f t="shared" si="3"/>
        <v>0</v>
      </c>
      <c r="AC11" s="1581">
        <f t="shared" si="3"/>
        <v>0</v>
      </c>
      <c r="AD11" s="1581">
        <f t="shared" si="3"/>
        <v>0</v>
      </c>
      <c r="AE11" s="1581">
        <f t="shared" si="3"/>
        <v>0</v>
      </c>
      <c r="AF11" s="1581">
        <f t="shared" si="3"/>
        <v>0</v>
      </c>
      <c r="AG11" s="1581">
        <f t="shared" si="3"/>
        <v>0</v>
      </c>
      <c r="AH11" s="1581">
        <f t="shared" si="3"/>
        <v>0</v>
      </c>
      <c r="AI11" s="1581">
        <f t="shared" si="3"/>
        <v>0</v>
      </c>
      <c r="AJ11" s="1581">
        <f t="shared" si="3"/>
        <v>0</v>
      </c>
    </row>
    <row r="12" spans="1:39" ht="25.5" thickBot="1">
      <c r="A12" s="3548" t="s">
        <v>1862</v>
      </c>
      <c r="B12" s="1387" t="s">
        <v>937</v>
      </c>
      <c r="C12" s="1029">
        <f>ROUND(C15*D15*E15*F15*G15*H15*I15*J15,4)</f>
        <v>1</v>
      </c>
      <c r="D12" s="1388" t="s">
        <v>938</v>
      </c>
      <c r="E12" s="1389"/>
      <c r="F12" s="1389"/>
      <c r="G12" s="1390"/>
      <c r="H12" s="1390"/>
      <c r="I12" s="1390"/>
      <c r="J12" s="1391"/>
      <c r="K12" s="3235"/>
      <c r="L12" s="1802" t="s">
        <v>2235</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t="e">
        <f t="shared" si="0"/>
        <v>#DIV/0!</v>
      </c>
      <c r="U12" s="2643"/>
      <c r="V12" s="2654" t="e">
        <f t="shared" si="1"/>
        <v>#DIV/0!</v>
      </c>
      <c r="W12" s="3558"/>
      <c r="X12" s="2651" t="s">
        <v>2758</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50"/>
      <c r="B13" s="1392" t="s">
        <v>1687</v>
      </c>
      <c r="C13" s="1393" t="s">
        <v>1688</v>
      </c>
      <c r="D13" s="1071" t="s">
        <v>1689</v>
      </c>
      <c r="E13" s="1071" t="s">
        <v>1690</v>
      </c>
      <c r="F13" s="1394" t="s">
        <v>939</v>
      </c>
      <c r="G13" s="1395" t="s">
        <v>1633</v>
      </c>
      <c r="H13" s="1396" t="s">
        <v>1633</v>
      </c>
      <c r="I13" s="1397" t="s">
        <v>1633</v>
      </c>
      <c r="J13" s="1398" t="s">
        <v>1633</v>
      </c>
      <c r="K13" s="2843"/>
      <c r="L13" s="2843"/>
      <c r="M13" s="2843"/>
      <c r="N13" s="2843"/>
      <c r="O13" s="2843"/>
      <c r="P13" s="2070"/>
      <c r="Q13" s="2070"/>
      <c r="R13" s="2654">
        <v>12</v>
      </c>
      <c r="S13" s="2643"/>
      <c r="T13" s="2654" t="e">
        <f t="shared" si="0"/>
        <v>#DIV/0!</v>
      </c>
      <c r="U13" s="2643"/>
      <c r="V13" s="2654" t="e">
        <f t="shared" si="1"/>
        <v>#DIV/0!</v>
      </c>
      <c r="W13" s="3558"/>
      <c r="X13" s="2651"/>
      <c r="Y13" s="2650" t="e">
        <f>(-0.163*(Y12^2)-0.59*Y12+7617)*(10^(-4))/Y11</f>
        <v>#DIV/0!</v>
      </c>
      <c r="Z13" s="2650" t="e">
        <f t="shared" ref="Z13:AJ13" si="5">(-0.163*(Z12^2)-0.59*Z12+7617)*(10^(-4))/Z11</f>
        <v>#DIV/0!</v>
      </c>
      <c r="AA13" s="2650" t="e">
        <f t="shared" si="5"/>
        <v>#DIV/0!</v>
      </c>
      <c r="AB13" s="2650" t="e">
        <f t="shared" si="5"/>
        <v>#DIV/0!</v>
      </c>
      <c r="AC13" s="2650" t="e">
        <f t="shared" si="5"/>
        <v>#DIV/0!</v>
      </c>
      <c r="AD13" s="2650" t="e">
        <f t="shared" si="5"/>
        <v>#DIV/0!</v>
      </c>
      <c r="AE13" s="2650" t="e">
        <f t="shared" si="5"/>
        <v>#DIV/0!</v>
      </c>
      <c r="AF13" s="2650" t="e">
        <f t="shared" si="5"/>
        <v>#DIV/0!</v>
      </c>
      <c r="AG13" s="2650" t="e">
        <f t="shared" si="5"/>
        <v>#DIV/0!</v>
      </c>
      <c r="AH13" s="2650" t="e">
        <f t="shared" si="5"/>
        <v>#DIV/0!</v>
      </c>
      <c r="AI13" s="2650" t="e">
        <f t="shared" si="5"/>
        <v>#DIV/0!</v>
      </c>
      <c r="AJ13" s="2650" t="e">
        <f t="shared" si="5"/>
        <v>#DIV/0!</v>
      </c>
    </row>
    <row r="14" spans="1:39" ht="12.75" customHeight="1">
      <c r="A14" s="3550"/>
      <c r="B14" s="1399"/>
      <c r="C14" s="1400"/>
      <c r="D14" s="1401"/>
      <c r="E14" s="1401"/>
      <c r="F14" s="1402"/>
      <c r="G14" s="1403" t="s">
        <v>940</v>
      </c>
      <c r="H14" s="1404"/>
      <c r="I14" s="1405"/>
      <c r="J14" s="1406"/>
      <c r="K14" s="3236"/>
      <c r="L14" s="3236"/>
      <c r="M14" s="3236"/>
      <c r="N14" s="3236"/>
      <c r="O14" s="3236"/>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51"/>
      <c r="B15" s="2848" t="s">
        <v>1691</v>
      </c>
      <c r="C15" s="1035">
        <f>IF(C14="有",1.1,1)</f>
        <v>1</v>
      </c>
      <c r="D15" s="1035">
        <f>IF(D14="有",1.1,1)</f>
        <v>1</v>
      </c>
      <c r="E15" s="1035">
        <f>IF(E14="有",1.1,1)</f>
        <v>1</v>
      </c>
      <c r="F15" s="1035">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48" t="s">
        <v>1829</v>
      </c>
      <c r="B16" s="1375" t="s">
        <v>941</v>
      </c>
      <c r="C16" s="1038" t="e">
        <f>ROUND(IF(F17="与级别开发程度一致",0,(G17-E17)/C17),0)</f>
        <v>#DIV/0!</v>
      </c>
      <c r="D16" s="3566" t="s">
        <v>945</v>
      </c>
      <c r="E16" s="3567"/>
      <c r="F16" s="3566" t="s">
        <v>942</v>
      </c>
      <c r="G16" s="3567"/>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52"/>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9" t="s">
        <v>946</v>
      </c>
      <c r="C18" s="2850">
        <f>SUMIF(修正!C18:C39,E3,修正!E18:E39)</f>
        <v>0</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ROUND(IF(H19="按公示增长率计算",SUMPRODUCT((地价!A3:A31=YEAR(G19)&amp;"-"&amp;ROUNDUP(MONTH(G19)/3,0))*(地价!X2:AB2=E2)*(地价!X3:AB31)),IF(H19="地价指数",M20/M19,(1+I19)^O19)),4)</f>
        <v>0</v>
      </c>
      <c r="D19" s="1414" t="s">
        <v>948</v>
      </c>
      <c r="E19" s="1040">
        <v>41640</v>
      </c>
      <c r="F19" s="1414" t="s">
        <v>949</v>
      </c>
      <c r="G19" s="1041">
        <f>'数据-取费表'!B2</f>
        <v>44062</v>
      </c>
      <c r="H19" s="1415" t="s">
        <v>2948</v>
      </c>
      <c r="I19" s="2503" t="str">
        <f>IF(H19="季度增幅（自定义）",SUMIF(N21:N24,E2,O21:O24),"")</f>
        <v/>
      </c>
      <c r="J19" s="1411"/>
      <c r="K19" s="3234"/>
      <c r="L19" s="2753" t="s">
        <v>2817</v>
      </c>
      <c r="M19" s="2754">
        <f>ROUND(SUMIF(地价!B2:F2,E2,地价!B31:F31),0)</f>
        <v>0</v>
      </c>
      <c r="N19" s="2505" t="s">
        <v>1667</v>
      </c>
      <c r="O19" s="2504">
        <f>ROUNDDOWN(DATEDIF(E19,G19,"M")/3,0)</f>
        <v>26</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3">
        <f ca="1">存贷款利率!I4/100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4"/>
      <c r="L20" s="2755" t="s">
        <v>2818</v>
      </c>
      <c r="M20" s="2837">
        <f>ROUND(SUMPRODUCT((地价!A4:A31=YEAR(G19)&amp;"-"&amp;ROUNDUP(MONTH(G19)/3,0))*(地价!B2:F2=E2)*(地价!B4:F31)),0)</f>
        <v>0</v>
      </c>
      <c r="N20" s="2508" t="s">
        <v>2623</v>
      </c>
      <c r="O20" s="2506" t="s">
        <v>2622</v>
      </c>
      <c r="P20" s="2507" t="s">
        <v>2627</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2985</v>
      </c>
      <c r="C21" s="1140" t="b">
        <f>IF(B21="容积率修正",IF(G3&lt;=10,D22,J22),C23)</f>
        <v>0</v>
      </c>
      <c r="D21" s="1421"/>
      <c r="E21" s="1421"/>
      <c r="F21" s="1421"/>
      <c r="G21" s="1421"/>
      <c r="H21" s="1421"/>
      <c r="I21" s="1421"/>
      <c r="J21" s="1422"/>
      <c r="K21" s="3234"/>
      <c r="L21" s="1421"/>
      <c r="M21" s="1421"/>
      <c r="N21" s="1418" t="s">
        <v>966</v>
      </c>
      <c r="O21" s="1481"/>
      <c r="P21" s="2495">
        <f>SUMPRODUCT((地价!A3:A31=YEAR(G19)&amp;"-"&amp;ROUNDUP(MONTH(G19)/3,0))*(地价!AD2:AH2=N21)*(地价!AD3:AH31))</f>
        <v>1.2E-2</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t="b">
        <f>IF(E22=G22,F22,IF(G3&lt;=10,ROUND(F22+(H22-F22)*(G3-E22)/(G22-E22),4),"——"))</f>
        <v>0</v>
      </c>
      <c r="E22" s="1025">
        <f>ROUNDDOWN(G3,1)</f>
        <v>0</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0</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40"/>
      <c r="L22" s="1421"/>
      <c r="M22" s="1421"/>
      <c r="N22" s="1418" t="s">
        <v>969</v>
      </c>
      <c r="O22" s="1481"/>
      <c r="P22" s="2495">
        <f>SUMPRODUCT((地价!A3:A31=YEAR(G19)&amp;"-"&amp;ROUNDUP(MONTH(G19)/3,0))*(地价!AD2:AH2=N22)*(地价!AD3:AH31))</f>
        <v>1.2E-2</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41"/>
      <c r="L23" s="1349"/>
      <c r="M23" s="1349"/>
      <c r="N23" s="1418" t="s">
        <v>914</v>
      </c>
      <c r="O23" s="1481"/>
      <c r="P23" s="2495">
        <f>SUMPRODUCT((地价!A3:A31=YEAR(G19)&amp;"-"&amp;ROUNDUP(MONTH(G19)/3,0))*(地价!AD2:AH2=N23)*(地价!AD3:AH31))</f>
        <v>1.9699999999999999E-2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v>
      </c>
      <c r="D24" s="1474"/>
      <c r="E24" s="1475"/>
      <c r="F24" s="1475"/>
      <c r="G24" s="1475"/>
      <c r="H24" s="1475"/>
      <c r="I24" s="1475"/>
      <c r="J24" s="1475"/>
      <c r="K24" s="3241"/>
      <c r="L24" s="1421"/>
      <c r="M24" s="1421"/>
      <c r="N24" s="1418" t="s">
        <v>972</v>
      </c>
      <c r="O24" s="2836"/>
      <c r="P24" s="2495">
        <f>SUMPRODUCT((地价!A3:A31=YEAR(G19)&amp;"-"&amp;ROUNDUP(MONTH(G19)/3,0))*(地价!AD2:AH2=N24)*(地价!AD3:AH31))</f>
        <v>1.2699999999999999E-2</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5"/>
      <c r="L25" s="2076"/>
      <c r="M25" s="2076"/>
      <c r="N25" s="2838" t="s">
        <v>2625</v>
      </c>
      <c r="O25" s="2839"/>
      <c r="P25" s="2302">
        <f>SUMPRODUCT((地价!A3:A31=YEAR(G19)&amp;"-"&amp;ROUNDUP(MONTH(G19)/3,0))*(地价!AD2:AH2=N25)*(地价!AD3:AH31))</f>
        <v>1.7899999999999999E-2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7" t="e">
        <f>IF(B21="容积率修正",E29+SUM(E33:E39),SUM(V2:V16)+SUM(E33:E39))</f>
        <v>#DIV/0!</v>
      </c>
      <c r="D26" s="1429"/>
      <c r="E26" s="1404"/>
      <c r="F26" s="1430"/>
      <c r="G26" s="1404"/>
      <c r="H26" s="1404"/>
      <c r="I26" s="1404"/>
      <c r="J26" s="1431"/>
      <c r="K26" s="3235"/>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5"/>
      <c r="L27" s="1408" t="s">
        <v>978</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5"/>
      <c r="L28" s="1409" t="s">
        <v>964</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5" t="e">
        <f>ROUND(C5*C18*C19*C20*C21*C24,0)</f>
        <v>#DIV/0!</v>
      </c>
      <c r="D29" s="1443"/>
      <c r="E29" s="1763" t="e">
        <f>ROUND(C29*D29/10000,0)</f>
        <v>#DIV/0!</v>
      </c>
      <c r="F29" s="1444" t="s">
        <v>1692</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7" t="e">
        <f>ROUND(IF(E2="工业",C29*M39,C29*M38),0)</f>
        <v>#DIV/0!</v>
      </c>
      <c r="D30" s="1449"/>
      <c r="E30" s="1763" t="e">
        <f>ROUND(C30*D30/10000,0)</f>
        <v>#DIV/0!</v>
      </c>
      <c r="F30" s="1450" t="s">
        <v>986</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55"/>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55" t="s">
        <v>2989</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56"/>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56"/>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56"/>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56"/>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57"/>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57"/>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2942</v>
      </c>
      <c r="C41" s="828" t="e">
        <f>ROUND(POWER(1+E41,H41-G41)*(POWER(1+E41,G41)-1)/(POWER(1+E41,H41)-1),4)</f>
        <v>#DIV/0!</v>
      </c>
      <c r="D41" s="372" t="s">
        <v>2940</v>
      </c>
      <c r="E41" s="2832">
        <f>G20</f>
        <v>0</v>
      </c>
      <c r="F41" s="372" t="s">
        <v>2941</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2236</v>
      </c>
      <c r="G46" s="2286" t="s">
        <v>1005</v>
      </c>
      <c r="H46" s="2269" t="s">
        <v>2400</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1011</v>
      </c>
      <c r="B47" s="2266" t="str">
        <f>估价对象房地状况!C16</f>
        <v>估价对象位于XX商圈，周边商业氛围成熟，人流量大，商业繁华度好</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49" t="s">
        <v>1012</v>
      </c>
      <c r="B48" s="2263" t="str">
        <f>估价对象房地状况!C18</f>
        <v>估价对象周边道路状况、公共交通通达情况、停车便捷程度，综合评价交通便捷度较好</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5" t="s">
        <v>2898</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4" t="s">
        <v>2897</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估价对象所在区域基础设施水平</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区域自然环境：；人文环境；综合评价环境状况一般</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2237</v>
      </c>
      <c r="G57" s="2286" t="s">
        <v>1005</v>
      </c>
      <c r="H57" s="2269" t="s">
        <v>2400</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49" t="s">
        <v>1021</v>
      </c>
      <c r="B58" s="2266" t="str">
        <f>估价对象房地状况!C17</f>
        <v>估价对象位于XX商圈，周边办公楼项目较多，入驻率高，办公集聚程度较好</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49" t="s">
        <v>1012</v>
      </c>
      <c r="B59" s="2263" t="str">
        <f>估价对象房地状况!C18</f>
        <v>估价对象周边道路状况、公共交通通达情况、停车便捷程度，综合评价交通便捷度较好</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5" t="s">
        <v>2899</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4" t="s">
        <v>2897</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1017</v>
      </c>
      <c r="B64" s="2264" t="str">
        <f>估价对象房地状况!C21</f>
        <v>估价对象所在区域公共配套设施齐备情况</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估价对象所在区域基础设施水平</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区域自然环境：；人文环境；综合评价环境状况一般</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2238</v>
      </c>
      <c r="G68" s="2286" t="s">
        <v>1005</v>
      </c>
      <c r="H68" s="2269" t="s">
        <v>2400</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49" t="s">
        <v>1023</v>
      </c>
      <c r="B69" s="2266" t="str">
        <f>估价对象房地状况!C15</f>
        <v>估价对象周边居住用地比例、居住小区规模和社区发展完善程度，综合评价居住社区成熟度一般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49" t="s">
        <v>1024</v>
      </c>
      <c r="B70" s="2263" t="str">
        <f>估价对象房地状况!C18</f>
        <v>估价对象周边道路状况、公共交通通达情况、停车便捷程度，综合评价交通便捷度较好</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1017</v>
      </c>
      <c r="B73" s="2264" t="str">
        <f>估价对象房地状况!C21</f>
        <v>估价对象所在区域公共配套设施齐备情况</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估价对象所在区域基础设施水平</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4" t="s">
        <v>2897</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1019</v>
      </c>
      <c r="B76" s="2266" t="str">
        <f>估价对象房地状况!C20</f>
        <v>区域自然环境：；人文环境；综合评价环境状况一般</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2239</v>
      </c>
      <c r="G79" s="2286" t="s">
        <v>1005</v>
      </c>
      <c r="H79" s="2269" t="s">
        <v>2400</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1024</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1013</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1025</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1017</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1018</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1016</v>
      </c>
      <c r="B86" s="2784" t="s">
        <v>2897</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53" t="s">
        <v>1624</v>
      </c>
      <c r="B90" s="3553"/>
      <c r="C90" s="3553"/>
      <c r="D90" s="3553"/>
      <c r="E90" s="3553"/>
      <c r="F90" s="3553"/>
      <c r="G90" s="3553"/>
      <c r="H90" s="3553"/>
      <c r="I90" s="3553"/>
      <c r="J90" s="3553"/>
      <c r="K90" s="2305"/>
      <c r="L90" s="2305"/>
      <c r="M90" s="2305"/>
      <c r="N90" s="2305"/>
    </row>
    <row r="91" spans="1:40">
      <c r="A91" s="3554" t="s">
        <v>1434</v>
      </c>
      <c r="B91" s="3554" t="s">
        <v>1625</v>
      </c>
      <c r="C91" s="1122" t="s">
        <v>1626</v>
      </c>
      <c r="D91" s="1123"/>
      <c r="E91" s="1123"/>
      <c r="F91" s="1123"/>
      <c r="G91" s="1123"/>
      <c r="H91" s="1123"/>
      <c r="I91" s="1123"/>
      <c r="J91" s="1124"/>
      <c r="K91" s="1116"/>
      <c r="L91" s="1116"/>
      <c r="M91" s="1116"/>
      <c r="N91" s="1116"/>
    </row>
    <row r="92" spans="1:40">
      <c r="A92" s="3554"/>
      <c r="B92" s="3554"/>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61" t="s">
        <v>2740</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62"/>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62"/>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62"/>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62"/>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62"/>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62"/>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63"/>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61" t="s">
        <v>1628</v>
      </c>
      <c r="B101" s="1129" t="s">
        <v>897</v>
      </c>
      <c r="C101" s="1130">
        <f>$G$3</f>
        <v>0</v>
      </c>
      <c r="D101" s="1130">
        <f t="shared" ref="D101:N101" si="31">$G$3</f>
        <v>0</v>
      </c>
      <c r="E101" s="1130">
        <f t="shared" si="31"/>
        <v>0</v>
      </c>
      <c r="F101" s="1130">
        <f t="shared" si="31"/>
        <v>0</v>
      </c>
      <c r="G101" s="1130">
        <f t="shared" si="31"/>
        <v>0</v>
      </c>
      <c r="H101" s="1130">
        <f t="shared" si="31"/>
        <v>0</v>
      </c>
      <c r="I101" s="1130">
        <f t="shared" si="31"/>
        <v>0</v>
      </c>
      <c r="J101" s="1130">
        <f t="shared" si="31"/>
        <v>0</v>
      </c>
      <c r="K101" s="1130">
        <f t="shared" si="31"/>
        <v>0</v>
      </c>
      <c r="L101" s="1130">
        <f t="shared" si="31"/>
        <v>0</v>
      </c>
      <c r="M101" s="1130">
        <f t="shared" si="31"/>
        <v>0</v>
      </c>
      <c r="N101" s="1130">
        <f t="shared" si="31"/>
        <v>0</v>
      </c>
    </row>
    <row r="102" spans="1:14">
      <c r="A102" s="3562"/>
      <c r="B102" s="1125">
        <v>1</v>
      </c>
      <c r="C102" s="1126" t="e">
        <f>1.9362/C101</f>
        <v>#DIV/0!</v>
      </c>
      <c r="D102" s="1126" t="e">
        <f>1.9362/D101</f>
        <v>#DIV/0!</v>
      </c>
      <c r="E102" s="1126" t="e">
        <f>1.8629/E101</f>
        <v>#DIV/0!</v>
      </c>
      <c r="F102" s="1126" t="e">
        <f>1.8629/F101</f>
        <v>#DIV/0!</v>
      </c>
      <c r="G102" s="1126" t="e">
        <f>1.8629/G101</f>
        <v>#DIV/0!</v>
      </c>
      <c r="H102" s="1126" t="e">
        <f>1.8629/H101</f>
        <v>#DIV/0!</v>
      </c>
      <c r="I102" s="1126" t="e">
        <f>1.8629/I101</f>
        <v>#DIV/0!</v>
      </c>
      <c r="J102" s="1126" t="e">
        <f>1.942/J101</f>
        <v>#DIV/0!</v>
      </c>
      <c r="K102" s="1126" t="e">
        <f>1.942/K101</f>
        <v>#DIV/0!</v>
      </c>
      <c r="L102" s="1126" t="e">
        <f>1.942/L101</f>
        <v>#DIV/0!</v>
      </c>
      <c r="M102" s="1126" t="e">
        <f>1.942/M101</f>
        <v>#DIV/0!</v>
      </c>
      <c r="N102" s="1126" t="e">
        <f>1.942/N101</f>
        <v>#DIV/0!</v>
      </c>
    </row>
    <row r="103" spans="1:14">
      <c r="A103" s="3562"/>
      <c r="B103" s="1125">
        <v>2</v>
      </c>
      <c r="C103" s="1126" t="e">
        <f>1.4198/C101</f>
        <v>#DIV/0!</v>
      </c>
      <c r="D103" s="1126" t="e">
        <f>1.4198/D101</f>
        <v>#DIV/0!</v>
      </c>
      <c r="E103" s="1126" t="e">
        <f>1.3372/E101</f>
        <v>#DIV/0!</v>
      </c>
      <c r="F103" s="1126" t="e">
        <f>1.3372/F101</f>
        <v>#DIV/0!</v>
      </c>
      <c r="G103" s="1126" t="e">
        <f>1.3372/G101</f>
        <v>#DIV/0!</v>
      </c>
      <c r="H103" s="1126" t="e">
        <f>1.3372/H101</f>
        <v>#DIV/0!</v>
      </c>
      <c r="I103" s="1126" t="e">
        <f>1.3372/I101</f>
        <v>#DIV/0!</v>
      </c>
      <c r="J103" s="1126" t="e">
        <f>1.2799/J101</f>
        <v>#DIV/0!</v>
      </c>
      <c r="K103" s="1126" t="e">
        <f>1.2799/K101</f>
        <v>#DIV/0!</v>
      </c>
      <c r="L103" s="1126" t="e">
        <f>1.2799/L101</f>
        <v>#DIV/0!</v>
      </c>
      <c r="M103" s="1126" t="e">
        <f>1.2799/M101</f>
        <v>#DIV/0!</v>
      </c>
      <c r="N103" s="1126" t="e">
        <f>1.2799/N101</f>
        <v>#DIV/0!</v>
      </c>
    </row>
    <row r="104" spans="1:14">
      <c r="A104" s="3562"/>
      <c r="B104" s="1125">
        <v>3</v>
      </c>
      <c r="C104" s="1126" t="e">
        <f>1.1594/C101</f>
        <v>#DIV/0!</v>
      </c>
      <c r="D104" s="1126" t="e">
        <f>1.1594/D101</f>
        <v>#DIV/0!</v>
      </c>
      <c r="E104" s="1126" t="e">
        <f>1.0788/E101</f>
        <v>#DIV/0!</v>
      </c>
      <c r="F104" s="1126" t="e">
        <f>1.0788/F101</f>
        <v>#DIV/0!</v>
      </c>
      <c r="G104" s="1126" t="e">
        <f>1.0788/G101</f>
        <v>#DIV/0!</v>
      </c>
      <c r="H104" s="1126" t="e">
        <f>1.0788/H101</f>
        <v>#DIV/0!</v>
      </c>
      <c r="I104" s="1126" t="e">
        <f>1.0788/I101</f>
        <v>#DIV/0!</v>
      </c>
      <c r="J104" s="1126" t="e">
        <f>1.0072/J101</f>
        <v>#DIV/0!</v>
      </c>
      <c r="K104" s="1126" t="e">
        <f>1.0072/K101</f>
        <v>#DIV/0!</v>
      </c>
      <c r="L104" s="1126" t="e">
        <f>1.0072/L101</f>
        <v>#DIV/0!</v>
      </c>
      <c r="M104" s="1126" t="e">
        <f>1.0072/M101</f>
        <v>#DIV/0!</v>
      </c>
      <c r="N104" s="1126" t="e">
        <f>1.0072/N101</f>
        <v>#DIV/0!</v>
      </c>
    </row>
    <row r="105" spans="1:14">
      <c r="A105" s="3562"/>
      <c r="B105" s="1125">
        <v>4</v>
      </c>
      <c r="C105" s="1126" t="e">
        <f>0.9622/C101</f>
        <v>#DIV/0!</v>
      </c>
      <c r="D105" s="1126" t="e">
        <f>0.9622/D101</f>
        <v>#DIV/0!</v>
      </c>
      <c r="E105" s="1126" t="e">
        <f>0.8656/E101</f>
        <v>#DIV/0!</v>
      </c>
      <c r="F105" s="1126" t="e">
        <f>0.8656/F101</f>
        <v>#DIV/0!</v>
      </c>
      <c r="G105" s="1126" t="e">
        <f>0.8656/G101</f>
        <v>#DIV/0!</v>
      </c>
      <c r="H105" s="1126" t="e">
        <f>0.8656/H101</f>
        <v>#DIV/0!</v>
      </c>
      <c r="I105" s="1126" t="e">
        <f>0.8656/I101</f>
        <v>#DIV/0!</v>
      </c>
      <c r="J105" s="1126" t="e">
        <f>0.7525/J101</f>
        <v>#DIV/0!</v>
      </c>
      <c r="K105" s="1126" t="e">
        <f>0.7525/K101</f>
        <v>#DIV/0!</v>
      </c>
      <c r="L105" s="1126" t="e">
        <f>0.7525/L101</f>
        <v>#DIV/0!</v>
      </c>
      <c r="M105" s="1126" t="e">
        <f>0.7525/M101</f>
        <v>#DIV/0!</v>
      </c>
      <c r="N105" s="1126" t="e">
        <f>0.7525/N101</f>
        <v>#DIV/0!</v>
      </c>
    </row>
    <row r="106" spans="1:14">
      <c r="A106" s="3562"/>
      <c r="B106" s="1125">
        <v>5</v>
      </c>
      <c r="C106" s="1126" t="e">
        <f>0.8417/C101</f>
        <v>#DIV/0!</v>
      </c>
      <c r="D106" s="1126" t="e">
        <f>0.8417/D101</f>
        <v>#DIV/0!</v>
      </c>
      <c r="E106" s="1126" t="e">
        <f>0.7371/E101</f>
        <v>#DIV/0!</v>
      </c>
      <c r="F106" s="1126" t="e">
        <f>0.7371/F101</f>
        <v>#DIV/0!</v>
      </c>
      <c r="G106" s="1126" t="e">
        <f>0.7371/G101</f>
        <v>#DIV/0!</v>
      </c>
      <c r="H106" s="1126" t="e">
        <f>0.7371/H101</f>
        <v>#DIV/0!</v>
      </c>
      <c r="I106" s="1126" t="e">
        <f>0.7371/I101</f>
        <v>#DIV/0!</v>
      </c>
      <c r="J106" s="1126" t="e">
        <f>0.5659/J101</f>
        <v>#DIV/0!</v>
      </c>
      <c r="K106" s="1126" t="e">
        <f>0.5659/K101</f>
        <v>#DIV/0!</v>
      </c>
      <c r="L106" s="1126" t="e">
        <f>0.5659/L101</f>
        <v>#DIV/0!</v>
      </c>
      <c r="M106" s="1126" t="e">
        <f>0.5659/M101</f>
        <v>#DIV/0!</v>
      </c>
      <c r="N106" s="1126" t="e">
        <f>0.5659/N101</f>
        <v>#DIV/0!</v>
      </c>
    </row>
    <row r="107" spans="1:14">
      <c r="A107" s="3562"/>
      <c r="B107" s="1125">
        <v>6</v>
      </c>
      <c r="C107" s="1126" t="e">
        <f>0.7608/C101</f>
        <v>#DIV/0!</v>
      </c>
      <c r="D107" s="1126" t="e">
        <f>0.7608/D101</f>
        <v>#DIV/0!</v>
      </c>
      <c r="E107" s="1126" t="e">
        <f>0.6482/E101</f>
        <v>#DIV/0!</v>
      </c>
      <c r="F107" s="1126" t="e">
        <f>0.6482/F101</f>
        <v>#DIV/0!</v>
      </c>
      <c r="G107" s="1126" t="e">
        <f>0.6482/G101</f>
        <v>#DIV/0!</v>
      </c>
      <c r="H107" s="1126" t="e">
        <f>0.6482/H101</f>
        <v>#DIV/0!</v>
      </c>
      <c r="I107" s="1126" t="e">
        <f>0.6482/I101</f>
        <v>#DIV/0!</v>
      </c>
      <c r="J107" s="1126" t="e">
        <f>0.4525/J101</f>
        <v>#DIV/0!</v>
      </c>
      <c r="K107" s="1126" t="e">
        <f>0.4525/K101</f>
        <v>#DIV/0!</v>
      </c>
      <c r="L107" s="1126" t="e">
        <f>0.4525/L101</f>
        <v>#DIV/0!</v>
      </c>
      <c r="M107" s="1126" t="e">
        <f>0.4525/M101</f>
        <v>#DIV/0!</v>
      </c>
      <c r="N107" s="1126" t="e">
        <f>0.4525/N101</f>
        <v>#DIV/0!</v>
      </c>
    </row>
    <row r="108" spans="1:14">
      <c r="A108" s="3562"/>
      <c r="B108" s="3564"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63"/>
      <c r="B109" s="3565"/>
      <c r="C109" s="1128" t="e">
        <f>(-0.163*(C108^2)-0.59*C108+7617)*(10^(-4))/C101</f>
        <v>#DIV/0!</v>
      </c>
      <c r="D109" s="1128" t="e">
        <f>(-0.163*(D108^2)-0.59*D108+7617)*(10^(-4))/D101</f>
        <v>#DIV/0!</v>
      </c>
      <c r="E109" s="1128" t="e">
        <f>(-0.161*(E108^2)-7.509*E108+6533)*(10^(-4))/E101</f>
        <v>#DIV/0!</v>
      </c>
      <c r="F109" s="1128" t="e">
        <f>(-0.161*(F108^2)-7.509*F108+6533)*(10^(-4))/F101</f>
        <v>#DIV/0!</v>
      </c>
      <c r="G109" s="1128" t="e">
        <f>(-0.161*(G108^2)-7.509*G108+6533)*(10^(-4))/G101</f>
        <v>#DIV/0!</v>
      </c>
      <c r="H109" s="1128" t="e">
        <f>(-0.161*(H108^2)-7.509*H108+6533)*(10^(-4))/H101</f>
        <v>#DIV/0!</v>
      </c>
      <c r="I109" s="1128" t="e">
        <f>(-0.161*(I108^2)-7.509*I108+6533)*(10^(-4))/I101</f>
        <v>#DIV/0!</v>
      </c>
      <c r="J109" s="1128" t="e">
        <f>(-0.214*(J108^2)-21.991*J108+4665)*(10^(-4))/J101</f>
        <v>#DIV/0!</v>
      </c>
      <c r="K109" s="1128" t="e">
        <f>(-0.214*(K108^2)-21.991*K108+4665)*(10^(-4))/K101</f>
        <v>#DIV/0!</v>
      </c>
      <c r="L109" s="1128" t="e">
        <f>(-0.214*(L108^2)-21.991*L108+4665)*(10^(-4))/L101</f>
        <v>#DIV/0!</v>
      </c>
      <c r="M109" s="1128" t="e">
        <f>(-0.214*(M108^2)-21.991*M108+4665)*(10^(-4))/M101</f>
        <v>#DIV/0!</v>
      </c>
      <c r="N109" s="1128" t="e">
        <f>(-0.214*(N108^2)-21.991*N108+4665)*(10^(-4))/N101</f>
        <v>#DIV/0!</v>
      </c>
    </row>
    <row r="110" spans="1:14">
      <c r="A110" s="3547" t="s">
        <v>1630</v>
      </c>
      <c r="B110" s="3547"/>
      <c r="C110" s="3547"/>
      <c r="D110" s="3547"/>
      <c r="E110" s="3547"/>
      <c r="F110" s="3547"/>
      <c r="G110" s="3547"/>
      <c r="H110" s="3547"/>
      <c r="I110" s="3547"/>
      <c r="J110" s="3547"/>
      <c r="K110" s="2303"/>
      <c r="L110" s="2303"/>
      <c r="M110" s="2303"/>
      <c r="N110" s="2303"/>
    </row>
    <row r="112" spans="1:14" ht="12.75" thickBot="1"/>
    <row r="113" spans="1:13" ht="25.5" thickBot="1">
      <c r="A113" s="1002" t="s">
        <v>887</v>
      </c>
      <c r="B113" s="2306">
        <f>G3</f>
        <v>0</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0.9335</v>
      </c>
      <c r="C115" s="1016">
        <f>B115</f>
        <v>0.9335</v>
      </c>
      <c r="D115" s="1016">
        <f>ROUND(0.8331-0.0109*B113,4)</f>
        <v>0.83309999999999995</v>
      </c>
      <c r="E115" s="1016">
        <f>D115</f>
        <v>0.83309999999999995</v>
      </c>
      <c r="F115" s="1016">
        <f>E115</f>
        <v>0.83309999999999995</v>
      </c>
      <c r="G115" s="1016">
        <f>F115</f>
        <v>0.83309999999999995</v>
      </c>
      <c r="H115" s="1016">
        <f>G115</f>
        <v>0.83309999999999995</v>
      </c>
      <c r="I115" s="1016">
        <f>ROUND(0.689-0.0155*B113,4)</f>
        <v>0.68899999999999995</v>
      </c>
      <c r="J115" s="1016">
        <f t="shared" ref="J115:M118" si="33">I115</f>
        <v>0.68899999999999995</v>
      </c>
      <c r="K115" s="1016">
        <f t="shared" si="33"/>
        <v>0.68899999999999995</v>
      </c>
      <c r="L115" s="1016">
        <f t="shared" si="33"/>
        <v>0.68899999999999995</v>
      </c>
      <c r="M115" s="1017">
        <f t="shared" si="33"/>
        <v>0.68899999999999995</v>
      </c>
    </row>
    <row r="116" spans="1:13" ht="12.75">
      <c r="A116" s="1015" t="s">
        <v>892</v>
      </c>
      <c r="B116" s="1016">
        <f>ROUND(0.949-0.012*B113,4)</f>
        <v>0.94899999999999995</v>
      </c>
      <c r="C116" s="1016">
        <f>B116</f>
        <v>0.94899999999999995</v>
      </c>
      <c r="D116" s="1016">
        <f>ROUND(0.8567-0.013*B113,4)</f>
        <v>0.85670000000000002</v>
      </c>
      <c r="E116" s="1016">
        <f t="shared" ref="E116:H117" si="34">D116</f>
        <v>0.85670000000000002</v>
      </c>
      <c r="F116" s="1016">
        <f t="shared" si="34"/>
        <v>0.85670000000000002</v>
      </c>
      <c r="G116" s="1016">
        <f t="shared" si="34"/>
        <v>0.85670000000000002</v>
      </c>
      <c r="H116" s="1016">
        <f t="shared" si="34"/>
        <v>0.85670000000000002</v>
      </c>
      <c r="I116" s="1016">
        <f>ROUND(0.7694-0.014*B113,4)</f>
        <v>0.76939999999999997</v>
      </c>
      <c r="J116" s="1016">
        <f t="shared" si="33"/>
        <v>0.76939999999999997</v>
      </c>
      <c r="K116" s="1016">
        <f t="shared" si="33"/>
        <v>0.76939999999999997</v>
      </c>
      <c r="L116" s="1016">
        <f t="shared" si="33"/>
        <v>0.76939999999999997</v>
      </c>
      <c r="M116" s="1017">
        <f t="shared" si="33"/>
        <v>0.76939999999999997</v>
      </c>
    </row>
    <row r="117" spans="1:13" ht="12.75">
      <c r="A117" s="1018" t="s">
        <v>893</v>
      </c>
      <c r="B117" s="1016">
        <f>ROUND(0.8808-0.006*B113,4)</f>
        <v>0.88080000000000003</v>
      </c>
      <c r="C117" s="1016">
        <f>B117</f>
        <v>0.88080000000000003</v>
      </c>
      <c r="D117" s="1016">
        <f>ROUND(0.8748-0.008*B113,4)</f>
        <v>0.87480000000000002</v>
      </c>
      <c r="E117" s="1016">
        <f t="shared" si="34"/>
        <v>0.87480000000000002</v>
      </c>
      <c r="F117" s="1016">
        <f t="shared" si="34"/>
        <v>0.87480000000000002</v>
      </c>
      <c r="G117" s="1016">
        <f t="shared" si="34"/>
        <v>0.87480000000000002</v>
      </c>
      <c r="H117" s="1016">
        <f t="shared" si="34"/>
        <v>0.87480000000000002</v>
      </c>
      <c r="I117" s="1016">
        <f>ROUND(0.7412-0.0095*B113,4)</f>
        <v>0.74119999999999997</v>
      </c>
      <c r="J117" s="1016">
        <f t="shared" si="33"/>
        <v>0.74119999999999997</v>
      </c>
      <c r="K117" s="1016">
        <f t="shared" si="33"/>
        <v>0.74119999999999997</v>
      </c>
      <c r="L117" s="1016">
        <f t="shared" si="33"/>
        <v>0.74119999999999997</v>
      </c>
      <c r="M117" s="1017">
        <f t="shared" si="33"/>
        <v>0.74119999999999997</v>
      </c>
    </row>
    <row r="118" spans="1:13" ht="13.5" thickBot="1">
      <c r="A118" s="1019" t="s">
        <v>894</v>
      </c>
      <c r="B118" s="1020">
        <f>ROUND(0.7275-0.01*B113,4)</f>
        <v>0.72750000000000004</v>
      </c>
      <c r="C118" s="1020">
        <f>B118</f>
        <v>0.72750000000000004</v>
      </c>
      <c r="D118" s="1020">
        <f>ROUND(0.7043-0.012*B113,4)</f>
        <v>0.70430000000000004</v>
      </c>
      <c r="E118" s="1020">
        <f>D118</f>
        <v>0.70430000000000004</v>
      </c>
      <c r="F118" s="1020">
        <f>E118</f>
        <v>0.70430000000000004</v>
      </c>
      <c r="G118" s="1020">
        <f>ROUND(0.6299-0.0122*B113,4)</f>
        <v>0.62990000000000002</v>
      </c>
      <c r="H118" s="1020">
        <f>G118</f>
        <v>0.62990000000000002</v>
      </c>
      <c r="I118" s="1020">
        <f>ROUND(0.5667-0.0136*B113,4)</f>
        <v>0.56669999999999998</v>
      </c>
      <c r="J118" s="1020">
        <f t="shared" si="33"/>
        <v>0.56669999999999998</v>
      </c>
      <c r="K118" s="1020">
        <f t="shared" si="33"/>
        <v>0.56669999999999998</v>
      </c>
      <c r="L118" s="1020">
        <f t="shared" si="33"/>
        <v>0.56669999999999998</v>
      </c>
      <c r="M118" s="1021">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5" t="s">
        <v>2945</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54" t="s">
        <v>998</v>
      </c>
      <c r="B18" s="1136" t="s">
        <v>1437</v>
      </c>
      <c r="C18" s="1113" t="s">
        <v>1438</v>
      </c>
      <c r="D18" s="1114"/>
      <c r="E18" s="1136">
        <v>1</v>
      </c>
      <c r="F18" s="1115" t="s">
        <v>1439</v>
      </c>
      <c r="G18" s="1116"/>
      <c r="H18" s="1087"/>
      <c r="I18" s="1087"/>
    </row>
    <row r="19" spans="1:9" s="1529" customFormat="1" ht="19.5" customHeight="1">
      <c r="A19" s="3554"/>
      <c r="B19" s="3554" t="s">
        <v>1440</v>
      </c>
      <c r="C19" s="1113" t="s">
        <v>1441</v>
      </c>
      <c r="D19" s="1114"/>
      <c r="E19" s="1136">
        <v>0.9</v>
      </c>
      <c r="F19" s="1115" t="s">
        <v>1442</v>
      </c>
      <c r="G19" s="1116"/>
      <c r="H19" s="1087"/>
      <c r="I19" s="1087"/>
    </row>
    <row r="20" spans="1:9" s="1529" customFormat="1" ht="19.5" customHeight="1">
      <c r="A20" s="3554"/>
      <c r="B20" s="3554"/>
      <c r="C20" s="1113" t="s">
        <v>1443</v>
      </c>
      <c r="D20" s="1114"/>
      <c r="E20" s="1136">
        <v>1.1000000000000001</v>
      </c>
      <c r="F20" s="1115" t="s">
        <v>1444</v>
      </c>
      <c r="G20" s="1116"/>
      <c r="H20" s="1087"/>
      <c r="I20" s="1087"/>
    </row>
    <row r="21" spans="1:9" s="1529" customFormat="1" ht="19.5" customHeight="1">
      <c r="A21" s="3554"/>
      <c r="B21" s="3554"/>
      <c r="C21" s="1113" t="s">
        <v>1445</v>
      </c>
      <c r="D21" s="1114"/>
      <c r="E21" s="1136">
        <v>0.8</v>
      </c>
      <c r="F21" s="1115" t="s">
        <v>1446</v>
      </c>
      <c r="G21" s="1116"/>
      <c r="H21" s="1087"/>
      <c r="I21" s="1087"/>
    </row>
    <row r="22" spans="1:9" s="1529" customFormat="1" ht="19.5" customHeight="1">
      <c r="A22" s="3554"/>
      <c r="B22" s="3554"/>
      <c r="C22" s="1113" t="s">
        <v>1447</v>
      </c>
      <c r="D22" s="1114"/>
      <c r="E22" s="1136">
        <v>0.5</v>
      </c>
      <c r="F22" s="1115"/>
      <c r="G22" s="1116"/>
      <c r="H22" s="1087"/>
      <c r="I22" s="1087"/>
    </row>
    <row r="23" spans="1:9" s="1529" customFormat="1" ht="19.5" customHeight="1">
      <c r="A23" s="3554" t="s">
        <v>1020</v>
      </c>
      <c r="B23" s="1136" t="s">
        <v>1437</v>
      </c>
      <c r="C23" s="1113" t="s">
        <v>1448</v>
      </c>
      <c r="D23" s="1114"/>
      <c r="E23" s="1136">
        <v>1</v>
      </c>
      <c r="F23" s="1115" t="s">
        <v>1449</v>
      </c>
      <c r="G23" s="1116"/>
      <c r="H23" s="1087"/>
      <c r="I23" s="1087"/>
    </row>
    <row r="24" spans="1:9" s="1529" customFormat="1" ht="19.5" customHeight="1">
      <c r="A24" s="3554"/>
      <c r="B24" s="3554" t="s">
        <v>1440</v>
      </c>
      <c r="C24" s="1113" t="s">
        <v>1450</v>
      </c>
      <c r="D24" s="1114"/>
      <c r="E24" s="1136">
        <v>0.5</v>
      </c>
      <c r="F24" s="1115"/>
      <c r="G24" s="1116"/>
      <c r="H24" s="1087"/>
      <c r="I24" s="1087"/>
    </row>
    <row r="25" spans="1:9" s="1529" customFormat="1" ht="19.5" customHeight="1">
      <c r="A25" s="3554"/>
      <c r="B25" s="3554"/>
      <c r="C25" s="1113" t="s">
        <v>1451</v>
      </c>
      <c r="D25" s="1114"/>
      <c r="E25" s="1136">
        <v>1.1000000000000001</v>
      </c>
      <c r="F25" s="1115"/>
      <c r="G25" s="1116"/>
      <c r="H25" s="1087"/>
      <c r="I25" s="1087"/>
    </row>
    <row r="26" spans="1:9" s="1529" customFormat="1" ht="19.5" customHeight="1">
      <c r="A26" s="3554"/>
      <c r="B26" s="3554"/>
      <c r="C26" s="1113" t="s">
        <v>1452</v>
      </c>
      <c r="D26" s="1114"/>
      <c r="E26" s="1136">
        <v>1.1000000000000001</v>
      </c>
      <c r="F26" s="1115"/>
      <c r="G26" s="1116"/>
      <c r="H26" s="1087"/>
      <c r="I26" s="1087"/>
    </row>
    <row r="27" spans="1:9" s="1529" customFormat="1" ht="19.5" customHeight="1">
      <c r="A27" s="3554"/>
      <c r="B27" s="3554"/>
      <c r="C27" s="1113" t="s">
        <v>1453</v>
      </c>
      <c r="D27" s="1114"/>
      <c r="E27" s="1136">
        <v>0.9</v>
      </c>
      <c r="F27" s="1115" t="s">
        <v>1454</v>
      </c>
      <c r="G27" s="1116"/>
      <c r="H27" s="1087"/>
      <c r="I27" s="1087"/>
    </row>
    <row r="28" spans="1:9" s="1529" customFormat="1" ht="19.5" customHeight="1">
      <c r="A28" s="3554"/>
      <c r="B28" s="3554"/>
      <c r="C28" s="1113" t="s">
        <v>1455</v>
      </c>
      <c r="D28" s="1114"/>
      <c r="E28" s="1136">
        <v>0.9</v>
      </c>
      <c r="F28" s="1115" t="s">
        <v>1456</v>
      </c>
      <c r="G28" s="1116"/>
      <c r="H28" s="1087"/>
      <c r="I28" s="1087"/>
    </row>
    <row r="29" spans="1:9" s="1529" customFormat="1" ht="19.5" customHeight="1">
      <c r="A29" s="3554"/>
      <c r="B29" s="3554"/>
      <c r="C29" s="1113" t="s">
        <v>1457</v>
      </c>
      <c r="D29" s="1114"/>
      <c r="E29" s="1136">
        <v>0.9</v>
      </c>
      <c r="F29" s="1115" t="s">
        <v>1458</v>
      </c>
      <c r="G29" s="1116"/>
      <c r="H29" s="1087"/>
      <c r="I29" s="1087"/>
    </row>
    <row r="30" spans="1:9" s="1529" customFormat="1" ht="19.5" customHeight="1">
      <c r="A30" s="3554"/>
      <c r="B30" s="3554"/>
      <c r="C30" s="1113" t="s">
        <v>1459</v>
      </c>
      <c r="D30" s="1114"/>
      <c r="E30" s="1136">
        <v>0.9</v>
      </c>
      <c r="F30" s="1115" t="s">
        <v>1460</v>
      </c>
      <c r="G30" s="1116"/>
      <c r="H30" s="1087"/>
      <c r="I30" s="1087"/>
    </row>
    <row r="31" spans="1:9" s="1529" customFormat="1" ht="19.5" customHeight="1">
      <c r="A31" s="3554"/>
      <c r="B31" s="3554"/>
      <c r="C31" s="1113" t="s">
        <v>1461</v>
      </c>
      <c r="D31" s="1114"/>
      <c r="E31" s="1136">
        <v>0.8</v>
      </c>
      <c r="F31" s="1115" t="s">
        <v>1462</v>
      </c>
      <c r="G31" s="1116"/>
      <c r="H31" s="1087"/>
      <c r="I31" s="1087"/>
    </row>
    <row r="32" spans="1:9" s="1529" customFormat="1" ht="19.5" customHeight="1">
      <c r="A32" s="3554"/>
      <c r="B32" s="3554"/>
      <c r="C32" s="1113" t="s">
        <v>1463</v>
      </c>
      <c r="D32" s="1114"/>
      <c r="E32" s="1136">
        <v>0.8</v>
      </c>
      <c r="F32" s="1115" t="s">
        <v>1464</v>
      </c>
      <c r="G32" s="1116"/>
      <c r="H32" s="1087"/>
      <c r="I32" s="1087"/>
    </row>
    <row r="33" spans="1:9" s="1529" customFormat="1" ht="19.5" customHeight="1">
      <c r="A33" s="3554" t="s">
        <v>1465</v>
      </c>
      <c r="B33" s="1136" t="s">
        <v>1437</v>
      </c>
      <c r="C33" s="1113" t="s">
        <v>1466</v>
      </c>
      <c r="D33" s="1114"/>
      <c r="E33" s="1136">
        <v>1</v>
      </c>
      <c r="F33" s="1115" t="s">
        <v>1467</v>
      </c>
      <c r="G33" s="1116"/>
      <c r="H33" s="1087"/>
      <c r="I33" s="1087"/>
    </row>
    <row r="34" spans="1:9" s="1529" customFormat="1" ht="19.5" customHeight="1">
      <c r="A34" s="3554"/>
      <c r="B34" s="1136" t="s">
        <v>1440</v>
      </c>
      <c r="C34" s="1113" t="s">
        <v>1468</v>
      </c>
      <c r="D34" s="1114"/>
      <c r="E34" s="1136">
        <v>1.5</v>
      </c>
      <c r="F34" s="1115" t="s">
        <v>1469</v>
      </c>
      <c r="G34" s="1116"/>
      <c r="H34" s="1087"/>
      <c r="I34" s="1087"/>
    </row>
    <row r="35" spans="1:9" s="1529" customFormat="1" ht="19.5" customHeight="1">
      <c r="A35" s="3554" t="s">
        <v>1423</v>
      </c>
      <c r="B35" s="1136" t="s">
        <v>1437</v>
      </c>
      <c r="C35" s="1113" t="s">
        <v>1470</v>
      </c>
      <c r="D35" s="1114"/>
      <c r="E35" s="1136">
        <v>1</v>
      </c>
      <c r="F35" s="1115" t="s">
        <v>1471</v>
      </c>
      <c r="G35" s="1116"/>
      <c r="H35" s="1087"/>
      <c r="I35" s="1087"/>
    </row>
    <row r="36" spans="1:9" s="1529" customFormat="1" ht="19.5" customHeight="1">
      <c r="A36" s="3554"/>
      <c r="B36" s="3554" t="s">
        <v>1440</v>
      </c>
      <c r="C36" s="1113" t="s">
        <v>1472</v>
      </c>
      <c r="D36" s="1114"/>
      <c r="E36" s="1136">
        <v>1</v>
      </c>
      <c r="F36" s="1115" t="s">
        <v>1473</v>
      </c>
      <c r="G36" s="1116"/>
      <c r="H36" s="1087"/>
      <c r="I36" s="1087"/>
    </row>
    <row r="37" spans="1:9" s="1529" customFormat="1" ht="19.5" customHeight="1">
      <c r="A37" s="3554"/>
      <c r="B37" s="3554"/>
      <c r="C37" s="1113" t="s">
        <v>1474</v>
      </c>
      <c r="D37" s="1114"/>
      <c r="E37" s="1136">
        <v>1.5</v>
      </c>
      <c r="F37" s="1115" t="s">
        <v>1475</v>
      </c>
      <c r="G37" s="1116"/>
      <c r="H37" s="1087"/>
      <c r="I37" s="1087"/>
    </row>
    <row r="38" spans="1:9" s="1529" customFormat="1" ht="19.5" customHeight="1">
      <c r="A38" s="3554"/>
      <c r="B38" s="3554"/>
      <c r="C38" s="1113" t="s">
        <v>1476</v>
      </c>
      <c r="D38" s="1114"/>
      <c r="E38" s="1136">
        <v>1</v>
      </c>
      <c r="F38" s="1115" t="s">
        <v>1477</v>
      </c>
      <c r="G38" s="1116"/>
      <c r="H38" s="1087"/>
      <c r="I38" s="1087"/>
    </row>
    <row r="39" spans="1:9" s="1529" customFormat="1" ht="19.5" customHeight="1">
      <c r="A39" s="3554"/>
      <c r="B39" s="3554"/>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54" t="s">
        <v>1492</v>
      </c>
      <c r="C61" s="1050" t="s">
        <v>1493</v>
      </c>
      <c r="D61" s="1050" t="s">
        <v>1494</v>
      </c>
      <c r="E61" s="1121">
        <v>0.5</v>
      </c>
      <c r="F61" s="1136">
        <v>80</v>
      </c>
      <c r="H61" s="1087">
        <f>SUMIF(C59:C119,基准地价!C8,E59:E119)</f>
        <v>0</v>
      </c>
    </row>
    <row r="62" spans="1:8" s="1087" customFormat="1" ht="24">
      <c r="A62" s="1136">
        <v>2</v>
      </c>
      <c r="B62" s="3554"/>
      <c r="C62" s="1050" t="s">
        <v>1495</v>
      </c>
      <c r="D62" s="1050" t="s">
        <v>1496</v>
      </c>
      <c r="E62" s="1121">
        <v>0.5</v>
      </c>
      <c r="F62" s="1136">
        <v>80</v>
      </c>
    </row>
    <row r="63" spans="1:8" s="1087" customFormat="1" ht="36">
      <c r="A63" s="1136">
        <v>3</v>
      </c>
      <c r="B63" s="3554"/>
      <c r="C63" s="1050" t="s">
        <v>1497</v>
      </c>
      <c r="D63" s="1050" t="s">
        <v>1498</v>
      </c>
      <c r="E63" s="1121">
        <v>0.5</v>
      </c>
      <c r="F63" s="1136">
        <v>80</v>
      </c>
    </row>
    <row r="64" spans="1:8" s="1087" customFormat="1" ht="36">
      <c r="A64" s="1136">
        <v>4</v>
      </c>
      <c r="B64" s="3554"/>
      <c r="C64" s="1050" t="s">
        <v>1499</v>
      </c>
      <c r="D64" s="1050" t="s">
        <v>1500</v>
      </c>
      <c r="E64" s="1121">
        <v>0.4</v>
      </c>
      <c r="F64" s="1136">
        <v>60</v>
      </c>
    </row>
    <row r="65" spans="1:6" s="1087" customFormat="1" ht="36">
      <c r="A65" s="1136">
        <v>5</v>
      </c>
      <c r="B65" s="3554"/>
      <c r="C65" s="1050" t="s">
        <v>1501</v>
      </c>
      <c r="D65" s="1050" t="s">
        <v>1502</v>
      </c>
      <c r="E65" s="1121">
        <v>0.2</v>
      </c>
      <c r="F65" s="1136">
        <v>30</v>
      </c>
    </row>
    <row r="66" spans="1:6" s="1087" customFormat="1" ht="36">
      <c r="A66" s="1136">
        <v>6</v>
      </c>
      <c r="B66" s="3554"/>
      <c r="C66" s="1050" t="s">
        <v>1503</v>
      </c>
      <c r="D66" s="1050" t="s">
        <v>1504</v>
      </c>
      <c r="E66" s="1121">
        <v>0.3</v>
      </c>
      <c r="F66" s="1136">
        <v>50</v>
      </c>
    </row>
    <row r="67" spans="1:6" s="1087" customFormat="1" ht="36">
      <c r="A67" s="1136">
        <v>7</v>
      </c>
      <c r="B67" s="3554"/>
      <c r="C67" s="1050" t="s">
        <v>1505</v>
      </c>
      <c r="D67" s="1050" t="s">
        <v>1506</v>
      </c>
      <c r="E67" s="1121">
        <v>0.2</v>
      </c>
      <c r="F67" s="1136">
        <v>30</v>
      </c>
    </row>
    <row r="68" spans="1:6" s="1087" customFormat="1" ht="36">
      <c r="A68" s="1136">
        <v>8</v>
      </c>
      <c r="B68" s="3554"/>
      <c r="C68" s="1050" t="s">
        <v>1507</v>
      </c>
      <c r="D68" s="1050" t="s">
        <v>1508</v>
      </c>
      <c r="E68" s="1121">
        <v>0.2</v>
      </c>
      <c r="F68" s="1136">
        <v>30</v>
      </c>
    </row>
    <row r="69" spans="1:6" s="1087" customFormat="1" ht="36">
      <c r="A69" s="1136">
        <v>9</v>
      </c>
      <c r="B69" s="3554"/>
      <c r="C69" s="1050" t="s">
        <v>1509</v>
      </c>
      <c r="D69" s="1050" t="s">
        <v>1510</v>
      </c>
      <c r="E69" s="1121">
        <v>0.2</v>
      </c>
      <c r="F69" s="1136">
        <v>30</v>
      </c>
    </row>
    <row r="70" spans="1:6" s="1087" customFormat="1" ht="48">
      <c r="A70" s="1136">
        <v>10</v>
      </c>
      <c r="B70" s="3554"/>
      <c r="C70" s="1050" t="s">
        <v>1511</v>
      </c>
      <c r="D70" s="1050" t="s">
        <v>1512</v>
      </c>
      <c r="E70" s="1121">
        <v>0.2</v>
      </c>
      <c r="F70" s="1136">
        <v>30</v>
      </c>
    </row>
    <row r="71" spans="1:6" s="1087" customFormat="1" ht="48">
      <c r="A71" s="1136">
        <v>11</v>
      </c>
      <c r="B71" s="3554"/>
      <c r="C71" s="1050" t="s">
        <v>1513</v>
      </c>
      <c r="D71" s="1050" t="s">
        <v>1514</v>
      </c>
      <c r="E71" s="1121">
        <v>0.2</v>
      </c>
      <c r="F71" s="1136">
        <v>30</v>
      </c>
    </row>
    <row r="72" spans="1:6" s="1087" customFormat="1" ht="36">
      <c r="A72" s="1136">
        <v>12</v>
      </c>
      <c r="B72" s="3554"/>
      <c r="C72" s="1050" t="s">
        <v>1515</v>
      </c>
      <c r="D72" s="1050" t="s">
        <v>1516</v>
      </c>
      <c r="E72" s="1121">
        <v>0.5</v>
      </c>
      <c r="F72" s="1136">
        <v>80</v>
      </c>
    </row>
    <row r="73" spans="1:6" s="1087" customFormat="1" ht="24">
      <c r="A73" s="1136">
        <v>13</v>
      </c>
      <c r="B73" s="3554"/>
      <c r="C73" s="1050" t="s">
        <v>1517</v>
      </c>
      <c r="D73" s="1050" t="s">
        <v>1518</v>
      </c>
      <c r="E73" s="1121">
        <v>0.4</v>
      </c>
      <c r="F73" s="1136">
        <v>60</v>
      </c>
    </row>
    <row r="74" spans="1:6" s="1087" customFormat="1" ht="24">
      <c r="A74" s="1136">
        <v>14</v>
      </c>
      <c r="B74" s="3554"/>
      <c r="C74" s="1050" t="s">
        <v>1519</v>
      </c>
      <c r="D74" s="1050" t="s">
        <v>1520</v>
      </c>
      <c r="E74" s="1121">
        <v>0.2</v>
      </c>
      <c r="F74" s="1136">
        <v>30</v>
      </c>
    </row>
    <row r="75" spans="1:6" s="1087" customFormat="1" ht="24">
      <c r="A75" s="1136">
        <v>15</v>
      </c>
      <c r="B75" s="3554"/>
      <c r="C75" s="1050" t="s">
        <v>1521</v>
      </c>
      <c r="D75" s="1050" t="s">
        <v>1522</v>
      </c>
      <c r="E75" s="1121">
        <v>0.2</v>
      </c>
      <c r="F75" s="1136">
        <v>30</v>
      </c>
    </row>
    <row r="76" spans="1:6" s="1087" customFormat="1" ht="24">
      <c r="A76" s="1136">
        <v>16</v>
      </c>
      <c r="B76" s="3554" t="s">
        <v>1523</v>
      </c>
      <c r="C76" s="1050" t="s">
        <v>1524</v>
      </c>
      <c r="D76" s="1050" t="s">
        <v>1525</v>
      </c>
      <c r="E76" s="1121">
        <v>0.5</v>
      </c>
      <c r="F76" s="1136">
        <v>80</v>
      </c>
    </row>
    <row r="77" spans="1:6" s="1087" customFormat="1" ht="24">
      <c r="A77" s="1136">
        <v>17</v>
      </c>
      <c r="B77" s="3554"/>
      <c r="C77" s="1050" t="s">
        <v>1526</v>
      </c>
      <c r="D77" s="1050" t="s">
        <v>1527</v>
      </c>
      <c r="E77" s="1121">
        <v>0.5</v>
      </c>
      <c r="F77" s="1136">
        <v>80</v>
      </c>
    </row>
    <row r="78" spans="1:6" s="1087" customFormat="1" ht="24">
      <c r="A78" s="1136">
        <v>18</v>
      </c>
      <c r="B78" s="3554"/>
      <c r="C78" s="1050" t="s">
        <v>1528</v>
      </c>
      <c r="D78" s="1050" t="s">
        <v>1529</v>
      </c>
      <c r="E78" s="1121">
        <v>0.2</v>
      </c>
      <c r="F78" s="1136">
        <v>30</v>
      </c>
    </row>
    <row r="79" spans="1:6" s="1087" customFormat="1" ht="24">
      <c r="A79" s="1136">
        <v>19</v>
      </c>
      <c r="B79" s="3554"/>
      <c r="C79" s="1050" t="s">
        <v>1530</v>
      </c>
      <c r="D79" s="1050" t="s">
        <v>1531</v>
      </c>
      <c r="E79" s="1121">
        <v>0.5</v>
      </c>
      <c r="F79" s="1136">
        <v>80</v>
      </c>
    </row>
    <row r="80" spans="1:6" s="1087" customFormat="1" ht="36">
      <c r="A80" s="1136">
        <v>20</v>
      </c>
      <c r="B80" s="3554"/>
      <c r="C80" s="1050" t="s">
        <v>1532</v>
      </c>
      <c r="D80" s="1050" t="s">
        <v>1533</v>
      </c>
      <c r="E80" s="1121">
        <v>0.2</v>
      </c>
      <c r="F80" s="1136">
        <v>30</v>
      </c>
    </row>
    <row r="81" spans="1:6" s="1087" customFormat="1" ht="36">
      <c r="A81" s="1136">
        <v>21</v>
      </c>
      <c r="B81" s="3554"/>
      <c r="C81" s="1050" t="s">
        <v>1534</v>
      </c>
      <c r="D81" s="1050" t="s">
        <v>1535</v>
      </c>
      <c r="E81" s="1121">
        <v>0.2</v>
      </c>
      <c r="F81" s="1136">
        <v>30</v>
      </c>
    </row>
    <row r="82" spans="1:6" s="1087" customFormat="1" ht="48">
      <c r="A82" s="1136">
        <v>22</v>
      </c>
      <c r="B82" s="3554"/>
      <c r="C82" s="1050" t="s">
        <v>1536</v>
      </c>
      <c r="D82" s="1050" t="s">
        <v>1537</v>
      </c>
      <c r="E82" s="1121">
        <v>0.2</v>
      </c>
      <c r="F82" s="1136">
        <v>30</v>
      </c>
    </row>
    <row r="83" spans="1:6" s="1087" customFormat="1" ht="48">
      <c r="A83" s="1136">
        <v>23</v>
      </c>
      <c r="B83" s="3554"/>
      <c r="C83" s="1050" t="s">
        <v>1538</v>
      </c>
      <c r="D83" s="1050" t="s">
        <v>1539</v>
      </c>
      <c r="E83" s="1121">
        <v>0.2</v>
      </c>
      <c r="F83" s="1136">
        <v>30</v>
      </c>
    </row>
    <row r="84" spans="1:6" s="1087" customFormat="1" ht="36">
      <c r="A84" s="1136">
        <v>24</v>
      </c>
      <c r="B84" s="3554"/>
      <c r="C84" s="1050" t="s">
        <v>1540</v>
      </c>
      <c r="D84" s="1050" t="s">
        <v>1541</v>
      </c>
      <c r="E84" s="1121">
        <v>0.2</v>
      </c>
      <c r="F84" s="1136">
        <v>30</v>
      </c>
    </row>
    <row r="85" spans="1:6" s="1087" customFormat="1" ht="36">
      <c r="A85" s="1136">
        <v>25</v>
      </c>
      <c r="B85" s="3554"/>
      <c r="C85" s="1050" t="s">
        <v>1542</v>
      </c>
      <c r="D85" s="1050" t="s">
        <v>1543</v>
      </c>
      <c r="E85" s="1121">
        <v>0.5</v>
      </c>
      <c r="F85" s="1136">
        <v>80</v>
      </c>
    </row>
    <row r="86" spans="1:6" s="1087" customFormat="1" ht="36">
      <c r="A86" s="1136">
        <v>26</v>
      </c>
      <c r="B86" s="3554"/>
      <c r="C86" s="1050" t="s">
        <v>1544</v>
      </c>
      <c r="D86" s="1050" t="s">
        <v>1545</v>
      </c>
      <c r="E86" s="1121">
        <v>0.2</v>
      </c>
      <c r="F86" s="1136">
        <v>30</v>
      </c>
    </row>
    <row r="87" spans="1:6" s="1087" customFormat="1" ht="36">
      <c r="A87" s="1136">
        <v>27</v>
      </c>
      <c r="B87" s="3554"/>
      <c r="C87" s="1050" t="s">
        <v>1546</v>
      </c>
      <c r="D87" s="1050" t="s">
        <v>1547</v>
      </c>
      <c r="E87" s="1121">
        <v>0.2</v>
      </c>
      <c r="F87" s="1136">
        <v>30</v>
      </c>
    </row>
    <row r="88" spans="1:6" s="1087" customFormat="1" ht="36">
      <c r="A88" s="1136">
        <v>28</v>
      </c>
      <c r="B88" s="3554"/>
      <c r="C88" s="1050" t="s">
        <v>1548</v>
      </c>
      <c r="D88" s="1050" t="s">
        <v>1549</v>
      </c>
      <c r="E88" s="1121">
        <v>0.2</v>
      </c>
      <c r="F88" s="1136">
        <v>30</v>
      </c>
    </row>
    <row r="89" spans="1:6" s="1087" customFormat="1" ht="24">
      <c r="A89" s="1136">
        <v>29</v>
      </c>
      <c r="B89" s="3554"/>
      <c r="C89" s="1050" t="s">
        <v>1550</v>
      </c>
      <c r="D89" s="1050" t="s">
        <v>1551</v>
      </c>
      <c r="E89" s="1121">
        <v>0.2</v>
      </c>
      <c r="F89" s="1136">
        <v>30</v>
      </c>
    </row>
    <row r="90" spans="1:6" s="1087" customFormat="1" ht="24">
      <c r="A90" s="1136">
        <v>30</v>
      </c>
      <c r="B90" s="3554"/>
      <c r="C90" s="1050" t="s">
        <v>1552</v>
      </c>
      <c r="D90" s="1050" t="s">
        <v>1553</v>
      </c>
      <c r="E90" s="1121">
        <v>0.2</v>
      </c>
      <c r="F90" s="1136">
        <v>30</v>
      </c>
    </row>
    <row r="91" spans="1:6" s="1087" customFormat="1" ht="36">
      <c r="A91" s="1136">
        <v>31</v>
      </c>
      <c r="B91" s="3554"/>
      <c r="C91" s="1050" t="s">
        <v>1554</v>
      </c>
      <c r="D91" s="1050" t="s">
        <v>1555</v>
      </c>
      <c r="E91" s="1121">
        <v>0.2</v>
      </c>
      <c r="F91" s="1136">
        <v>30</v>
      </c>
    </row>
    <row r="92" spans="1:6" s="1087" customFormat="1" ht="24">
      <c r="A92" s="1136">
        <v>32</v>
      </c>
      <c r="B92" s="3554" t="s">
        <v>1556</v>
      </c>
      <c r="C92" s="1136" t="s">
        <v>1557</v>
      </c>
      <c r="D92" s="1050" t="s">
        <v>1558</v>
      </c>
      <c r="E92" s="1121">
        <v>0.2</v>
      </c>
      <c r="F92" s="1136">
        <v>30</v>
      </c>
    </row>
    <row r="93" spans="1:6" s="1087" customFormat="1" ht="36">
      <c r="A93" s="1136">
        <v>33</v>
      </c>
      <c r="B93" s="3554"/>
      <c r="C93" s="1136" t="s">
        <v>1559</v>
      </c>
      <c r="D93" s="1050" t="s">
        <v>1560</v>
      </c>
      <c r="E93" s="1121">
        <v>0.2</v>
      </c>
      <c r="F93" s="1136">
        <v>30</v>
      </c>
    </row>
    <row r="94" spans="1:6" s="1087" customFormat="1" ht="48">
      <c r="A94" s="1136">
        <v>34</v>
      </c>
      <c r="B94" s="3554"/>
      <c r="C94" s="1136" t="s">
        <v>1561</v>
      </c>
      <c r="D94" s="1050" t="s">
        <v>1562</v>
      </c>
      <c r="E94" s="1121">
        <v>0.2</v>
      </c>
      <c r="F94" s="1136">
        <v>30</v>
      </c>
    </row>
    <row r="95" spans="1:6" s="1087" customFormat="1" ht="36">
      <c r="A95" s="1136">
        <v>35</v>
      </c>
      <c r="B95" s="3554"/>
      <c r="C95" s="1136" t="s">
        <v>1563</v>
      </c>
      <c r="D95" s="1050" t="s">
        <v>1564</v>
      </c>
      <c r="E95" s="1121">
        <v>0.2</v>
      </c>
      <c r="F95" s="1136">
        <v>30</v>
      </c>
    </row>
    <row r="96" spans="1:6" s="1087" customFormat="1" ht="48">
      <c r="A96" s="1136">
        <v>36</v>
      </c>
      <c r="B96" s="3554"/>
      <c r="C96" s="1050" t="s">
        <v>1565</v>
      </c>
      <c r="D96" s="1050" t="s">
        <v>1566</v>
      </c>
      <c r="E96" s="1121">
        <v>0.2</v>
      </c>
      <c r="F96" s="1136">
        <v>30</v>
      </c>
    </row>
    <row r="97" spans="1:6" s="1087" customFormat="1" ht="36">
      <c r="A97" s="1136">
        <v>37</v>
      </c>
      <c r="B97" s="3554"/>
      <c r="C97" s="1136" t="s">
        <v>1567</v>
      </c>
      <c r="D97" s="1050" t="s">
        <v>1568</v>
      </c>
      <c r="E97" s="1121">
        <v>0.2</v>
      </c>
      <c r="F97" s="1136">
        <v>30</v>
      </c>
    </row>
    <row r="98" spans="1:6" s="1087" customFormat="1" ht="36">
      <c r="A98" s="1136">
        <v>38</v>
      </c>
      <c r="B98" s="3554"/>
      <c r="C98" s="1136" t="s">
        <v>1569</v>
      </c>
      <c r="D98" s="1050" t="s">
        <v>1570</v>
      </c>
      <c r="E98" s="1121">
        <v>0.2</v>
      </c>
      <c r="F98" s="1136">
        <v>30</v>
      </c>
    </row>
    <row r="99" spans="1:6" s="1087" customFormat="1" ht="36">
      <c r="A99" s="1136">
        <v>39</v>
      </c>
      <c r="B99" s="3554" t="s">
        <v>1571</v>
      </c>
      <c r="C99" s="1136" t="s">
        <v>1572</v>
      </c>
      <c r="D99" s="1050" t="s">
        <v>1573</v>
      </c>
      <c r="E99" s="1121">
        <v>0.3</v>
      </c>
      <c r="F99" s="1136">
        <v>50</v>
      </c>
    </row>
    <row r="100" spans="1:6" s="1087" customFormat="1" ht="24">
      <c r="A100" s="1136">
        <v>40</v>
      </c>
      <c r="B100" s="3554"/>
      <c r="C100" s="1136" t="s">
        <v>1574</v>
      </c>
      <c r="D100" s="1050" t="s">
        <v>1575</v>
      </c>
      <c r="E100" s="1121">
        <v>0.2</v>
      </c>
      <c r="F100" s="1136">
        <v>30</v>
      </c>
    </row>
    <row r="101" spans="1:6" s="1087" customFormat="1" ht="36">
      <c r="A101" s="1136">
        <v>41</v>
      </c>
      <c r="B101" s="3554"/>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54" t="s">
        <v>1586</v>
      </c>
      <c r="C105" s="1136" t="s">
        <v>1587</v>
      </c>
      <c r="D105" s="1050" t="s">
        <v>1588</v>
      </c>
      <c r="E105" s="1121">
        <v>0.2</v>
      </c>
      <c r="F105" s="1136">
        <v>30</v>
      </c>
    </row>
    <row r="106" spans="1:6" s="1087" customFormat="1" ht="36">
      <c r="A106" s="1136">
        <v>46</v>
      </c>
      <c r="B106" s="3554"/>
      <c r="C106" s="1136" t="s">
        <v>1589</v>
      </c>
      <c r="D106" s="1050" t="s">
        <v>1590</v>
      </c>
      <c r="E106" s="1121">
        <v>0.2</v>
      </c>
      <c r="F106" s="1136">
        <v>30</v>
      </c>
    </row>
    <row r="107" spans="1:6" s="1087" customFormat="1" ht="36">
      <c r="A107" s="1136">
        <v>47</v>
      </c>
      <c r="B107" s="3554" t="s">
        <v>1591</v>
      </c>
      <c r="C107" s="1136" t="s">
        <v>1592</v>
      </c>
      <c r="D107" s="1050" t="s">
        <v>1593</v>
      </c>
      <c r="E107" s="1121">
        <v>0.3</v>
      </c>
      <c r="F107" s="1136">
        <v>50</v>
      </c>
    </row>
    <row r="108" spans="1:6" s="1087" customFormat="1" ht="36">
      <c r="A108" s="1136">
        <v>48</v>
      </c>
      <c r="B108" s="3554"/>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54" t="s">
        <v>1602</v>
      </c>
      <c r="C111" s="1136" t="s">
        <v>1603</v>
      </c>
      <c r="D111" s="1050" t="s">
        <v>1604</v>
      </c>
      <c r="E111" s="1121">
        <v>0.2</v>
      </c>
      <c r="F111" s="1136">
        <v>30</v>
      </c>
    </row>
    <row r="112" spans="1:6" s="1087" customFormat="1" ht="24">
      <c r="A112" s="1136">
        <v>52</v>
      </c>
      <c r="B112" s="3554"/>
      <c r="C112" s="1136" t="s">
        <v>1605</v>
      </c>
      <c r="D112" s="1050" t="s">
        <v>1606</v>
      </c>
      <c r="E112" s="1121">
        <v>0.2</v>
      </c>
      <c r="F112" s="1136">
        <v>30</v>
      </c>
    </row>
    <row r="113" spans="1:14" s="1087" customFormat="1" ht="24">
      <c r="A113" s="1136">
        <v>53</v>
      </c>
      <c r="B113" s="3554"/>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54" t="s">
        <v>1615</v>
      </c>
      <c r="C116" s="1136" t="s">
        <v>1616</v>
      </c>
      <c r="D116" s="1050" t="s">
        <v>1617</v>
      </c>
      <c r="E116" s="1121">
        <v>0.2</v>
      </c>
      <c r="F116" s="1136">
        <v>30</v>
      </c>
    </row>
    <row r="117" spans="1:14" ht="36">
      <c r="A117" s="1136">
        <v>57</v>
      </c>
      <c r="B117" s="3554"/>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53" t="s">
        <v>1624</v>
      </c>
      <c r="B121" s="3553"/>
      <c r="C121" s="3553"/>
      <c r="D121" s="3553"/>
      <c r="E121" s="3553"/>
      <c r="F121" s="3553"/>
      <c r="G121" s="3553"/>
      <c r="H121" s="3553"/>
      <c r="I121" s="3553"/>
      <c r="J121" s="3553"/>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68" t="s">
        <v>1030</v>
      </c>
      <c r="B1" s="3568"/>
      <c r="C1" s="3568"/>
      <c r="D1" s="3568"/>
      <c r="E1" s="3568"/>
      <c r="F1" s="3568"/>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69" t="s">
        <v>1043</v>
      </c>
      <c r="B2" s="3569"/>
      <c r="C2" s="3569"/>
      <c r="D2" s="3569"/>
      <c r="E2" s="3569"/>
      <c r="F2" s="3569"/>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70"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71"/>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2404</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2405</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72" t="s">
        <v>2065</v>
      </c>
      <c r="B1" s="3572"/>
    </row>
    <row r="2" spans="1:6" ht="14.25" thickBot="1">
      <c r="A2" s="1765"/>
      <c r="B2" s="1765"/>
    </row>
    <row r="3" spans="1:6" ht="14.25" thickBot="1">
      <c r="A3" s="1765"/>
      <c r="B3" s="1765"/>
      <c r="C3" s="1766" t="s">
        <v>2066</v>
      </c>
      <c r="D3" s="1766" t="s">
        <v>2067</v>
      </c>
      <c r="E3" s="1766" t="s">
        <v>2068</v>
      </c>
      <c r="F3" s="1766" t="s">
        <v>2069</v>
      </c>
    </row>
    <row r="4" spans="1:6" ht="14.25" thickBot="1">
      <c r="A4" s="1767" t="s">
        <v>2070</v>
      </c>
      <c r="B4" s="1768" t="s">
        <v>2071</v>
      </c>
      <c r="C4" s="1766"/>
      <c r="D4" s="1766"/>
      <c r="E4" s="1766"/>
      <c r="F4" s="1766"/>
    </row>
    <row r="5" spans="1:6" ht="14.25" thickBot="1">
      <c r="A5" s="1769" t="s">
        <v>2072</v>
      </c>
      <c r="B5" s="1770" t="s">
        <v>2073</v>
      </c>
      <c r="C5" s="1771">
        <v>8.8999999999999996E-2</v>
      </c>
      <c r="D5" s="1771">
        <v>7.3999999999999996E-2</v>
      </c>
      <c r="E5" s="1771">
        <v>7.4999999999999997E-2</v>
      </c>
      <c r="F5" s="1772">
        <v>0.1</v>
      </c>
    </row>
    <row r="6" spans="1:6" ht="14.25" thickBot="1">
      <c r="A6" s="1769" t="s">
        <v>1087</v>
      </c>
      <c r="B6" s="1773" t="s">
        <v>2074</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2075</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2076</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2077</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2078</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2079</v>
      </c>
      <c r="C72" s="1783"/>
      <c r="D72" s="1783"/>
      <c r="E72" s="1783"/>
      <c r="F72" s="1775">
        <v>0.05</v>
      </c>
    </row>
    <row r="73" spans="1:6" ht="14.25" thickBot="1">
      <c r="A73" s="1769" t="s">
        <v>916</v>
      </c>
      <c r="B73" s="1773" t="s">
        <v>2080</v>
      </c>
      <c r="C73" s="1783"/>
      <c r="D73" s="1783"/>
      <c r="E73" s="1783"/>
      <c r="F73" s="1775">
        <v>0.05</v>
      </c>
    </row>
    <row r="74" spans="1:6" ht="14.25" thickBot="1">
      <c r="A74" s="1769" t="s">
        <v>916</v>
      </c>
      <c r="B74" s="1773" t="s">
        <v>2081</v>
      </c>
      <c r="C74" s="1783"/>
      <c r="D74" s="1783"/>
      <c r="E74" s="1783"/>
      <c r="F74" s="1775">
        <v>0.05</v>
      </c>
    </row>
    <row r="75" spans="1:6" ht="14.25" thickBot="1">
      <c r="A75" s="1777" t="s">
        <v>916</v>
      </c>
      <c r="B75" s="1784" t="s">
        <v>2082</v>
      </c>
      <c r="C75" s="1780"/>
      <c r="D75" s="1780"/>
      <c r="E75" s="1780"/>
      <c r="F75" s="1785">
        <v>0.05</v>
      </c>
    </row>
    <row r="76" spans="1:6" ht="14.25" thickBot="1">
      <c r="A76" s="1769" t="s">
        <v>1398</v>
      </c>
      <c r="B76" s="1770" t="s">
        <v>2083</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2084</v>
      </c>
      <c r="C102" s="1783"/>
      <c r="D102" s="1783"/>
      <c r="E102" s="1783"/>
      <c r="F102" s="1775">
        <v>0.05</v>
      </c>
    </row>
    <row r="103" spans="1:6" ht="24.75" thickBot="1">
      <c r="A103" s="1769" t="s">
        <v>1398</v>
      </c>
      <c r="B103" s="1773" t="s">
        <v>2085</v>
      </c>
      <c r="C103" s="1783"/>
      <c r="D103" s="1783"/>
      <c r="E103" s="1783"/>
      <c r="F103" s="1775">
        <v>0.05</v>
      </c>
    </row>
    <row r="104" spans="1:6" ht="14.25" thickBot="1">
      <c r="A104" s="1769" t="s">
        <v>1398</v>
      </c>
      <c r="B104" s="1773" t="s">
        <v>2086</v>
      </c>
      <c r="C104" s="1783"/>
      <c r="D104" s="1783"/>
      <c r="E104" s="1783"/>
      <c r="F104" s="1775">
        <v>0.05</v>
      </c>
    </row>
    <row r="105" spans="1:6" ht="14.25" thickBot="1">
      <c r="A105" s="1769" t="s">
        <v>1398</v>
      </c>
      <c r="B105" s="1773" t="s">
        <v>2087</v>
      </c>
      <c r="C105" s="1783"/>
      <c r="D105" s="1783"/>
      <c r="E105" s="1783"/>
      <c r="F105" s="1775">
        <v>0.05</v>
      </c>
    </row>
    <row r="106" spans="1:6" ht="14.25" thickBot="1">
      <c r="A106" s="1769" t="s">
        <v>1398</v>
      </c>
      <c r="B106" s="1773" t="s">
        <v>2088</v>
      </c>
      <c r="C106" s="1783"/>
      <c r="D106" s="1783"/>
      <c r="E106" s="1783"/>
      <c r="F106" s="1775">
        <v>0.05</v>
      </c>
    </row>
    <row r="107" spans="1:6" ht="24.75" thickBot="1">
      <c r="A107" s="1769" t="s">
        <v>1398</v>
      </c>
      <c r="B107" s="1773" t="s">
        <v>2089</v>
      </c>
      <c r="C107" s="1783"/>
      <c r="D107" s="1783"/>
      <c r="E107" s="1783"/>
      <c r="F107" s="1775">
        <v>0.05</v>
      </c>
    </row>
    <row r="108" spans="1:6" ht="24.75" thickBot="1">
      <c r="A108" s="1769" t="s">
        <v>1398</v>
      </c>
      <c r="B108" s="1773" t="s">
        <v>2090</v>
      </c>
      <c r="C108" s="1783"/>
      <c r="D108" s="1783"/>
      <c r="E108" s="1783"/>
      <c r="F108" s="1775">
        <v>0.05</v>
      </c>
    </row>
    <row r="109" spans="1:6" ht="24.75" thickBot="1">
      <c r="A109" s="1777" t="s">
        <v>1398</v>
      </c>
      <c r="B109" s="1784" t="s">
        <v>2091</v>
      </c>
      <c r="C109" s="1780"/>
      <c r="D109" s="1780"/>
      <c r="E109" s="1780"/>
      <c r="F109" s="1785">
        <v>0.05</v>
      </c>
    </row>
    <row r="110" spans="1:6" ht="14.25" thickBot="1">
      <c r="A110" s="1769" t="s">
        <v>1400</v>
      </c>
      <c r="B110" s="1770" t="s">
        <v>2092</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2093</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2094</v>
      </c>
      <c r="C138" s="1774">
        <v>0.105</v>
      </c>
      <c r="D138" s="1774">
        <v>0.125</v>
      </c>
      <c r="E138" s="1774">
        <v>0.112</v>
      </c>
      <c r="F138" s="1782"/>
    </row>
    <row r="139" spans="1:6" ht="14.25" thickBot="1">
      <c r="A139" s="1769" t="s">
        <v>1400</v>
      </c>
      <c r="B139" s="1773" t="s">
        <v>2095</v>
      </c>
      <c r="C139" s="1774">
        <v>0.127</v>
      </c>
      <c r="D139" s="1774">
        <v>0.127</v>
      </c>
      <c r="E139" s="1774">
        <v>0.122</v>
      </c>
      <c r="F139" s="1775">
        <v>0.13</v>
      </c>
    </row>
    <row r="140" spans="1:6" ht="14.25" thickBot="1">
      <c r="A140" s="1769" t="s">
        <v>1400</v>
      </c>
      <c r="B140" s="1773" t="s">
        <v>2096</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2097</v>
      </c>
      <c r="C144" s="1787">
        <v>0.126</v>
      </c>
      <c r="D144" s="1787">
        <v>0.126</v>
      </c>
      <c r="E144" s="1787">
        <v>0.121</v>
      </c>
      <c r="F144" s="1782"/>
    </row>
    <row r="145" spans="1:6" ht="14.25" thickBot="1">
      <c r="A145" s="1777" t="s">
        <v>1400</v>
      </c>
      <c r="B145" s="1788" t="s">
        <v>2098</v>
      </c>
      <c r="C145" s="1789"/>
      <c r="D145" s="1789"/>
      <c r="E145" s="1789"/>
      <c r="F145" s="1790">
        <v>0.05</v>
      </c>
    </row>
    <row r="146" spans="1:6" ht="24.75" thickBot="1">
      <c r="A146" s="1791" t="s">
        <v>1400</v>
      </c>
      <c r="B146" s="1776" t="s">
        <v>2099</v>
      </c>
      <c r="C146" s="1783"/>
      <c r="D146" s="1783"/>
      <c r="E146" s="1783"/>
      <c r="F146" s="1792">
        <v>0.05</v>
      </c>
    </row>
    <row r="147" spans="1:6" ht="24.75" thickBot="1">
      <c r="A147" s="1769" t="s">
        <v>1400</v>
      </c>
      <c r="B147" s="1773" t="s">
        <v>2100</v>
      </c>
      <c r="C147" s="1783"/>
      <c r="D147" s="1783"/>
      <c r="E147" s="1783"/>
      <c r="F147" s="1775">
        <v>0.05</v>
      </c>
    </row>
    <row r="148" spans="1:6" ht="24.75" thickBot="1">
      <c r="A148" s="1769" t="s">
        <v>1400</v>
      </c>
      <c r="B148" s="1773" t="s">
        <v>2101</v>
      </c>
      <c r="C148" s="1783"/>
      <c r="D148" s="1783"/>
      <c r="E148" s="1783"/>
      <c r="F148" s="1775">
        <v>0.05</v>
      </c>
    </row>
    <row r="149" spans="1:6" ht="24.75" thickBot="1">
      <c r="A149" s="1769" t="s">
        <v>1400</v>
      </c>
      <c r="B149" s="1773" t="s">
        <v>2102</v>
      </c>
      <c r="C149" s="1783"/>
      <c r="D149" s="1783"/>
      <c r="E149" s="1783"/>
      <c r="F149" s="1775">
        <v>0.05</v>
      </c>
    </row>
    <row r="150" spans="1:6" ht="24.75" thickBot="1">
      <c r="A150" s="1769" t="s">
        <v>1400</v>
      </c>
      <c r="B150" s="1773" t="s">
        <v>2103</v>
      </c>
      <c r="C150" s="1783"/>
      <c r="D150" s="1783"/>
      <c r="E150" s="1783"/>
      <c r="F150" s="1775">
        <v>0.05</v>
      </c>
    </row>
    <row r="151" spans="1:6" ht="24.75" thickBot="1">
      <c r="A151" s="1769" t="s">
        <v>1400</v>
      </c>
      <c r="B151" s="1773" t="s">
        <v>2104</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2105</v>
      </c>
      <c r="C153" s="1783"/>
      <c r="D153" s="1783"/>
      <c r="E153" s="1783"/>
      <c r="F153" s="1775">
        <v>0.05</v>
      </c>
    </row>
    <row r="154" spans="1:6" ht="14.25" thickBot="1">
      <c r="A154" s="1769" t="s">
        <v>1400</v>
      </c>
      <c r="B154" s="1773" t="s">
        <v>2106</v>
      </c>
      <c r="C154" s="1783"/>
      <c r="D154" s="1783"/>
      <c r="E154" s="1783"/>
      <c r="F154" s="1775">
        <v>0.05</v>
      </c>
    </row>
    <row r="155" spans="1:6" ht="24.75" thickBot="1">
      <c r="A155" s="1769" t="s">
        <v>1400</v>
      </c>
      <c r="B155" s="1773" t="s">
        <v>2107</v>
      </c>
      <c r="C155" s="1783"/>
      <c r="D155" s="1783"/>
      <c r="E155" s="1783"/>
      <c r="F155" s="1775">
        <v>0.05</v>
      </c>
    </row>
    <row r="156" spans="1:6" ht="24.75" thickBot="1">
      <c r="A156" s="1769" t="s">
        <v>1400</v>
      </c>
      <c r="B156" s="1773" t="s">
        <v>2108</v>
      </c>
      <c r="C156" s="1783"/>
      <c r="D156" s="1783"/>
      <c r="E156" s="1783"/>
      <c r="F156" s="1775">
        <v>0.05</v>
      </c>
    </row>
    <row r="157" spans="1:6" ht="14.25" thickBot="1">
      <c r="A157" s="1777" t="s">
        <v>1400</v>
      </c>
      <c r="B157" s="1784" t="s">
        <v>2109</v>
      </c>
      <c r="C157" s="1780"/>
      <c r="D157" s="1780"/>
      <c r="E157" s="1780"/>
      <c r="F157" s="1785">
        <v>0.05</v>
      </c>
    </row>
    <row r="158" spans="1:6" ht="14.25" thickBot="1">
      <c r="A158" s="1769" t="s">
        <v>1402</v>
      </c>
      <c r="B158" s="1770" t="s">
        <v>2110</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2111</v>
      </c>
      <c r="C171" s="1774">
        <v>0.127</v>
      </c>
      <c r="D171" s="1774">
        <v>0.126</v>
      </c>
      <c r="E171" s="1774">
        <v>0.126</v>
      </c>
      <c r="F171" s="1775">
        <v>0.11799999999999999</v>
      </c>
    </row>
    <row r="172" spans="1:6" ht="14.25" thickBot="1">
      <c r="A172" s="1769" t="s">
        <v>1402</v>
      </c>
      <c r="B172" s="1773" t="s">
        <v>2112</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2113</v>
      </c>
      <c r="C174" s="1774">
        <v>0.13</v>
      </c>
      <c r="D174" s="1774">
        <v>0.13</v>
      </c>
      <c r="E174" s="1774">
        <v>0.13</v>
      </c>
      <c r="F174" s="1775">
        <v>0.13</v>
      </c>
    </row>
    <row r="175" spans="1:6" ht="14.25" thickBot="1">
      <c r="A175" s="1769" t="s">
        <v>1402</v>
      </c>
      <c r="B175" s="1773" t="s">
        <v>2114</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2115</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2116</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2117</v>
      </c>
      <c r="C185" s="1774">
        <v>0.127</v>
      </c>
      <c r="D185" s="1774">
        <v>0.127</v>
      </c>
      <c r="E185" s="1774">
        <v>0.128</v>
      </c>
      <c r="F185" s="1775">
        <v>0.13</v>
      </c>
    </row>
    <row r="186" spans="1:6" ht="24.75" thickBot="1">
      <c r="A186" s="1769" t="s">
        <v>1402</v>
      </c>
      <c r="B186" s="1773" t="s">
        <v>2118</v>
      </c>
      <c r="C186" s="1783"/>
      <c r="D186" s="1783"/>
      <c r="E186" s="1783"/>
      <c r="F186" s="1775">
        <v>0.05</v>
      </c>
    </row>
    <row r="187" spans="1:6" ht="14.25" thickBot="1">
      <c r="A187" s="1769" t="s">
        <v>1402</v>
      </c>
      <c r="B187" s="1773" t="s">
        <v>2119</v>
      </c>
      <c r="C187" s="1783"/>
      <c r="D187" s="1783"/>
      <c r="E187" s="1783"/>
      <c r="F187" s="1775">
        <v>0.05</v>
      </c>
    </row>
    <row r="188" spans="1:6" ht="14.25" thickBot="1">
      <c r="A188" s="1769" t="s">
        <v>1402</v>
      </c>
      <c r="B188" s="1773" t="s">
        <v>2120</v>
      </c>
      <c r="C188" s="1783"/>
      <c r="D188" s="1783"/>
      <c r="E188" s="1783"/>
      <c r="F188" s="1775">
        <v>0.05</v>
      </c>
    </row>
    <row r="189" spans="1:6" ht="24.75" thickBot="1">
      <c r="A189" s="1769" t="s">
        <v>1402</v>
      </c>
      <c r="B189" s="1773" t="s">
        <v>2121</v>
      </c>
      <c r="C189" s="1783"/>
      <c r="D189" s="1783"/>
      <c r="E189" s="1783"/>
      <c r="F189" s="1775">
        <v>0.05</v>
      </c>
    </row>
    <row r="190" spans="1:6" ht="24.75" thickBot="1">
      <c r="A190" s="1769" t="s">
        <v>1402</v>
      </c>
      <c r="B190" s="1773" t="s">
        <v>2122</v>
      </c>
      <c r="C190" s="1783"/>
      <c r="D190" s="1783"/>
      <c r="E190" s="1783"/>
      <c r="F190" s="1775">
        <v>0.05</v>
      </c>
    </row>
    <row r="191" spans="1:6" ht="24.75" thickBot="1">
      <c r="A191" s="1769" t="s">
        <v>1402</v>
      </c>
      <c r="B191" s="1773" t="s">
        <v>2123</v>
      </c>
      <c r="C191" s="1783"/>
      <c r="D191" s="1783"/>
      <c r="E191" s="1783"/>
      <c r="F191" s="1775">
        <v>0.05</v>
      </c>
    </row>
    <row r="192" spans="1:6" ht="24.75" thickBot="1">
      <c r="A192" s="1769" t="s">
        <v>1402</v>
      </c>
      <c r="B192" s="1773" t="s">
        <v>2124</v>
      </c>
      <c r="C192" s="1783"/>
      <c r="D192" s="1783"/>
      <c r="E192" s="1783"/>
      <c r="F192" s="1775">
        <v>0.05</v>
      </c>
    </row>
    <row r="193" spans="1:6" ht="24.75" thickBot="1">
      <c r="A193" s="1769" t="s">
        <v>1402</v>
      </c>
      <c r="B193" s="1773" t="s">
        <v>2125</v>
      </c>
      <c r="C193" s="1783"/>
      <c r="D193" s="1783"/>
      <c r="E193" s="1783"/>
      <c r="F193" s="1775">
        <v>0.05</v>
      </c>
    </row>
    <row r="194" spans="1:6" ht="24.75" thickBot="1">
      <c r="A194" s="1769" t="s">
        <v>1402</v>
      </c>
      <c r="B194" s="1773" t="s">
        <v>2126</v>
      </c>
      <c r="C194" s="1783"/>
      <c r="D194" s="1783"/>
      <c r="E194" s="1783"/>
      <c r="F194" s="1775">
        <v>0.05</v>
      </c>
    </row>
    <row r="195" spans="1:6" ht="14.25" thickBot="1">
      <c r="A195" s="1769" t="s">
        <v>1402</v>
      </c>
      <c r="B195" s="1773" t="s">
        <v>2127</v>
      </c>
      <c r="C195" s="1783"/>
      <c r="D195" s="1783"/>
      <c r="E195" s="1783"/>
      <c r="F195" s="1775">
        <v>0.05</v>
      </c>
    </row>
    <row r="196" spans="1:6" ht="24.75" thickBot="1">
      <c r="A196" s="1769" t="s">
        <v>1402</v>
      </c>
      <c r="B196" s="1773" t="s">
        <v>2128</v>
      </c>
      <c r="C196" s="1783"/>
      <c r="D196" s="1783"/>
      <c r="E196" s="1783"/>
      <c r="F196" s="1775">
        <v>0.05</v>
      </c>
    </row>
    <row r="197" spans="1:6" ht="24.75" thickBot="1">
      <c r="A197" s="1769" t="s">
        <v>1402</v>
      </c>
      <c r="B197" s="1773" t="s">
        <v>2129</v>
      </c>
      <c r="C197" s="1783"/>
      <c r="D197" s="1783"/>
      <c r="E197" s="1783"/>
      <c r="F197" s="1775">
        <v>0.05</v>
      </c>
    </row>
    <row r="198" spans="1:6" ht="24.75" thickBot="1">
      <c r="A198" s="1769" t="s">
        <v>1402</v>
      </c>
      <c r="B198" s="1773" t="s">
        <v>2130</v>
      </c>
      <c r="C198" s="1783"/>
      <c r="D198" s="1783"/>
      <c r="E198" s="1783"/>
      <c r="F198" s="1775">
        <v>0.05</v>
      </c>
    </row>
    <row r="199" spans="1:6" ht="24.75" thickBot="1">
      <c r="A199" s="1769" t="s">
        <v>1402</v>
      </c>
      <c r="B199" s="1773" t="s">
        <v>2131</v>
      </c>
      <c r="C199" s="1783"/>
      <c r="D199" s="1783"/>
      <c r="E199" s="1783"/>
      <c r="F199" s="1775">
        <v>0.05</v>
      </c>
    </row>
    <row r="200" spans="1:6" ht="24.75" thickBot="1">
      <c r="A200" s="1769" t="s">
        <v>1402</v>
      </c>
      <c r="B200" s="1773" t="s">
        <v>2132</v>
      </c>
      <c r="C200" s="1783"/>
      <c r="D200" s="1783"/>
      <c r="E200" s="1783"/>
      <c r="F200" s="1775">
        <v>0.05</v>
      </c>
    </row>
    <row r="201" spans="1:6" ht="24.75" thickBot="1">
      <c r="A201" s="1769" t="s">
        <v>1402</v>
      </c>
      <c r="B201" s="1773" t="s">
        <v>2133</v>
      </c>
      <c r="C201" s="1783"/>
      <c r="D201" s="1783"/>
      <c r="E201" s="1783"/>
      <c r="F201" s="1775">
        <v>0.05</v>
      </c>
    </row>
    <row r="202" spans="1:6" ht="24.75" thickBot="1">
      <c r="A202" s="1769" t="s">
        <v>1402</v>
      </c>
      <c r="B202" s="1773" t="s">
        <v>2134</v>
      </c>
      <c r="C202" s="1783"/>
      <c r="D202" s="1783"/>
      <c r="E202" s="1783"/>
      <c r="F202" s="1775">
        <v>0.05</v>
      </c>
    </row>
    <row r="203" spans="1:6" ht="24.75" thickBot="1">
      <c r="A203" s="1769" t="s">
        <v>1402</v>
      </c>
      <c r="B203" s="1773" t="s">
        <v>2135</v>
      </c>
      <c r="C203" s="1783"/>
      <c r="D203" s="1783"/>
      <c r="E203" s="1783"/>
      <c r="F203" s="1775">
        <v>0.05</v>
      </c>
    </row>
    <row r="204" spans="1:6" ht="14.25" thickBot="1">
      <c r="A204" s="1769" t="s">
        <v>1402</v>
      </c>
      <c r="B204" s="1773" t="s">
        <v>2136</v>
      </c>
      <c r="C204" s="1783"/>
      <c r="D204" s="1783"/>
      <c r="E204" s="1783"/>
      <c r="F204" s="1775">
        <v>0.05</v>
      </c>
    </row>
    <row r="205" spans="1:6" ht="14.25" thickBot="1">
      <c r="A205" s="1777" t="s">
        <v>1402</v>
      </c>
      <c r="B205" s="1784" t="s">
        <v>2137</v>
      </c>
      <c r="C205" s="1780"/>
      <c r="D205" s="1780"/>
      <c r="E205" s="1780"/>
      <c r="F205" s="1785">
        <v>0.05</v>
      </c>
    </row>
    <row r="206" spans="1:6" ht="14.25" thickBot="1">
      <c r="A206" s="1769" t="s">
        <v>1404</v>
      </c>
      <c r="B206" s="1770" t="s">
        <v>2138</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2139</v>
      </c>
      <c r="C210" s="1774">
        <v>0.15</v>
      </c>
      <c r="D210" s="1774">
        <v>0.15</v>
      </c>
      <c r="E210" s="1774">
        <v>0.15</v>
      </c>
      <c r="F210" s="1775">
        <v>0.13800000000000001</v>
      </c>
    </row>
    <row r="211" spans="1:6" ht="14.25" thickBot="1">
      <c r="A211" s="1769" t="s">
        <v>1404</v>
      </c>
      <c r="B211" s="1773" t="s">
        <v>2140</v>
      </c>
      <c r="C211" s="1774">
        <v>0.13700000000000001</v>
      </c>
      <c r="D211" s="1774">
        <v>0.13500000000000001</v>
      </c>
      <c r="E211" s="1774">
        <v>0.13600000000000001</v>
      </c>
      <c r="F211" s="1775">
        <v>0.1</v>
      </c>
    </row>
    <row r="212" spans="1:6" ht="14.25" thickBot="1">
      <c r="A212" s="1769" t="s">
        <v>1404</v>
      </c>
      <c r="B212" s="1773" t="s">
        <v>2141</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2142</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2143</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2144</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2145</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2146</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2147</v>
      </c>
      <c r="C231" s="1774">
        <v>0.128</v>
      </c>
      <c r="D231" s="1774">
        <v>0.125</v>
      </c>
      <c r="E231" s="1774">
        <v>0.13200000000000001</v>
      </c>
      <c r="F231" s="1782"/>
    </row>
    <row r="232" spans="1:6" ht="14.25" thickBot="1">
      <c r="A232" s="1769" t="s">
        <v>1404</v>
      </c>
      <c r="B232" s="1773" t="s">
        <v>2148</v>
      </c>
      <c r="C232" s="1774">
        <v>0.14499999999999999</v>
      </c>
      <c r="D232" s="1774">
        <v>0.14399999999999999</v>
      </c>
      <c r="E232" s="1774">
        <v>0.14599999999999999</v>
      </c>
      <c r="F232" s="1775">
        <v>0.13800000000000001</v>
      </c>
    </row>
    <row r="233" spans="1:6" ht="14.25" thickBot="1">
      <c r="A233" s="1769" t="s">
        <v>1404</v>
      </c>
      <c r="B233" s="1773" t="s">
        <v>2149</v>
      </c>
      <c r="C233" s="1774">
        <v>0.14499999999999999</v>
      </c>
      <c r="D233" s="1774">
        <v>0.14299999999999999</v>
      </c>
      <c r="E233" s="1774">
        <v>0.14199999999999999</v>
      </c>
      <c r="F233" s="1782"/>
    </row>
    <row r="234" spans="1:6" ht="14.25" thickBot="1">
      <c r="A234" s="1769" t="s">
        <v>1404</v>
      </c>
      <c r="B234" s="1773" t="s">
        <v>2150</v>
      </c>
      <c r="C234" s="1774">
        <v>0.14000000000000001</v>
      </c>
      <c r="D234" s="1774">
        <v>0.14000000000000001</v>
      </c>
      <c r="E234" s="1774">
        <v>0.14399999999999999</v>
      </c>
      <c r="F234" s="1782"/>
    </row>
    <row r="235" spans="1:6" ht="14.25" thickBot="1">
      <c r="A235" s="1769" t="s">
        <v>1404</v>
      </c>
      <c r="B235" s="1773" t="s">
        <v>2151</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2152</v>
      </c>
      <c r="C237" s="1783"/>
      <c r="D237" s="1783"/>
      <c r="E237" s="1783"/>
      <c r="F237" s="1775">
        <v>0.05</v>
      </c>
    </row>
    <row r="238" spans="1:6" ht="24.75" thickBot="1">
      <c r="A238" s="1769" t="s">
        <v>1404</v>
      </c>
      <c r="B238" s="1773" t="s">
        <v>2153</v>
      </c>
      <c r="C238" s="1783"/>
      <c r="D238" s="1783"/>
      <c r="E238" s="1783"/>
      <c r="F238" s="1775">
        <v>0.05</v>
      </c>
    </row>
    <row r="239" spans="1:6" ht="24.75" thickBot="1">
      <c r="A239" s="1769" t="s">
        <v>1404</v>
      </c>
      <c r="B239" s="1773" t="s">
        <v>2154</v>
      </c>
      <c r="C239" s="1783"/>
      <c r="D239" s="1783"/>
      <c r="E239" s="1783"/>
      <c r="F239" s="1775">
        <v>0.05</v>
      </c>
    </row>
    <row r="240" spans="1:6" ht="24.75" thickBot="1">
      <c r="A240" s="1769" t="s">
        <v>1404</v>
      </c>
      <c r="B240" s="1773" t="s">
        <v>2155</v>
      </c>
      <c r="C240" s="1783"/>
      <c r="D240" s="1783"/>
      <c r="E240" s="1783"/>
      <c r="F240" s="1775">
        <v>0.05</v>
      </c>
    </row>
    <row r="241" spans="1:6" ht="24.75" thickBot="1">
      <c r="A241" s="1769" t="s">
        <v>1404</v>
      </c>
      <c r="B241" s="1773" t="s">
        <v>2156</v>
      </c>
      <c r="C241" s="1783"/>
      <c r="D241" s="1783"/>
      <c r="E241" s="1783"/>
      <c r="F241" s="1775">
        <v>0.05</v>
      </c>
    </row>
    <row r="242" spans="1:6" ht="24.75" thickBot="1">
      <c r="A242" s="1769" t="s">
        <v>1404</v>
      </c>
      <c r="B242" s="1773" t="s">
        <v>2157</v>
      </c>
      <c r="C242" s="1783"/>
      <c r="D242" s="1783"/>
      <c r="E242" s="1783"/>
      <c r="F242" s="1775">
        <v>0.05</v>
      </c>
    </row>
    <row r="243" spans="1:6" ht="24.75" thickBot="1">
      <c r="A243" s="1769" t="s">
        <v>1404</v>
      </c>
      <c r="B243" s="1773" t="s">
        <v>2158</v>
      </c>
      <c r="C243" s="1783"/>
      <c r="D243" s="1783"/>
      <c r="E243" s="1783"/>
      <c r="F243" s="1775">
        <v>0.05</v>
      </c>
    </row>
    <row r="244" spans="1:6" ht="24.75" thickBot="1">
      <c r="A244" s="1777" t="s">
        <v>1404</v>
      </c>
      <c r="B244" s="1784" t="s">
        <v>2159</v>
      </c>
      <c r="C244" s="1780"/>
      <c r="D244" s="1780"/>
      <c r="E244" s="1780"/>
      <c r="F244" s="1785">
        <v>0.05</v>
      </c>
    </row>
    <row r="245" spans="1:6" ht="14.25" thickBot="1">
      <c r="A245" s="1769" t="s">
        <v>1406</v>
      </c>
      <c r="B245" s="1770" t="s">
        <v>2160</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2161</v>
      </c>
      <c r="C247" s="1774">
        <v>0.15</v>
      </c>
      <c r="D247" s="1774">
        <v>0.15</v>
      </c>
      <c r="E247" s="1774">
        <v>0.15</v>
      </c>
      <c r="F247" s="1775">
        <v>0.15</v>
      </c>
    </row>
    <row r="248" spans="1:6" ht="14.25" thickBot="1">
      <c r="A248" s="1769" t="s">
        <v>1406</v>
      </c>
      <c r="B248" s="1773" t="s">
        <v>2162</v>
      </c>
      <c r="C248" s="1774">
        <v>0.15</v>
      </c>
      <c r="D248" s="1774">
        <v>0.15</v>
      </c>
      <c r="E248" s="1774">
        <v>0.15</v>
      </c>
      <c r="F248" s="1775">
        <v>0.14000000000000001</v>
      </c>
    </row>
    <row r="249" spans="1:6" ht="14.25" thickBot="1">
      <c r="A249" s="1769" t="s">
        <v>1406</v>
      </c>
      <c r="B249" s="1773" t="s">
        <v>2163</v>
      </c>
      <c r="C249" s="1774">
        <v>0.15</v>
      </c>
      <c r="D249" s="1774">
        <v>0.14899999999999999</v>
      </c>
      <c r="E249" s="1774">
        <v>0.15</v>
      </c>
      <c r="F249" s="1775">
        <v>0.1</v>
      </c>
    </row>
    <row r="250" spans="1:6" ht="14.25" thickBot="1">
      <c r="A250" s="1769" t="s">
        <v>1406</v>
      </c>
      <c r="B250" s="1773" t="s">
        <v>2164</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2165</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2166</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2167</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2168</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2169</v>
      </c>
      <c r="C273" s="1774">
        <v>0.14199999999999999</v>
      </c>
      <c r="D273" s="1774">
        <v>0.14299999999999999</v>
      </c>
      <c r="E273" s="1774">
        <v>0.15</v>
      </c>
      <c r="F273" s="1775">
        <v>0.1</v>
      </c>
    </row>
    <row r="274" spans="1:6" ht="14.25" thickBot="1">
      <c r="A274" s="1769" t="s">
        <v>1406</v>
      </c>
      <c r="B274" s="1773" t="s">
        <v>2170</v>
      </c>
      <c r="C274" s="1774">
        <v>0.14799999999999999</v>
      </c>
      <c r="D274" s="1774">
        <v>0.14799999999999999</v>
      </c>
      <c r="E274" s="1774">
        <v>0.15</v>
      </c>
      <c r="F274" s="1775">
        <v>6.7000000000000004E-2</v>
      </c>
    </row>
    <row r="275" spans="1:6" ht="14.25" thickBot="1">
      <c r="A275" s="1769" t="s">
        <v>1406</v>
      </c>
      <c r="B275" s="1773" t="s">
        <v>2171</v>
      </c>
      <c r="C275" s="1774">
        <v>0.15</v>
      </c>
      <c r="D275" s="1774">
        <v>0.15</v>
      </c>
      <c r="E275" s="1774">
        <v>0.15</v>
      </c>
      <c r="F275" s="1775">
        <v>0.15</v>
      </c>
    </row>
    <row r="276" spans="1:6" ht="14.25" thickBot="1">
      <c r="A276" s="1769" t="s">
        <v>1406</v>
      </c>
      <c r="B276" s="1773" t="s">
        <v>2172</v>
      </c>
      <c r="C276" s="1774">
        <v>0.14499999999999999</v>
      </c>
      <c r="D276" s="1774">
        <v>0.14299999999999999</v>
      </c>
      <c r="E276" s="1774">
        <v>0.15</v>
      </c>
      <c r="F276" s="1775">
        <v>5.8999999999999997E-2</v>
      </c>
    </row>
    <row r="277" spans="1:6" ht="14.25" thickBot="1">
      <c r="A277" s="1769" t="s">
        <v>1406</v>
      </c>
      <c r="B277" s="1773" t="s">
        <v>2173</v>
      </c>
      <c r="C277" s="1774">
        <v>0.15</v>
      </c>
      <c r="D277" s="1774">
        <v>0.15</v>
      </c>
      <c r="E277" s="1774">
        <v>0.15</v>
      </c>
      <c r="F277" s="1775">
        <v>0.121</v>
      </c>
    </row>
    <row r="278" spans="1:6" ht="14.25" thickBot="1">
      <c r="A278" s="1769" t="s">
        <v>1406</v>
      </c>
      <c r="B278" s="1773" t="s">
        <v>2174</v>
      </c>
      <c r="C278" s="1774">
        <v>0.15</v>
      </c>
      <c r="D278" s="1774">
        <v>0.15</v>
      </c>
      <c r="E278" s="1774">
        <v>0.15</v>
      </c>
      <c r="F278" s="1775">
        <v>0.13800000000000001</v>
      </c>
    </row>
    <row r="279" spans="1:6" ht="24.75" thickBot="1">
      <c r="A279" s="1769" t="s">
        <v>1406</v>
      </c>
      <c r="B279" s="1773" t="s">
        <v>2175</v>
      </c>
      <c r="C279" s="1783"/>
      <c r="D279" s="1783"/>
      <c r="E279" s="1783"/>
      <c r="F279" s="1775">
        <v>0.05</v>
      </c>
    </row>
    <row r="280" spans="1:6" ht="24.75" thickBot="1">
      <c r="A280" s="1769" t="s">
        <v>1406</v>
      </c>
      <c r="B280" s="1773" t="s">
        <v>2176</v>
      </c>
      <c r="C280" s="1783"/>
      <c r="D280" s="1783"/>
      <c r="E280" s="1783"/>
      <c r="F280" s="1775">
        <v>0.05</v>
      </c>
    </row>
    <row r="281" spans="1:6" ht="24.75" thickBot="1">
      <c r="A281" s="1769" t="s">
        <v>1406</v>
      </c>
      <c r="B281" s="1773" t="s">
        <v>2177</v>
      </c>
      <c r="C281" s="1783"/>
      <c r="D281" s="1783"/>
      <c r="E281" s="1783"/>
      <c r="F281" s="1775">
        <v>0.05</v>
      </c>
    </row>
    <row r="282" spans="1:6" ht="24.75" thickBot="1">
      <c r="A282" s="1769" t="s">
        <v>1406</v>
      </c>
      <c r="B282" s="1773" t="s">
        <v>2178</v>
      </c>
      <c r="C282" s="1783"/>
      <c r="D282" s="1783"/>
      <c r="E282" s="1783"/>
      <c r="F282" s="1775">
        <v>0.05</v>
      </c>
    </row>
    <row r="283" spans="1:6" ht="24.75" thickBot="1">
      <c r="A283" s="1769" t="s">
        <v>1406</v>
      </c>
      <c r="B283" s="1773" t="s">
        <v>2179</v>
      </c>
      <c r="C283" s="1783"/>
      <c r="D283" s="1783"/>
      <c r="E283" s="1783"/>
      <c r="F283" s="1775">
        <v>0.05</v>
      </c>
    </row>
    <row r="284" spans="1:6" ht="24.75" thickBot="1">
      <c r="A284" s="1769" t="s">
        <v>1406</v>
      </c>
      <c r="B284" s="1773" t="s">
        <v>2180</v>
      </c>
      <c r="C284" s="1783"/>
      <c r="D284" s="1783"/>
      <c r="E284" s="1783"/>
      <c r="F284" s="1775">
        <v>0.05</v>
      </c>
    </row>
    <row r="285" spans="1:6" ht="24.75" thickBot="1">
      <c r="A285" s="1769" t="s">
        <v>1406</v>
      </c>
      <c r="B285" s="1773" t="s">
        <v>2181</v>
      </c>
      <c r="C285" s="1783"/>
      <c r="D285" s="1783"/>
      <c r="E285" s="1783"/>
      <c r="F285" s="1775">
        <v>0.05</v>
      </c>
    </row>
    <row r="286" spans="1:6" ht="24.75" thickBot="1">
      <c r="A286" s="1769" t="s">
        <v>1406</v>
      </c>
      <c r="B286" s="1773" t="s">
        <v>2182</v>
      </c>
      <c r="C286" s="1783"/>
      <c r="D286" s="1783"/>
      <c r="E286" s="1783"/>
      <c r="F286" s="1775">
        <v>0.05</v>
      </c>
    </row>
    <row r="287" spans="1:6" ht="24.75" thickBot="1">
      <c r="A287" s="1769" t="s">
        <v>1406</v>
      </c>
      <c r="B287" s="1773" t="s">
        <v>2183</v>
      </c>
      <c r="C287" s="1783"/>
      <c r="D287" s="1783"/>
      <c r="E287" s="1783"/>
      <c r="F287" s="1775">
        <v>0.05</v>
      </c>
    </row>
    <row r="288" spans="1:6" ht="24.75" thickBot="1">
      <c r="A288" s="1769" t="s">
        <v>1406</v>
      </c>
      <c r="B288" s="1773" t="s">
        <v>2184</v>
      </c>
      <c r="C288" s="1783"/>
      <c r="D288" s="1783"/>
      <c r="E288" s="1783"/>
      <c r="F288" s="1775">
        <v>0.05</v>
      </c>
    </row>
    <row r="289" spans="1:6" ht="24.75" thickBot="1">
      <c r="A289" s="1777" t="s">
        <v>1406</v>
      </c>
      <c r="B289" s="1784" t="s">
        <v>2185</v>
      </c>
      <c r="C289" s="1780"/>
      <c r="D289" s="1780"/>
      <c r="E289" s="1780"/>
      <c r="F289" s="1785">
        <v>0.05</v>
      </c>
    </row>
    <row r="290" spans="1:6" ht="14.25" thickBot="1">
      <c r="A290" s="1769" t="s">
        <v>1410</v>
      </c>
      <c r="B290" s="1770" t="s">
        <v>2186</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2187</v>
      </c>
      <c r="C292" s="1774">
        <v>0.15</v>
      </c>
      <c r="D292" s="1774">
        <v>0.15</v>
      </c>
      <c r="E292" s="1774">
        <v>0.15</v>
      </c>
      <c r="F292" s="1775">
        <v>0.14699999999999999</v>
      </c>
    </row>
    <row r="293" spans="1:6" ht="14.25" thickBot="1">
      <c r="A293" s="1769" t="s">
        <v>1410</v>
      </c>
      <c r="B293" s="1773" t="s">
        <v>2188</v>
      </c>
      <c r="C293" s="1783"/>
      <c r="D293" s="1783"/>
      <c r="E293" s="1783"/>
      <c r="F293" s="1775">
        <v>0.1</v>
      </c>
    </row>
    <row r="294" spans="1:6" ht="14.25" thickBot="1">
      <c r="A294" s="1769" t="s">
        <v>1410</v>
      </c>
      <c r="B294" s="1773" t="s">
        <v>2189</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2190</v>
      </c>
      <c r="C296" s="1774">
        <v>0.15</v>
      </c>
      <c r="D296" s="1774">
        <v>0.15</v>
      </c>
      <c r="E296" s="1774">
        <v>0.15</v>
      </c>
      <c r="F296" s="1775">
        <v>0.15</v>
      </c>
    </row>
    <row r="297" spans="1:6" ht="14.25" thickBot="1">
      <c r="A297" s="1769" t="s">
        <v>1410</v>
      </c>
      <c r="B297" s="1773" t="s">
        <v>2191</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2192</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2193</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2194</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2195</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2196</v>
      </c>
      <c r="C310" s="1774">
        <v>0.15</v>
      </c>
      <c r="D310" s="1774">
        <v>0.15</v>
      </c>
      <c r="E310" s="1774">
        <v>0.15</v>
      </c>
      <c r="F310" s="1775">
        <v>0.13700000000000001</v>
      </c>
    </row>
    <row r="311" spans="1:6" ht="14.25" thickBot="1">
      <c r="A311" s="1769" t="s">
        <v>1410</v>
      </c>
      <c r="B311" s="1773" t="s">
        <v>2197</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2198</v>
      </c>
      <c r="C313" s="1774">
        <v>0.15</v>
      </c>
      <c r="D313" s="1774">
        <v>0.15</v>
      </c>
      <c r="E313" s="1774">
        <v>0.15</v>
      </c>
      <c r="F313" s="1775">
        <v>0.15</v>
      </c>
    </row>
    <row r="314" spans="1:6" ht="24.75" thickBot="1">
      <c r="A314" s="1769" t="s">
        <v>1410</v>
      </c>
      <c r="B314" s="1773" t="s">
        <v>2199</v>
      </c>
      <c r="C314" s="1783"/>
      <c r="D314" s="1783"/>
      <c r="E314" s="1783"/>
      <c r="F314" s="1775">
        <v>0.05</v>
      </c>
    </row>
    <row r="315" spans="1:6" ht="24.75" thickBot="1">
      <c r="A315" s="1769" t="s">
        <v>1410</v>
      </c>
      <c r="B315" s="1773" t="s">
        <v>2200</v>
      </c>
      <c r="C315" s="1783"/>
      <c r="D315" s="1783"/>
      <c r="E315" s="1783"/>
      <c r="F315" s="1775">
        <v>0.05</v>
      </c>
    </row>
    <row r="316" spans="1:6" ht="24.75" thickBot="1">
      <c r="A316" s="1777" t="s">
        <v>1410</v>
      </c>
      <c r="B316" s="1784" t="s">
        <v>2201</v>
      </c>
      <c r="C316" s="1780"/>
      <c r="D316" s="1780"/>
      <c r="E316" s="1780"/>
      <c r="F316" s="1785">
        <v>0.05</v>
      </c>
    </row>
    <row r="317" spans="1:6" ht="14.25" thickBot="1">
      <c r="A317" s="1769" t="s">
        <v>2202</v>
      </c>
      <c r="B317" s="1770" t="s">
        <v>2203</v>
      </c>
      <c r="C317" s="1771">
        <v>0.15</v>
      </c>
      <c r="D317" s="1771">
        <v>0.15</v>
      </c>
      <c r="E317" s="1771">
        <v>0.15</v>
      </c>
      <c r="F317" s="1772">
        <v>0.15</v>
      </c>
    </row>
    <row r="318" spans="1:6" ht="14.25" thickBot="1">
      <c r="A318" s="1769" t="s">
        <v>2202</v>
      </c>
      <c r="B318" s="1773" t="s">
        <v>2204</v>
      </c>
      <c r="C318" s="1774">
        <v>0.107</v>
      </c>
      <c r="D318" s="1774">
        <v>0.11</v>
      </c>
      <c r="E318" s="1774">
        <v>0.112</v>
      </c>
      <c r="F318" s="1782"/>
    </row>
    <row r="319" spans="1:6" ht="14.25" thickBot="1">
      <c r="A319" s="1769" t="s">
        <v>2202</v>
      </c>
      <c r="B319" s="1773" t="s">
        <v>2205</v>
      </c>
      <c r="C319" s="1774">
        <v>0.15</v>
      </c>
      <c r="D319" s="1774">
        <v>0.15</v>
      </c>
      <c r="E319" s="1774">
        <v>0.15</v>
      </c>
      <c r="F319" s="1775">
        <v>0.15</v>
      </c>
    </row>
    <row r="320" spans="1:6" ht="14.25" thickBot="1">
      <c r="A320" s="1769" t="s">
        <v>2202</v>
      </c>
      <c r="B320" s="1773" t="s">
        <v>1098</v>
      </c>
      <c r="C320" s="1774">
        <v>0.15</v>
      </c>
      <c r="D320" s="1774">
        <v>0.15</v>
      </c>
      <c r="E320" s="1774">
        <v>0.15</v>
      </c>
      <c r="F320" s="1782"/>
    </row>
    <row r="321" spans="1:6" ht="14.25" thickBot="1">
      <c r="A321" s="1769" t="s">
        <v>2202</v>
      </c>
      <c r="B321" s="1773" t="s">
        <v>2206</v>
      </c>
      <c r="C321" s="1774">
        <v>0.15</v>
      </c>
      <c r="D321" s="1774">
        <v>0.15</v>
      </c>
      <c r="E321" s="1774">
        <v>0.15</v>
      </c>
      <c r="F321" s="1782"/>
    </row>
    <row r="322" spans="1:6" ht="14.25" thickBot="1">
      <c r="A322" s="1769" t="s">
        <v>2202</v>
      </c>
      <c r="B322" s="1773" t="s">
        <v>2207</v>
      </c>
      <c r="C322" s="1774">
        <v>0.15</v>
      </c>
      <c r="D322" s="1774">
        <v>0.15</v>
      </c>
      <c r="E322" s="1774">
        <v>0.15</v>
      </c>
      <c r="F322" s="1775">
        <v>0.15</v>
      </c>
    </row>
    <row r="323" spans="1:6" ht="14.25" thickBot="1">
      <c r="A323" s="1769" t="s">
        <v>2202</v>
      </c>
      <c r="B323" s="1773" t="s">
        <v>2208</v>
      </c>
      <c r="C323" s="1774">
        <v>0.15</v>
      </c>
      <c r="D323" s="1774">
        <v>0.15</v>
      </c>
      <c r="E323" s="1774">
        <v>0.15</v>
      </c>
      <c r="F323" s="1782"/>
    </row>
    <row r="324" spans="1:6" ht="14.25" thickBot="1">
      <c r="A324" s="1769" t="s">
        <v>2202</v>
      </c>
      <c r="B324" s="1773" t="s">
        <v>2209</v>
      </c>
      <c r="C324" s="1774">
        <v>0.15</v>
      </c>
      <c r="D324" s="1774">
        <v>0.15</v>
      </c>
      <c r="E324" s="1774">
        <v>0.15</v>
      </c>
      <c r="F324" s="1782"/>
    </row>
    <row r="325" spans="1:6" ht="14.25" thickBot="1">
      <c r="A325" s="1769" t="s">
        <v>2202</v>
      </c>
      <c r="B325" s="1773" t="s">
        <v>2210</v>
      </c>
      <c r="C325" s="1774">
        <v>0.15</v>
      </c>
      <c r="D325" s="1774">
        <v>0.15</v>
      </c>
      <c r="E325" s="1774">
        <v>0.15</v>
      </c>
      <c r="F325" s="1775">
        <v>0.14699999999999999</v>
      </c>
    </row>
    <row r="326" spans="1:6" ht="14.25" thickBot="1">
      <c r="A326" s="1769" t="s">
        <v>2202</v>
      </c>
      <c r="B326" s="1773" t="s">
        <v>1167</v>
      </c>
      <c r="C326" s="1774">
        <v>0.15</v>
      </c>
      <c r="D326" s="1774">
        <v>0.15</v>
      </c>
      <c r="E326" s="1774">
        <v>0.15</v>
      </c>
      <c r="F326" s="1782"/>
    </row>
    <row r="327" spans="1:6" ht="14.25" thickBot="1">
      <c r="A327" s="1769" t="s">
        <v>2202</v>
      </c>
      <c r="B327" s="1773" t="s">
        <v>2211</v>
      </c>
      <c r="C327" s="1774">
        <v>0.15</v>
      </c>
      <c r="D327" s="1774">
        <v>0.15</v>
      </c>
      <c r="E327" s="1774">
        <v>0.15</v>
      </c>
      <c r="F327" s="1775">
        <v>0.15</v>
      </c>
    </row>
    <row r="328" spans="1:6" ht="14.25" thickBot="1">
      <c r="A328" s="1769" t="s">
        <v>2202</v>
      </c>
      <c r="B328" s="1773" t="s">
        <v>1187</v>
      </c>
      <c r="C328" s="1774">
        <v>0.15</v>
      </c>
      <c r="D328" s="1774">
        <v>0.15</v>
      </c>
      <c r="E328" s="1774">
        <v>0.15</v>
      </c>
      <c r="F328" s="1775">
        <v>0.14099999999999999</v>
      </c>
    </row>
    <row r="329" spans="1:6" ht="14.25" thickBot="1">
      <c r="A329" s="1769" t="s">
        <v>2202</v>
      </c>
      <c r="B329" s="1773" t="s">
        <v>1197</v>
      </c>
      <c r="C329" s="1774">
        <v>0.15</v>
      </c>
      <c r="D329" s="1774">
        <v>0.15</v>
      </c>
      <c r="E329" s="1774">
        <v>0.15</v>
      </c>
      <c r="F329" s="1775">
        <v>0.15</v>
      </c>
    </row>
    <row r="330" spans="1:6" ht="14.25" thickBot="1">
      <c r="A330" s="1769" t="s">
        <v>2202</v>
      </c>
      <c r="B330" s="1773" t="s">
        <v>1207</v>
      </c>
      <c r="C330" s="1774">
        <v>0.15</v>
      </c>
      <c r="D330" s="1774">
        <v>0.15</v>
      </c>
      <c r="E330" s="1774">
        <v>0.15</v>
      </c>
      <c r="F330" s="1782"/>
    </row>
    <row r="331" spans="1:6" ht="14.25" thickBot="1">
      <c r="A331" s="1769" t="s">
        <v>2202</v>
      </c>
      <c r="B331" s="1773" t="s">
        <v>2212</v>
      </c>
      <c r="C331" s="1774">
        <v>0.15</v>
      </c>
      <c r="D331" s="1774">
        <v>0.15</v>
      </c>
      <c r="E331" s="1774">
        <v>0.15</v>
      </c>
      <c r="F331" s="1775">
        <v>0.15</v>
      </c>
    </row>
    <row r="332" spans="1:6" ht="14.25" thickBot="1">
      <c r="A332" s="1769" t="s">
        <v>2202</v>
      </c>
      <c r="B332" s="1773" t="s">
        <v>1227</v>
      </c>
      <c r="C332" s="1774">
        <v>0.15</v>
      </c>
      <c r="D332" s="1774">
        <v>0.15</v>
      </c>
      <c r="E332" s="1774">
        <v>0.15</v>
      </c>
      <c r="F332" s="1775">
        <v>0.15</v>
      </c>
    </row>
    <row r="333" spans="1:6" ht="14.25" thickBot="1">
      <c r="A333" s="1769" t="s">
        <v>2202</v>
      </c>
      <c r="B333" s="1773" t="s">
        <v>2213</v>
      </c>
      <c r="C333" s="1774">
        <v>0.15</v>
      </c>
      <c r="D333" s="1774">
        <v>0.15</v>
      </c>
      <c r="E333" s="1774">
        <v>0.15</v>
      </c>
      <c r="F333" s="1775">
        <v>0.14099999999999999</v>
      </c>
    </row>
    <row r="334" spans="1:6" ht="14.25" thickBot="1">
      <c r="A334" s="1769" t="s">
        <v>2202</v>
      </c>
      <c r="B334" s="1773" t="s">
        <v>1247</v>
      </c>
      <c r="C334" s="1774">
        <v>0.15</v>
      </c>
      <c r="D334" s="1774">
        <v>0.15</v>
      </c>
      <c r="E334" s="1774">
        <v>0.15</v>
      </c>
      <c r="F334" s="1775">
        <v>0.15</v>
      </c>
    </row>
    <row r="335" spans="1:6" ht="14.25" thickBot="1">
      <c r="A335" s="1769" t="s">
        <v>2202</v>
      </c>
      <c r="B335" s="1773" t="s">
        <v>1257</v>
      </c>
      <c r="C335" s="1774">
        <v>0.15</v>
      </c>
      <c r="D335" s="1774">
        <v>0.15</v>
      </c>
      <c r="E335" s="1774">
        <v>0.15</v>
      </c>
      <c r="F335" s="1782"/>
    </row>
    <row r="336" spans="1:6" ht="14.25" thickBot="1">
      <c r="A336" s="1769" t="s">
        <v>2202</v>
      </c>
      <c r="B336" s="1773" t="s">
        <v>2214</v>
      </c>
      <c r="C336" s="1774">
        <v>0.15</v>
      </c>
      <c r="D336" s="1774">
        <v>0.15</v>
      </c>
      <c r="E336" s="1774">
        <v>0.15</v>
      </c>
      <c r="F336" s="1775">
        <v>0.11799999999999999</v>
      </c>
    </row>
    <row r="337" spans="1:6" ht="14.25" thickBot="1">
      <c r="A337" s="1777" t="s">
        <v>2202</v>
      </c>
      <c r="B337" s="1784" t="s">
        <v>1275</v>
      </c>
      <c r="C337" s="1780"/>
      <c r="D337" s="1780"/>
      <c r="E337" s="1780"/>
      <c r="F337" s="1785">
        <v>0.14299999999999999</v>
      </c>
    </row>
    <row r="338" spans="1:6" ht="14.25" thickBot="1">
      <c r="A338" s="1769" t="s">
        <v>2215</v>
      </c>
      <c r="B338" s="1770" t="s">
        <v>2216</v>
      </c>
      <c r="C338" s="1771">
        <v>0.15</v>
      </c>
      <c r="D338" s="1771">
        <v>0.15</v>
      </c>
      <c r="E338" s="1771">
        <v>0.15</v>
      </c>
      <c r="F338" s="1793"/>
    </row>
    <row r="339" spans="1:6" ht="14.25" thickBot="1">
      <c r="A339" s="1769" t="s">
        <v>2215</v>
      </c>
      <c r="B339" s="1773" t="s">
        <v>2217</v>
      </c>
      <c r="C339" s="1774">
        <v>0.15</v>
      </c>
      <c r="D339" s="1774">
        <v>0.15</v>
      </c>
      <c r="E339" s="1774">
        <v>0.15</v>
      </c>
      <c r="F339" s="1782"/>
    </row>
    <row r="340" spans="1:6" ht="14.25" thickBot="1">
      <c r="A340" s="1769" t="s">
        <v>2215</v>
      </c>
      <c r="B340" s="1773" t="s">
        <v>2218</v>
      </c>
      <c r="C340" s="1774">
        <v>0.15</v>
      </c>
      <c r="D340" s="1774">
        <v>0.15</v>
      </c>
      <c r="E340" s="1774">
        <v>0.15</v>
      </c>
      <c r="F340" s="1782"/>
    </row>
    <row r="341" spans="1:6" ht="14.25" thickBot="1">
      <c r="A341" s="1769" t="s">
        <v>2219</v>
      </c>
      <c r="B341" s="1773" t="s">
        <v>2220</v>
      </c>
      <c r="C341" s="1774">
        <v>0.15</v>
      </c>
      <c r="D341" s="1774">
        <v>0.15</v>
      </c>
      <c r="E341" s="1774">
        <v>0.15</v>
      </c>
      <c r="F341" s="1775">
        <v>0.15</v>
      </c>
    </row>
    <row r="342" spans="1:6" ht="14.25" thickBot="1">
      <c r="A342" s="1769" t="s">
        <v>2215</v>
      </c>
      <c r="B342" s="1773" t="s">
        <v>2221</v>
      </c>
      <c r="C342" s="1774">
        <v>0.15</v>
      </c>
      <c r="D342" s="1774">
        <v>0.15</v>
      </c>
      <c r="E342" s="1774">
        <v>0.15</v>
      </c>
      <c r="F342" s="1775">
        <v>0.15</v>
      </c>
    </row>
    <row r="343" spans="1:6" ht="14.25" thickBot="1">
      <c r="A343" s="1769" t="s">
        <v>2215</v>
      </c>
      <c r="B343" s="1773" t="s">
        <v>2222</v>
      </c>
      <c r="C343" s="1774">
        <v>0.15</v>
      </c>
      <c r="D343" s="1774">
        <v>0.15</v>
      </c>
      <c r="E343" s="1774">
        <v>0.15</v>
      </c>
      <c r="F343" s="1775">
        <v>0.15</v>
      </c>
    </row>
    <row r="344" spans="1:6" ht="14.25" thickBot="1">
      <c r="A344" s="1777" t="s">
        <v>2215</v>
      </c>
      <c r="B344" s="1784" t="s">
        <v>2223</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S52" sqref="S52"/>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75" t="s">
        <v>2554</v>
      </c>
      <c r="C1" s="3575"/>
      <c r="D1" s="3575"/>
      <c r="E1" s="3575"/>
      <c r="F1" s="3575"/>
      <c r="G1" s="3574" t="s">
        <v>2555</v>
      </c>
      <c r="H1" s="3574"/>
      <c r="I1" s="3574"/>
      <c r="J1" s="3574"/>
      <c r="K1" s="3574"/>
      <c r="L1" s="3574"/>
      <c r="N1" s="3574" t="s">
        <v>2556</v>
      </c>
      <c r="O1" s="3574"/>
      <c r="P1" s="3574"/>
      <c r="Q1" s="3574"/>
      <c r="S1" s="3574" t="s">
        <v>2557</v>
      </c>
      <c r="T1" s="3574"/>
      <c r="U1" s="3574"/>
      <c r="V1" s="3574"/>
      <c r="X1" s="3573" t="s">
        <v>2617</v>
      </c>
      <c r="Y1" s="3574"/>
      <c r="Z1" s="3574"/>
      <c r="AA1" s="3574"/>
      <c r="AB1" s="3574"/>
      <c r="AD1" s="3573" t="s">
        <v>2621</v>
      </c>
      <c r="AE1" s="3574"/>
      <c r="AF1" s="3574"/>
      <c r="AG1" s="3574"/>
      <c r="AH1" s="3574"/>
    </row>
    <row r="2" spans="1:34" s="2865" customFormat="1" ht="14.25" thickBot="1">
      <c r="B2" s="2866" t="s">
        <v>2558</v>
      </c>
      <c r="C2" s="2866" t="s">
        <v>2619</v>
      </c>
      <c r="D2" s="2867" t="s">
        <v>1635</v>
      </c>
      <c r="E2" s="2867" t="s">
        <v>1938</v>
      </c>
      <c r="F2" s="2866" t="s">
        <v>2620</v>
      </c>
      <c r="G2" s="2868"/>
      <c r="I2" s="2866" t="s">
        <v>2915</v>
      </c>
      <c r="J2" s="2867" t="s">
        <v>2917</v>
      </c>
      <c r="K2" s="2867" t="s">
        <v>2918</v>
      </c>
      <c r="L2" s="2866" t="s">
        <v>2919</v>
      </c>
      <c r="N2" s="2866" t="s">
        <v>2558</v>
      </c>
      <c r="O2" s="2867" t="s">
        <v>2916</v>
      </c>
      <c r="P2" s="2867" t="s">
        <v>1938</v>
      </c>
      <c r="Q2" s="2866" t="s">
        <v>2620</v>
      </c>
      <c r="S2" s="2866" t="s">
        <v>2558</v>
      </c>
      <c r="T2" s="2867" t="s">
        <v>2916</v>
      </c>
      <c r="U2" s="2867" t="s">
        <v>1938</v>
      </c>
      <c r="V2" s="2866" t="s">
        <v>2620</v>
      </c>
      <c r="X2" s="2866" t="s">
        <v>2558</v>
      </c>
      <c r="Y2" s="2866" t="s">
        <v>2619</v>
      </c>
      <c r="Z2" s="2867" t="s">
        <v>1635</v>
      </c>
      <c r="AA2" s="2867" t="s">
        <v>1938</v>
      </c>
      <c r="AB2" s="2866" t="s">
        <v>2620</v>
      </c>
      <c r="AD2" s="2866" t="s">
        <v>2558</v>
      </c>
      <c r="AE2" s="2866" t="s">
        <v>2619</v>
      </c>
      <c r="AF2" s="2867" t="s">
        <v>1635</v>
      </c>
      <c r="AG2" s="2867" t="s">
        <v>1938</v>
      </c>
      <c r="AH2" s="2866" t="s">
        <v>2620</v>
      </c>
    </row>
    <row r="3" spans="1:34" s="2875" customFormat="1" ht="14.25">
      <c r="A3" s="2869" t="s">
        <v>2926</v>
      </c>
      <c r="B3" s="2870"/>
      <c r="C3" s="2870"/>
      <c r="D3" s="2871"/>
      <c r="E3" s="2871"/>
      <c r="F3" s="2870"/>
      <c r="G3" s="2872"/>
      <c r="H3" s="2873"/>
      <c r="I3" s="2874">
        <f>ROUND(AVERAGE($I4:$I31),2)</f>
        <v>1.79</v>
      </c>
      <c r="J3" s="2874">
        <f>ROUND(AVERAGE($J4:$J31),2)</f>
        <v>1.2</v>
      </c>
      <c r="K3" s="2874">
        <f>ROUND(AVERAGE($K4:$K31),2)</f>
        <v>1.97</v>
      </c>
      <c r="L3" s="2874">
        <f>ROUND(AVERAGE($L4:$L31),2)</f>
        <v>1.27</v>
      </c>
      <c r="N3" s="2872"/>
      <c r="S3" s="2872"/>
      <c r="W3" s="2876"/>
      <c r="X3" s="2877">
        <f>ROUND(SUMPRODUCT(PRODUCT(1+N3:N$30)),4)</f>
        <v>1.5652999999999999</v>
      </c>
      <c r="Y3" s="2877">
        <f>ROUND(SUMPRODUCT(PRODUCT(1+O3:O$30)),4)</f>
        <v>1.3472</v>
      </c>
      <c r="Z3" s="2877">
        <f t="shared" ref="Z3:Z28" si="0">Y3</f>
        <v>1.3472</v>
      </c>
      <c r="AA3" s="2877">
        <f>ROUND(SUMPRODUCT(PRODUCT(1+P3:P$30)),4)</f>
        <v>1.6335999999999999</v>
      </c>
      <c r="AB3" s="2877">
        <f>ROUND(SUMPRODUCT(PRODUCT(1+Q3:Q$30)),4)</f>
        <v>1.3880999999999999</v>
      </c>
      <c r="AD3" s="2878">
        <f>ROUND(AVERAGE(I3:I$31)/100,4)</f>
        <v>1.7899999999999999E-2</v>
      </c>
      <c r="AE3" s="2878">
        <f>ROUND(AVERAGE(J3:J$31)/100,4)</f>
        <v>1.2E-2</v>
      </c>
      <c r="AF3" s="2878">
        <f t="shared" ref="AF3:AF29" si="1">AE3</f>
        <v>1.2E-2</v>
      </c>
      <c r="AG3" s="2878">
        <f>ROUND(AVERAGE(K3:K$31)/100,4)</f>
        <v>1.9699999999999999E-2</v>
      </c>
      <c r="AH3" s="2878">
        <f>ROUND(AVERAGE(L3:L$31)/100,4)</f>
        <v>1.2699999999999999E-2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2957</v>
      </c>
      <c r="B5" s="2889">
        <f t="shared" ref="B5" si="2">B6*(1+N5)</f>
        <v>481.4103506697644</v>
      </c>
      <c r="C5" s="2889">
        <f t="shared" ref="C5" si="3">C6*(1+O5)</f>
        <v>347.29066026648707</v>
      </c>
      <c r="D5" s="2889">
        <f t="shared" ref="D5" si="4">C5</f>
        <v>347.29066026648707</v>
      </c>
      <c r="E5" s="2889">
        <f t="shared" ref="E5" si="5">E6*(1+P5)</f>
        <v>690.85977273901995</v>
      </c>
      <c r="F5" s="2889">
        <f t="shared" ref="F5" si="6">F6*(1+Q5)</f>
        <v>319.13136737000184</v>
      </c>
      <c r="G5" s="2882">
        <v>2020</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2927</v>
      </c>
      <c r="X5" s="2896">
        <f>ROUND(IF(项目基本情况!B7="出让",SUMPRODUCT(PRODUCT(1+N5:N$31)),SUMPRODUCT(PRODUCT(1+N5:N$30))),4)</f>
        <v>1.5652999999999999</v>
      </c>
      <c r="Y5" s="2896">
        <f>ROUND(IF(项目基本情况!B7="出让",SUMPRODUCT(PRODUCT(1+O5:O$31)),SUMPRODUCT(PRODUCT(1+O5:O$30))),4)</f>
        <v>1.3472</v>
      </c>
      <c r="Z5" s="2896">
        <f t="shared" ref="Z5" si="11">Y5</f>
        <v>1.3472</v>
      </c>
      <c r="AA5" s="2896">
        <f>ROUND(IF(项目基本情况!B7="出让",SUMPRODUCT(PRODUCT(1+P5:P$31)),SUMPRODUCT(PRODUCT(1+P5:P$30))),4)</f>
        <v>1.6335999999999999</v>
      </c>
      <c r="AB5" s="2896">
        <f>ROUND(IF(项目基本情况!B7="出让",SUMPRODUCT(PRODUCT(1+Q5:Q$31)),SUMPRODUCT(PRODUCT(1+Q5:Q$30))),4)</f>
        <v>1.3880999999999999</v>
      </c>
      <c r="AD5" s="2897">
        <f>ROUND(AVERAGE(I5:I$31)/100,4)</f>
        <v>1.7899999999999999E-2</v>
      </c>
      <c r="AE5" s="2897">
        <f>ROUND(AVERAGE(J5:J$31)/100,4)</f>
        <v>1.2E-2</v>
      </c>
      <c r="AF5" s="2897">
        <f t="shared" ref="AF5" si="12">AE5</f>
        <v>1.2E-2</v>
      </c>
      <c r="AG5" s="2897">
        <f>ROUND(AVERAGE(K5:K$31)/100,4)</f>
        <v>1.9699999999999999E-2</v>
      </c>
      <c r="AH5" s="2897">
        <f>ROUND(AVERAGE(L5:L$31)/100,4)</f>
        <v>1.2699999999999999E-2</v>
      </c>
    </row>
    <row r="6" spans="1:34" s="2905" customFormat="1">
      <c r="A6" s="2898" t="s">
        <v>2956</v>
      </c>
      <c r="B6" s="2899">
        <f t="shared" ref="B6" si="13">B7*(1+N6)</f>
        <v>481.4103506697644</v>
      </c>
      <c r="C6" s="2899">
        <f t="shared" ref="C6" si="14">C7*(1+O6)</f>
        <v>347.29066026648707</v>
      </c>
      <c r="D6" s="2899">
        <f t="shared" ref="D6" si="15">C6</f>
        <v>347.29066026648707</v>
      </c>
      <c r="E6" s="2899">
        <f t="shared" ref="E6" si="16">E7*(1+P6)</f>
        <v>690.85977273901995</v>
      </c>
      <c r="F6" s="2899">
        <f t="shared" ref="F6" si="17">F7*(1+Q6)</f>
        <v>319.13136737000184</v>
      </c>
      <c r="G6" s="2882">
        <v>2020</v>
      </c>
      <c r="H6" s="2900">
        <v>2</v>
      </c>
      <c r="I6" s="2862">
        <v>0.31</v>
      </c>
      <c r="J6" s="2862">
        <v>-0.78</v>
      </c>
      <c r="K6" s="2862">
        <v>0.5</v>
      </c>
      <c r="L6" s="2863">
        <v>0.47</v>
      </c>
      <c r="M6" s="2886"/>
      <c r="N6" s="2901">
        <f t="shared" ref="N6" si="18">I6/100</f>
        <v>3.0999999999999999E-3</v>
      </c>
      <c r="O6" s="2887">
        <f t="shared" ref="O6" si="19">J6/100</f>
        <v>-7.8000000000000005E-3</v>
      </c>
      <c r="P6" s="2887">
        <f t="shared" ref="P6" si="20">K6/100</f>
        <v>5.0000000000000001E-3</v>
      </c>
      <c r="Q6" s="2887">
        <f t="shared" ref="Q6" si="21">L6/100</f>
        <v>4.6999999999999993E-3</v>
      </c>
      <c r="R6" s="2902"/>
      <c r="S6" s="2903"/>
      <c r="T6" s="2904"/>
      <c r="U6" s="2904"/>
      <c r="V6" s="2904"/>
      <c r="W6" s="2886"/>
      <c r="X6" s="2886">
        <f>ROUND(IF(项目基本情况!B8="出让",SUMPRODUCT(PRODUCT(1+N6:N$31)),SUMPRODUCT(PRODUCT(1+N6:N$30))),4)</f>
        <v>1.5652999999999999</v>
      </c>
      <c r="Y6" s="2886">
        <f>ROUND(IF(项目基本情况!B8="出让",SUMPRODUCT(PRODUCT(1+O6:O$31)),SUMPRODUCT(PRODUCT(1+O6:O$30))),4)</f>
        <v>1.3472</v>
      </c>
      <c r="Z6" s="2886">
        <f t="shared" ref="Z6" si="22">Y6</f>
        <v>1.3472</v>
      </c>
      <c r="AA6" s="2886">
        <f>ROUND(IF(项目基本情况!B8="出让",SUMPRODUCT(PRODUCT(1+P6:P$31)),SUMPRODUCT(PRODUCT(1+P6:P$30))),4)</f>
        <v>1.6335999999999999</v>
      </c>
      <c r="AB6" s="2886">
        <f>ROUND(IF(项目基本情况!B8="出让",SUMPRODUCT(PRODUCT(1+Q6:Q$31)),SUMPRODUCT(PRODUCT(1+Q6:Q$30))),4)</f>
        <v>1.3880999999999999</v>
      </c>
      <c r="AC6" s="2886"/>
      <c r="AD6" s="2887">
        <f>ROUND(AVERAGE(I6:I$31)/100,4)</f>
        <v>1.8599999999999998E-2</v>
      </c>
      <c r="AE6" s="2887">
        <f>ROUND(AVERAGE(J6:J$31)/100,4)</f>
        <v>1.2500000000000001E-2</v>
      </c>
      <c r="AF6" s="2887">
        <f t="shared" ref="AF6" si="23">AE6</f>
        <v>1.2500000000000001E-2</v>
      </c>
      <c r="AG6" s="2887">
        <f>ROUND(AVERAGE(K6:K$31)/100,4)</f>
        <v>2.0400000000000001E-2</v>
      </c>
      <c r="AH6" s="2887">
        <f>ROUND(AVERAGE(L6:L$31)/100,4)</f>
        <v>1.32E-2</v>
      </c>
    </row>
    <row r="7" spans="1:34" s="2905" customFormat="1">
      <c r="A7" s="2898" t="s">
        <v>2954</v>
      </c>
      <c r="B7" s="2899">
        <f t="shared" ref="B7" si="24">B8*(1+N7)</f>
        <v>479.92259063878413</v>
      </c>
      <c r="C7" s="2899">
        <f t="shared" ref="C7" si="25">C8*(1+O7)</f>
        <v>350.02082268341775</v>
      </c>
      <c r="D7" s="2899">
        <f t="shared" ref="D7" si="26">C7</f>
        <v>350.02082268341775</v>
      </c>
      <c r="E7" s="2899">
        <f t="shared" ref="E7" si="27">E8*(1+P7)</f>
        <v>687.42265944181099</v>
      </c>
      <c r="F7" s="2899">
        <f t="shared" ref="F7" si="28">F8*(1+Q7)</f>
        <v>317.63846657708956</v>
      </c>
      <c r="G7" s="2882">
        <v>2020</v>
      </c>
      <c r="H7" s="2900">
        <v>1</v>
      </c>
      <c r="I7" s="2862">
        <v>0.12</v>
      </c>
      <c r="J7" s="2862">
        <v>-0.4</v>
      </c>
      <c r="K7" s="2862">
        <v>0.21</v>
      </c>
      <c r="L7" s="2863">
        <v>0.27</v>
      </c>
      <c r="M7" s="2886"/>
      <c r="N7" s="2901">
        <f t="shared" ref="N7" si="29">I7/100</f>
        <v>1.1999999999999999E-3</v>
      </c>
      <c r="O7" s="2887">
        <f t="shared" ref="O7" si="30">J7/100</f>
        <v>-4.0000000000000001E-3</v>
      </c>
      <c r="P7" s="2887">
        <f t="shared" ref="P7" si="31">K7/100</f>
        <v>2.0999999999999999E-3</v>
      </c>
      <c r="Q7" s="2887">
        <f t="shared" ref="Q7" si="32">L7/100</f>
        <v>2.7000000000000001E-3</v>
      </c>
      <c r="R7" s="2902"/>
      <c r="S7" s="2903">
        <f>B7/B8-1</f>
        <v>1.2000000000000899E-3</v>
      </c>
      <c r="T7" s="2904">
        <f>C7/C8-1</f>
        <v>-4.0000000000000036E-3</v>
      </c>
      <c r="U7" s="2904">
        <f>E7/E8-1</f>
        <v>2.0999999999999908E-3</v>
      </c>
      <c r="V7" s="2904">
        <f>F7/F8-1</f>
        <v>2.6999999999999247E-3</v>
      </c>
      <c r="W7" s="2886"/>
      <c r="X7" s="2886">
        <f>ROUND(IF(项目基本情况!B8="出让",SUMPRODUCT(PRODUCT(1+N7:N$31)),SUMPRODUCT(PRODUCT(1+N7:N$30))),4)</f>
        <v>1.5605</v>
      </c>
      <c r="Y7" s="2886">
        <f>ROUND(IF(项目基本情况!B8="出让",SUMPRODUCT(PRODUCT(1+O7:O$31)),SUMPRODUCT(PRODUCT(1+O7:O$30))),4)</f>
        <v>1.3577999999999999</v>
      </c>
      <c r="Z7" s="2886">
        <f t="shared" ref="Z7" si="33">Y7</f>
        <v>1.3577999999999999</v>
      </c>
      <c r="AA7" s="2886">
        <f>ROUND(IF(项目基本情况!B8="出让",SUMPRODUCT(PRODUCT(1+P7:P$31)),SUMPRODUCT(PRODUCT(1+P7:P$30))),4)</f>
        <v>1.6254999999999999</v>
      </c>
      <c r="AB7" s="2886">
        <f>ROUND(IF(项目基本情况!B8="出让",SUMPRODUCT(PRODUCT(1+Q7:Q$31)),SUMPRODUCT(PRODUCT(1+Q7:Q$30))),4)</f>
        <v>1.3815999999999999</v>
      </c>
      <c r="AC7" s="2886"/>
      <c r="AD7" s="2887">
        <f>ROUND(AVERAGE(I7:I$31)/100,4)</f>
        <v>1.9199999999999998E-2</v>
      </c>
      <c r="AE7" s="2887">
        <f>ROUND(AVERAGE(J7:J$31)/100,4)</f>
        <v>1.3299999999999999E-2</v>
      </c>
      <c r="AF7" s="2887">
        <f t="shared" ref="AF7" si="34">AE7</f>
        <v>1.3299999999999999E-2</v>
      </c>
      <c r="AG7" s="2887">
        <f>ROUND(AVERAGE(K7:K$31)/100,4)</f>
        <v>2.1100000000000001E-2</v>
      </c>
      <c r="AH7" s="2887">
        <f>ROUND(AVERAGE(L7:L$31)/100,4)</f>
        <v>1.3599999999999999E-2</v>
      </c>
    </row>
    <row r="8" spans="1:34" s="2905" customFormat="1">
      <c r="A8" s="2898" t="s">
        <v>2951</v>
      </c>
      <c r="B8" s="2899">
        <f t="shared" ref="B8" si="35">B9*(1+N8)</f>
        <v>479.34737379023579</v>
      </c>
      <c r="C8" s="2899">
        <f t="shared" ref="C8" si="36">C9*(1+O8)</f>
        <v>351.4265287986122</v>
      </c>
      <c r="D8" s="2899">
        <f t="shared" ref="D8" si="37">C8</f>
        <v>351.4265287986122</v>
      </c>
      <c r="E8" s="2899">
        <f t="shared" ref="E8" si="38">E9*(1+P8)</f>
        <v>685.98209703803116</v>
      </c>
      <c r="F8" s="2899">
        <f t="shared" ref="F8" si="39">F9*(1+Q8)</f>
        <v>316.78315206651001</v>
      </c>
      <c r="G8" s="2882">
        <v>2019</v>
      </c>
      <c r="H8" s="2900">
        <v>4</v>
      </c>
      <c r="I8" s="2900">
        <v>0.45</v>
      </c>
      <c r="J8" s="2900">
        <v>-0.12</v>
      </c>
      <c r="K8" s="2900">
        <v>0.54</v>
      </c>
      <c r="L8" s="2906">
        <v>0.48</v>
      </c>
      <c r="M8" s="2886"/>
      <c r="N8" s="2901">
        <f t="shared" ref="N8" si="40">I8/100</f>
        <v>4.5000000000000005E-3</v>
      </c>
      <c r="O8" s="2887">
        <f t="shared" ref="O8" si="41">J8/100</f>
        <v>-1.1999999999999999E-3</v>
      </c>
      <c r="P8" s="2887">
        <f t="shared" ref="P8" si="42">K8/100</f>
        <v>5.4000000000000003E-3</v>
      </c>
      <c r="Q8" s="2887">
        <f t="shared" ref="Q8" si="43">L8/100</f>
        <v>4.7999999999999996E-3</v>
      </c>
      <c r="R8" s="2902"/>
      <c r="S8" s="2903"/>
      <c r="T8" s="2904"/>
      <c r="U8" s="2904"/>
      <c r="V8" s="2904"/>
      <c r="W8" s="2886"/>
      <c r="X8" s="2886">
        <f>ROUND(IF(项目基本情况!B8="出让",SUMPRODUCT(PRODUCT(1+N8:N$31)),SUMPRODUCT(PRODUCT(1+N8:N$30))),4)</f>
        <v>1.5586</v>
      </c>
      <c r="Y8" s="2886">
        <f>ROUND(IF(项目基本情况!B8="出让",SUMPRODUCT(PRODUCT(1+O8:O$31)),SUMPRODUCT(PRODUCT(1+O8:O$30))),4)</f>
        <v>1.3633</v>
      </c>
      <c r="Z8" s="2886">
        <f t="shared" ref="Z8" si="44">Y8</f>
        <v>1.3633</v>
      </c>
      <c r="AA8" s="2886">
        <f>ROUND(IF(项目基本情况!B8="出让",SUMPRODUCT(PRODUCT(1+P8:P$31)),SUMPRODUCT(PRODUCT(1+P8:P$30))),4)</f>
        <v>1.6221000000000001</v>
      </c>
      <c r="AB8" s="2886">
        <f>ROUND(IF(项目基本情况!B8="出让",SUMPRODUCT(PRODUCT(1+Q8:Q$31)),SUMPRODUCT(PRODUCT(1+Q8:Q$30))),4)</f>
        <v>1.3777999999999999</v>
      </c>
      <c r="AC8" s="2886"/>
      <c r="AD8" s="2887">
        <f>ROUND(AVERAGE(I8:I$31)/100,4)</f>
        <v>0.02</v>
      </c>
      <c r="AE8" s="2887">
        <f>ROUND(AVERAGE(J8:J$31)/100,4)</f>
        <v>1.4E-2</v>
      </c>
      <c r="AF8" s="2887">
        <f t="shared" ref="AF8" si="45">AE8</f>
        <v>1.4E-2</v>
      </c>
      <c r="AG8" s="2887">
        <f>ROUND(AVERAGE(K8:K$31)/100,4)</f>
        <v>2.1899999999999999E-2</v>
      </c>
      <c r="AH8" s="2887">
        <f>ROUND(AVERAGE(L8:L$31)/100,4)</f>
        <v>1.4E-2</v>
      </c>
    </row>
    <row r="9" spans="1:34" s="2905" customFormat="1" ht="13.5" thickBot="1">
      <c r="A9" s="2898" t="s">
        <v>2950</v>
      </c>
      <c r="B9" s="2899">
        <f t="shared" ref="B9" si="46">B10*(1+N9)</f>
        <v>477.19997390765138</v>
      </c>
      <c r="C9" s="2899">
        <f t="shared" ref="C9" si="47">C10*(1+O9)</f>
        <v>351.84874729536665</v>
      </c>
      <c r="D9" s="2899">
        <f t="shared" ref="D9" si="48">C9</f>
        <v>351.84874729536665</v>
      </c>
      <c r="E9" s="2899">
        <f t="shared" ref="E9" si="49">E10*(1+P9)</f>
        <v>682.29768951465201</v>
      </c>
      <c r="F9" s="2899">
        <f t="shared" ref="F9" si="50">F10*(1+Q9)</f>
        <v>315.26985675409043</v>
      </c>
      <c r="G9" s="2882">
        <v>2019</v>
      </c>
      <c r="H9" s="2900">
        <v>3</v>
      </c>
      <c r="I9" s="2900">
        <v>0.61</v>
      </c>
      <c r="J9" s="2900">
        <v>0.67</v>
      </c>
      <c r="K9" s="2900">
        <v>0.6</v>
      </c>
      <c r="L9" s="2906">
        <v>1.03</v>
      </c>
      <c r="M9" s="2886"/>
      <c r="N9" s="2901">
        <f t="shared" ref="N9" si="51">I9/100</f>
        <v>6.0999999999999995E-3</v>
      </c>
      <c r="O9" s="2887">
        <f t="shared" ref="O9" si="52">J9/100</f>
        <v>6.7000000000000002E-3</v>
      </c>
      <c r="P9" s="2887">
        <f t="shared" ref="P9" si="53">K9/100</f>
        <v>6.0000000000000001E-3</v>
      </c>
      <c r="Q9" s="2887">
        <f t="shared" ref="Q9" si="54">L9/100</f>
        <v>1.03E-2</v>
      </c>
      <c r="R9" s="2902"/>
      <c r="S9" s="2903"/>
      <c r="T9" s="2904"/>
      <c r="U9" s="2904"/>
      <c r="V9" s="2904"/>
      <c r="W9" s="2886"/>
      <c r="X9" s="2886">
        <f>ROUND(IF(项目基本情况!B8="出让",SUMPRODUCT(PRODUCT(1+N9:N$31)),SUMPRODUCT(PRODUCT(1+N9:N$30))),4)</f>
        <v>1.5516000000000001</v>
      </c>
      <c r="Y9" s="2886">
        <f>ROUND(IF(项目基本情况!B8="出让",SUMPRODUCT(PRODUCT(1+O9:O$31)),SUMPRODUCT(PRODUCT(1+O9:O$30))),4)</f>
        <v>1.3649</v>
      </c>
      <c r="Z9" s="2886">
        <f t="shared" ref="Z9" si="55">Y9</f>
        <v>1.3649</v>
      </c>
      <c r="AA9" s="2886">
        <f>ROUND(IF(项目基本情况!B8="出让",SUMPRODUCT(PRODUCT(1+P9:P$31)),SUMPRODUCT(PRODUCT(1+P9:P$30))),4)</f>
        <v>1.6133999999999999</v>
      </c>
      <c r="AB9" s="2886">
        <f>ROUND(IF(项目基本情况!B8="出让",SUMPRODUCT(PRODUCT(1+Q9:Q$31)),SUMPRODUCT(PRODUCT(1+Q9:Q$30))),4)</f>
        <v>1.3713</v>
      </c>
      <c r="AC9" s="2886"/>
      <c r="AD9" s="2887">
        <f>ROUND(AVERAGE(I9:I$31)/100,4)</f>
        <v>2.07E-2</v>
      </c>
      <c r="AE9" s="2887">
        <f>ROUND(AVERAGE(J9:J$31)/100,4)</f>
        <v>1.47E-2</v>
      </c>
      <c r="AF9" s="2887">
        <f t="shared" ref="AF9" si="56">AE9</f>
        <v>1.47E-2</v>
      </c>
      <c r="AG9" s="2887">
        <f>ROUND(AVERAGE(K9:K$31)/100,4)</f>
        <v>2.2599999999999999E-2</v>
      </c>
      <c r="AH9" s="2887">
        <f>ROUND(AVERAGE(L9:L$31)/100,4)</f>
        <v>1.44E-2</v>
      </c>
    </row>
    <row r="10" spans="1:34" s="2905" customFormat="1">
      <c r="A10" s="2898" t="s">
        <v>2947</v>
      </c>
      <c r="B10" s="2899">
        <f t="shared" ref="B10:B15" si="57">B11*(1+N10)</f>
        <v>474.30670301923408</v>
      </c>
      <c r="C10" s="2899">
        <f t="shared" ref="C10" si="58">C11*(1+O10)</f>
        <v>349.50705005996491</v>
      </c>
      <c r="D10" s="2899">
        <f t="shared" ref="D10" si="59">C10</f>
        <v>349.50705005996491</v>
      </c>
      <c r="E10" s="2899">
        <f t="shared" ref="E10" si="60">E11*(1+P10)</f>
        <v>678.22831959706957</v>
      </c>
      <c r="F10" s="2899">
        <f t="shared" ref="F10" si="61">F11*(1+Q10)</f>
        <v>312.0556832169558</v>
      </c>
      <c r="G10" s="2882">
        <v>2019</v>
      </c>
      <c r="H10" s="2907">
        <v>2</v>
      </c>
      <c r="I10" s="2907">
        <v>1.53</v>
      </c>
      <c r="J10" s="2907">
        <v>1.01</v>
      </c>
      <c r="K10" s="2907">
        <v>1.62</v>
      </c>
      <c r="L10" s="2908">
        <v>1.25</v>
      </c>
      <c r="M10" s="2886"/>
      <c r="N10" s="2901">
        <f t="shared" ref="N10" si="62">I10/100</f>
        <v>1.5300000000000001E-2</v>
      </c>
      <c r="O10" s="2887">
        <f t="shared" ref="O10" si="63">J10/100</f>
        <v>1.01E-2</v>
      </c>
      <c r="P10" s="2887">
        <f t="shared" ref="P10" si="64">K10/100</f>
        <v>1.6200000000000003E-2</v>
      </c>
      <c r="Q10" s="2887">
        <f t="shared" ref="Q10" si="65">L10/100</f>
        <v>1.2500000000000001E-2</v>
      </c>
      <c r="R10" s="2902"/>
      <c r="S10" s="2903"/>
      <c r="T10" s="2904"/>
      <c r="U10" s="2904"/>
      <c r="V10" s="2904"/>
      <c r="W10" s="2886"/>
      <c r="X10" s="2886">
        <f>ROUND(IF(项目基本情况!B8="出让",SUMPRODUCT(PRODUCT(1+N10:N$31)),SUMPRODUCT(PRODUCT(1+N10:N$30))),4)</f>
        <v>1.5422</v>
      </c>
      <c r="Y10" s="2886">
        <f>ROUND(IF(项目基本情况!B8="出让",SUMPRODUCT(PRODUCT(1+O10:O$31)),SUMPRODUCT(PRODUCT(1+O10:O$30))),4)</f>
        <v>1.3557999999999999</v>
      </c>
      <c r="Z10" s="2886">
        <f t="shared" ref="Z10" si="66">Y10</f>
        <v>1.3557999999999999</v>
      </c>
      <c r="AA10" s="2886">
        <f>ROUND(IF(项目基本情况!B8="出让",SUMPRODUCT(PRODUCT(1+P10:P$31)),SUMPRODUCT(PRODUCT(1+P10:P$30))),4)</f>
        <v>1.6036999999999999</v>
      </c>
      <c r="AB10" s="2886">
        <f>ROUND(IF(项目基本情况!B8="出让",SUMPRODUCT(PRODUCT(1+Q10:Q$31)),SUMPRODUCT(PRODUCT(1+Q10:Q$30))),4)</f>
        <v>1.3573</v>
      </c>
      <c r="AC10" s="2886"/>
      <c r="AD10" s="2887">
        <f>ROUND(AVERAGE(I10:I$31)/100,4)</f>
        <v>2.1299999999999999E-2</v>
      </c>
      <c r="AE10" s="2887">
        <f>ROUND(AVERAGE(J10:J$31)/100,4)</f>
        <v>1.4999999999999999E-2</v>
      </c>
      <c r="AF10" s="2887">
        <f t="shared" ref="AF10" si="67">AE10</f>
        <v>1.4999999999999999E-2</v>
      </c>
      <c r="AG10" s="2887">
        <f>ROUND(AVERAGE(K10:K$31)/100,4)</f>
        <v>2.3300000000000001E-2</v>
      </c>
      <c r="AH10" s="2887">
        <f>ROUND(AVERAGE(L10:L$31)/100,4)</f>
        <v>1.46E-2</v>
      </c>
    </row>
    <row r="11" spans="1:34" s="2905" customFormat="1" ht="13.5" thickBot="1">
      <c r="A11" s="2898" t="s">
        <v>2946</v>
      </c>
      <c r="B11" s="2899">
        <f t="shared" si="57"/>
        <v>467.15916775261894</v>
      </c>
      <c r="C11" s="2899">
        <f t="shared" ref="C11" si="68">C12*(1+O11)</f>
        <v>346.01232557169084</v>
      </c>
      <c r="D11" s="2899">
        <f t="shared" ref="D11" si="69">C11</f>
        <v>346.01232557169084</v>
      </c>
      <c r="E11" s="2899">
        <f t="shared" ref="E11" si="70">E12*(1+P11)</f>
        <v>667.41617752122568</v>
      </c>
      <c r="F11" s="2899">
        <f t="shared" ref="F11" si="71">F12*(1+Q11)</f>
        <v>308.20314391798104</v>
      </c>
      <c r="G11" s="2882">
        <v>2019</v>
      </c>
      <c r="H11" s="2900">
        <v>1</v>
      </c>
      <c r="I11" s="2900">
        <v>0.6</v>
      </c>
      <c r="J11" s="2900">
        <v>0.37</v>
      </c>
      <c r="K11" s="2900">
        <v>0.63</v>
      </c>
      <c r="L11" s="2906">
        <v>1.1299999999999999</v>
      </c>
      <c r="M11" s="2886"/>
      <c r="N11" s="2901">
        <f t="shared" ref="N11" si="72">I11/100</f>
        <v>6.0000000000000001E-3</v>
      </c>
      <c r="O11" s="2887">
        <f t="shared" ref="O11" si="73">J11/100</f>
        <v>3.7000000000000002E-3</v>
      </c>
      <c r="P11" s="2887">
        <f t="shared" ref="P11" si="74">K11/100</f>
        <v>6.3E-3</v>
      </c>
      <c r="Q11" s="2887">
        <f t="shared" ref="Q11" si="75">L11/100</f>
        <v>1.1299999999999999E-2</v>
      </c>
      <c r="R11" s="2902"/>
      <c r="S11" s="2903">
        <f>B11/B12-1</f>
        <v>6.0000000000000053E-3</v>
      </c>
      <c r="T11" s="2904">
        <f>C11/C12-1</f>
        <v>3.7000000000000366E-3</v>
      </c>
      <c r="U11" s="2904">
        <f>E11/E12-1</f>
        <v>6.2999999999999723E-3</v>
      </c>
      <c r="V11" s="2904">
        <f>F11/F12-1</f>
        <v>1.1300000000000088E-2</v>
      </c>
      <c r="W11" s="2886"/>
      <c r="X11" s="2886">
        <f>ROUND(IF(项目基本情况!B8="出让",SUMPRODUCT(PRODUCT(1+N11:N$31)),SUMPRODUCT(PRODUCT(1+N11:N$30))),4)</f>
        <v>1.5189999999999999</v>
      </c>
      <c r="Y11" s="2886">
        <f>ROUND(IF(项目基本情况!B8="出让",SUMPRODUCT(PRODUCT(1+O11:O$31)),SUMPRODUCT(PRODUCT(1+O11:O$30))),4)</f>
        <v>1.3423</v>
      </c>
      <c r="Z11" s="2886">
        <f t="shared" ref="Z11" si="76">Y11</f>
        <v>1.3423</v>
      </c>
      <c r="AA11" s="2886">
        <f>ROUND(IF(项目基本情况!B8="出让",SUMPRODUCT(PRODUCT(1+P11:P$31)),SUMPRODUCT(PRODUCT(1+P11:P$30))),4)</f>
        <v>1.5782</v>
      </c>
      <c r="AB11" s="2886">
        <f>ROUND(IF(项目基本情况!B8="出让",SUMPRODUCT(PRODUCT(1+Q11:Q$31)),SUMPRODUCT(PRODUCT(1+Q11:Q$30))),4)</f>
        <v>1.3405</v>
      </c>
      <c r="AC11" s="2886"/>
      <c r="AD11" s="2887">
        <f>ROUND(AVERAGE(I11:I$31)/100,4)</f>
        <v>2.1600000000000001E-2</v>
      </c>
      <c r="AE11" s="2887">
        <f>ROUND(AVERAGE(J11:J$31)/100,4)</f>
        <v>1.5299999999999999E-2</v>
      </c>
      <c r="AF11" s="2887">
        <f t="shared" ref="AF11" si="77">AE11</f>
        <v>1.5299999999999999E-2</v>
      </c>
      <c r="AG11" s="2887">
        <f>ROUND(AVERAGE(K11:K$31)/100,4)</f>
        <v>2.3699999999999999E-2</v>
      </c>
      <c r="AH11" s="2887">
        <f>ROUND(AVERAGE(L11:L$31)/100,4)</f>
        <v>1.47E-2</v>
      </c>
    </row>
    <row r="12" spans="1:34" s="2905" customFormat="1">
      <c r="A12" s="2898" t="s">
        <v>2943</v>
      </c>
      <c r="B12" s="2909">
        <f t="shared" si="57"/>
        <v>464.37293017158942</v>
      </c>
      <c r="C12" s="2909">
        <f t="shared" ref="C12" si="78">C13*(1+O12)</f>
        <v>344.73679941385956</v>
      </c>
      <c r="D12" s="2909">
        <f t="shared" ref="D12" si="79">C12</f>
        <v>344.73679941385956</v>
      </c>
      <c r="E12" s="2909">
        <f t="shared" ref="E12" si="80">E13*(1+P12)</f>
        <v>663.2377795103107</v>
      </c>
      <c r="F12" s="2910">
        <f t="shared" ref="F12" si="81">F13*(1+Q12)</f>
        <v>304.75936311478398</v>
      </c>
      <c r="G12" s="3577">
        <v>2018</v>
      </c>
      <c r="H12" s="2907">
        <v>4</v>
      </c>
      <c r="I12" s="2907">
        <v>0.96</v>
      </c>
      <c r="J12" s="2907">
        <v>1.03</v>
      </c>
      <c r="K12" s="2907">
        <v>0.92</v>
      </c>
      <c r="L12" s="2908">
        <v>1.29</v>
      </c>
      <c r="M12" s="2886"/>
      <c r="N12" s="2901">
        <f t="shared" ref="N12" si="82">I12/100</f>
        <v>9.5999999999999992E-3</v>
      </c>
      <c r="O12" s="2887">
        <f t="shared" ref="O12" si="83">J12/100</f>
        <v>1.03E-2</v>
      </c>
      <c r="P12" s="2887">
        <f t="shared" ref="P12" si="84">K12/100</f>
        <v>9.1999999999999998E-3</v>
      </c>
      <c r="Q12" s="2887">
        <f t="shared" ref="Q12" si="85">L12/100</f>
        <v>1.29E-2</v>
      </c>
      <c r="R12" s="2902"/>
      <c r="S12" s="2911"/>
      <c r="T12" s="2912"/>
      <c r="U12" s="2912"/>
      <c r="V12" s="2912"/>
      <c r="W12" s="2886"/>
      <c r="X12" s="2886">
        <f>ROUND(SUMPRODUCT(PRODUCT(1+N12:N$30)),4)</f>
        <v>1.5099</v>
      </c>
      <c r="Y12" s="2886">
        <f>ROUND(SUMPRODUCT(PRODUCT(1+O12:O$30)),4)</f>
        <v>1.3372999999999999</v>
      </c>
      <c r="Z12" s="2886">
        <f t="shared" ref="Z12" si="86">Y12</f>
        <v>1.3372999999999999</v>
      </c>
      <c r="AA12" s="2886">
        <f>ROUND(SUMPRODUCT(PRODUCT(1+P12:P$30)),4)</f>
        <v>1.5683</v>
      </c>
      <c r="AB12" s="2886">
        <f>ROUND(SUMPRODUCT(PRODUCT(1+Q12:Q$30)),4)</f>
        <v>1.3255999999999999</v>
      </c>
      <c r="AC12" s="2886"/>
      <c r="AD12" s="2887">
        <f>ROUND(AVERAGE(I12:I$31)/100,4)</f>
        <v>2.24E-2</v>
      </c>
      <c r="AE12" s="2887">
        <f>ROUND(AVERAGE(J12:J$31)/100,4)</f>
        <v>1.5800000000000002E-2</v>
      </c>
      <c r="AF12" s="2887">
        <f t="shared" ref="AF12" si="87">AE12</f>
        <v>1.5800000000000002E-2</v>
      </c>
      <c r="AG12" s="2887">
        <f>ROUND(AVERAGE(K12:K$31)/100,4)</f>
        <v>2.4500000000000001E-2</v>
      </c>
      <c r="AH12" s="2887">
        <f>ROUND(AVERAGE(L12:L$31)/100,4)</f>
        <v>1.49E-2</v>
      </c>
    </row>
    <row r="13" spans="1:34" s="2905" customFormat="1" ht="14.45" customHeight="1">
      <c r="A13" s="2898" t="s">
        <v>2936</v>
      </c>
      <c r="B13" s="2899">
        <f t="shared" si="57"/>
        <v>459.95733971036987</v>
      </c>
      <c r="C13" s="2899">
        <f t="shared" ref="C13" si="88">C14*(1+O13)</f>
        <v>341.22221064422405</v>
      </c>
      <c r="D13" s="2899">
        <f t="shared" ref="D13" si="89">C13</f>
        <v>341.22221064422405</v>
      </c>
      <c r="E13" s="2899">
        <f t="shared" ref="E13" si="90">E14*(1+P13)</f>
        <v>657.19161663724799</v>
      </c>
      <c r="F13" s="2899">
        <f t="shared" ref="F13" si="91">F14*(1+Q13)</f>
        <v>300.87803644464805</v>
      </c>
      <c r="G13" s="3577"/>
      <c r="H13" s="2900">
        <v>3</v>
      </c>
      <c r="I13" s="2900">
        <v>1.51</v>
      </c>
      <c r="J13" s="2900">
        <v>1.41</v>
      </c>
      <c r="K13" s="2900">
        <v>1.52</v>
      </c>
      <c r="L13" s="2906">
        <v>1.74</v>
      </c>
      <c r="M13" s="2886"/>
      <c r="N13" s="2901">
        <f t="shared" ref="N13" si="92">I13/100</f>
        <v>1.5100000000000001E-2</v>
      </c>
      <c r="O13" s="2887">
        <f t="shared" ref="O13" si="93">J13/100</f>
        <v>1.41E-2</v>
      </c>
      <c r="P13" s="2887">
        <f t="shared" ref="P13" si="94">K13/100</f>
        <v>1.52E-2</v>
      </c>
      <c r="Q13" s="2887">
        <f t="shared" ref="Q13" si="95">L13/100</f>
        <v>1.7399999999999999E-2</v>
      </c>
      <c r="R13" s="2902"/>
      <c r="S13" s="2901"/>
      <c r="T13" s="2887"/>
      <c r="U13" s="2887"/>
      <c r="V13" s="2887"/>
      <c r="W13" s="2886"/>
      <c r="X13" s="2886">
        <f>ROUND(SUMPRODUCT(PRODUCT(1+N13:N$30)),4)</f>
        <v>1.4956</v>
      </c>
      <c r="Y13" s="2886">
        <f>ROUND(SUMPRODUCT(PRODUCT(1+O13:O$30)),4)</f>
        <v>1.3237000000000001</v>
      </c>
      <c r="Z13" s="2886">
        <f t="shared" ref="Z13" si="96">Y13</f>
        <v>1.3237000000000001</v>
      </c>
      <c r="AA13" s="2886">
        <f>ROUND(SUMPRODUCT(PRODUCT(1+P13:P$30)),4)</f>
        <v>1.554</v>
      </c>
      <c r="AB13" s="2886">
        <f>ROUND(SUMPRODUCT(PRODUCT(1+Q13:Q$30)),4)</f>
        <v>1.3087</v>
      </c>
      <c r="AC13" s="2886"/>
      <c r="AD13" s="2887">
        <f>ROUND(AVERAGE(I13:I$31)/100,4)</f>
        <v>2.3099999999999999E-2</v>
      </c>
      <c r="AE13" s="2887">
        <f>ROUND(AVERAGE(J13:J$31)/100,4)</f>
        <v>1.61E-2</v>
      </c>
      <c r="AF13" s="2887">
        <f t="shared" ref="AF13" si="97">AE13</f>
        <v>1.61E-2</v>
      </c>
      <c r="AG13" s="2887">
        <f>ROUND(AVERAGE(K13:K$31)/100,4)</f>
        <v>2.53E-2</v>
      </c>
      <c r="AH13" s="2887">
        <f>ROUND(AVERAGE(L13:L$31)/100,4)</f>
        <v>1.4999999999999999E-2</v>
      </c>
    </row>
    <row r="14" spans="1:34" s="2905" customFormat="1" ht="14.45" customHeight="1">
      <c r="A14" s="2898" t="s">
        <v>2937</v>
      </c>
      <c r="B14" s="2899">
        <f t="shared" si="57"/>
        <v>453.11529869999993</v>
      </c>
      <c r="C14" s="2899">
        <f t="shared" ref="C14" si="98">C15*(1+O14)</f>
        <v>336.47787264000004</v>
      </c>
      <c r="D14" s="2899">
        <f t="shared" ref="D14" si="99">C14</f>
        <v>336.47787264000004</v>
      </c>
      <c r="E14" s="2899">
        <f t="shared" ref="E14" si="100">E15*(1+P14)</f>
        <v>647.35186823999993</v>
      </c>
      <c r="F14" s="2899">
        <f t="shared" ref="F14" si="101">F15*(1+Q14)</f>
        <v>295.73229452000004</v>
      </c>
      <c r="G14" s="3577"/>
      <c r="H14" s="2913">
        <v>2</v>
      </c>
      <c r="I14" s="2913">
        <v>1.49</v>
      </c>
      <c r="J14" s="2913">
        <v>0.96</v>
      </c>
      <c r="K14" s="2913">
        <v>1.58</v>
      </c>
      <c r="L14" s="2914">
        <v>2.44</v>
      </c>
      <c r="M14" s="2886"/>
      <c r="N14" s="2901">
        <f t="shared" ref="N14" si="102">I14/100</f>
        <v>1.49E-2</v>
      </c>
      <c r="O14" s="2887">
        <f t="shared" ref="O14" si="103">J14/100</f>
        <v>9.5999999999999992E-3</v>
      </c>
      <c r="P14" s="2887">
        <f t="shared" ref="P14" si="104">K14/100</f>
        <v>1.5800000000000002E-2</v>
      </c>
      <c r="Q14" s="2887">
        <f t="shared" ref="Q14" si="105">L14/100</f>
        <v>2.4399999999999998E-2</v>
      </c>
      <c r="R14" s="2902"/>
      <c r="S14" s="2901"/>
      <c r="T14" s="2887"/>
      <c r="U14" s="2887"/>
      <c r="V14" s="2887"/>
      <c r="W14" s="2886"/>
      <c r="X14" s="2886">
        <f>ROUND(SUMPRODUCT(PRODUCT(1+N14:N$30)),4)</f>
        <v>1.4733000000000001</v>
      </c>
      <c r="Y14" s="2886">
        <f>ROUND(SUMPRODUCT(PRODUCT(1+O14:O$30)),4)</f>
        <v>1.3052999999999999</v>
      </c>
      <c r="Z14" s="2886">
        <f t="shared" ref="Z14" si="106">Y14</f>
        <v>1.3052999999999999</v>
      </c>
      <c r="AA14" s="2886">
        <f>ROUND(SUMPRODUCT(PRODUCT(1+P14:P$30)),4)</f>
        <v>1.5306999999999999</v>
      </c>
      <c r="AB14" s="2886">
        <f>ROUND(SUMPRODUCT(PRODUCT(1+Q14:Q$30)),4)</f>
        <v>1.2863</v>
      </c>
      <c r="AC14" s="2886"/>
      <c r="AD14" s="2887">
        <f>ROUND(AVERAGE(I14:I$31)/100,4)</f>
        <v>2.35E-2</v>
      </c>
      <c r="AE14" s="2887">
        <f>ROUND(AVERAGE(J14:J$31)/100,4)</f>
        <v>1.6199999999999999E-2</v>
      </c>
      <c r="AF14" s="2887">
        <f t="shared" ref="AF14" si="107">AE14</f>
        <v>1.6199999999999999E-2</v>
      </c>
      <c r="AG14" s="2887">
        <f>ROUND(AVERAGE(K14:K$31)/100,4)</f>
        <v>2.5899999999999999E-2</v>
      </c>
      <c r="AH14" s="2887">
        <f>ROUND(AVERAGE(L14:L$31)/100,4)</f>
        <v>1.49E-2</v>
      </c>
    </row>
    <row r="15" spans="1:34" s="2905" customFormat="1" ht="15" customHeight="1" thickBot="1">
      <c r="A15" s="2898" t="s">
        <v>2933</v>
      </c>
      <c r="B15" s="2899">
        <f t="shared" si="57"/>
        <v>446.46299999999997</v>
      </c>
      <c r="C15" s="2899">
        <f t="shared" ref="C15" si="108">C16*(1+O15)</f>
        <v>333.27840000000003</v>
      </c>
      <c r="D15" s="2899">
        <f t="shared" ref="D15:D20" si="109">C15</f>
        <v>333.27840000000003</v>
      </c>
      <c r="E15" s="2899">
        <f t="shared" ref="E15" si="110">E16*(1+P15)</f>
        <v>637.28279999999995</v>
      </c>
      <c r="F15" s="2899">
        <f t="shared" ref="F15" si="111">F16*(1+Q15)</f>
        <v>288.68830000000003</v>
      </c>
      <c r="G15" s="3583"/>
      <c r="H15" s="2900">
        <v>1</v>
      </c>
      <c r="I15" s="2900">
        <v>1.7</v>
      </c>
      <c r="J15" s="2900">
        <v>1.92</v>
      </c>
      <c r="K15" s="2900">
        <v>1.64</v>
      </c>
      <c r="L15" s="2906">
        <v>2.0099999999999998</v>
      </c>
      <c r="M15" s="2886"/>
      <c r="N15" s="2901">
        <f t="shared" ref="N15:N20" si="112">I15/100</f>
        <v>1.7000000000000001E-2</v>
      </c>
      <c r="O15" s="2887">
        <f t="shared" ref="O15" si="113">J15/100</f>
        <v>1.9199999999999998E-2</v>
      </c>
      <c r="P15" s="2887">
        <f t="shared" ref="P15" si="114">K15/100</f>
        <v>1.6399999999999998E-2</v>
      </c>
      <c r="Q15" s="2887">
        <f t="shared" ref="Q15" si="115">L15/100</f>
        <v>2.0099999999999996E-2</v>
      </c>
      <c r="R15" s="2902"/>
      <c r="S15" s="2903">
        <f>B15/B16-1</f>
        <v>1.6999999999999904E-2</v>
      </c>
      <c r="T15" s="2904">
        <f>C15/C16-1</f>
        <v>1.9200000000000106E-2</v>
      </c>
      <c r="U15" s="2904">
        <f>E15/E16-1</f>
        <v>1.639999999999997E-2</v>
      </c>
      <c r="V15" s="2904">
        <f>F15/F16-1</f>
        <v>2.0100000000000007E-2</v>
      </c>
      <c r="W15" s="2886"/>
      <c r="X15" s="2886">
        <f>ROUND(SUMPRODUCT(PRODUCT(1+N15:N$30)),4)</f>
        <v>1.4517</v>
      </c>
      <c r="Y15" s="2886">
        <f>ROUND(SUMPRODUCT(PRODUCT(1+O15:O$30)),4)</f>
        <v>1.2928999999999999</v>
      </c>
      <c r="Z15" s="2886">
        <f t="shared" ref="Z15" si="116">Y15</f>
        <v>1.2928999999999999</v>
      </c>
      <c r="AA15" s="2886">
        <f>ROUND(SUMPRODUCT(PRODUCT(1+P15:P$30)),4)</f>
        <v>1.5068999999999999</v>
      </c>
      <c r="AB15" s="2886">
        <f>ROUND(SUMPRODUCT(PRODUCT(1+Q15:Q$30)),4)</f>
        <v>1.2557</v>
      </c>
      <c r="AC15" s="2886"/>
      <c r="AD15" s="2887">
        <f>ROUND(AVERAGE(I15:I$31)/100,4)</f>
        <v>2.4E-2</v>
      </c>
      <c r="AE15" s="2887">
        <f>ROUND(AVERAGE(J15:J$31)/100,4)</f>
        <v>1.66E-2</v>
      </c>
      <c r="AF15" s="2887">
        <f t="shared" ref="AF15" si="117">AE15</f>
        <v>1.66E-2</v>
      </c>
      <c r="AG15" s="2887">
        <f>ROUND(AVERAGE(K15:K$31)/100,4)</f>
        <v>2.6499999999999999E-2</v>
      </c>
      <c r="AH15" s="2887">
        <f>ROUND(AVERAGE(L15:L$31)/100,4)</f>
        <v>1.43E-2</v>
      </c>
    </row>
    <row r="16" spans="1:34">
      <c r="A16" s="2898" t="s">
        <v>2925</v>
      </c>
      <c r="B16" s="2915">
        <v>439</v>
      </c>
      <c r="C16" s="2915">
        <v>327</v>
      </c>
      <c r="D16" s="2915">
        <f t="shared" si="109"/>
        <v>327</v>
      </c>
      <c r="E16" s="2915">
        <v>627</v>
      </c>
      <c r="F16" s="2916">
        <v>283</v>
      </c>
      <c r="G16" s="3582">
        <v>2017</v>
      </c>
      <c r="H16" s="2907">
        <v>4</v>
      </c>
      <c r="I16" s="2907">
        <v>1.71</v>
      </c>
      <c r="J16" s="2907">
        <v>1.78</v>
      </c>
      <c r="K16" s="2907">
        <v>1.71</v>
      </c>
      <c r="L16" s="2908">
        <v>1.43</v>
      </c>
      <c r="N16" s="2917">
        <f t="shared" si="112"/>
        <v>1.7100000000000001E-2</v>
      </c>
      <c r="O16" s="2918">
        <f t="shared" ref="O16" si="118">J16/100</f>
        <v>1.78E-2</v>
      </c>
      <c r="P16" s="2918">
        <f t="shared" ref="P16" si="119">K16/100</f>
        <v>1.7100000000000001E-2</v>
      </c>
      <c r="Q16" s="2918">
        <f t="shared" ref="Q16" si="120">L16/100</f>
        <v>1.43E-2</v>
      </c>
      <c r="R16" s="2902"/>
      <c r="S16" s="2911"/>
      <c r="T16" s="2912"/>
      <c r="U16" s="2912"/>
      <c r="V16" s="2912"/>
      <c r="X16" s="2886">
        <f>ROUND(SUMPRODUCT(PRODUCT(1+N16:N$30)),4)</f>
        <v>1.4274</v>
      </c>
      <c r="Y16" s="2886">
        <f>ROUND(SUMPRODUCT(PRODUCT(1+O16:O$30)),4)</f>
        <v>1.2685</v>
      </c>
      <c r="Z16" s="2886">
        <f t="shared" si="0"/>
        <v>1.2685</v>
      </c>
      <c r="AA16" s="2886">
        <f>ROUND(SUMPRODUCT(PRODUCT(1+P16:P$30)),4)</f>
        <v>1.4825999999999999</v>
      </c>
      <c r="AB16" s="2886">
        <f>ROUND(SUMPRODUCT(PRODUCT(1+Q16:Q$30)),4)</f>
        <v>1.2309000000000001</v>
      </c>
      <c r="AD16" s="2887">
        <f>ROUND(AVERAGE(I16:I$31)/100,4)</f>
        <v>2.4500000000000001E-2</v>
      </c>
      <c r="AE16" s="2887">
        <f>ROUND(AVERAGE(J16:J$31)/100,4)</f>
        <v>1.6500000000000001E-2</v>
      </c>
      <c r="AF16" s="2887">
        <f t="shared" si="1"/>
        <v>1.6500000000000001E-2</v>
      </c>
      <c r="AG16" s="2887">
        <f>ROUND(AVERAGE(K16:K$31)/100,4)</f>
        <v>2.7099999999999999E-2</v>
      </c>
      <c r="AH16" s="2887">
        <f>ROUND(AVERAGE(L16:L$31)/100,4)</f>
        <v>1.3899999999999999E-2</v>
      </c>
    </row>
    <row r="17" spans="1:34" s="2905" customFormat="1" ht="14.45" customHeight="1">
      <c r="A17" s="2898" t="s">
        <v>2928</v>
      </c>
      <c r="B17" s="2899">
        <f t="shared" ref="B17:C19" si="121">B18*(1+N17)</f>
        <v>431.80730811680002</v>
      </c>
      <c r="C17" s="2899">
        <f t="shared" si="121"/>
        <v>320.57880516480003</v>
      </c>
      <c r="D17" s="2899">
        <f t="shared" si="109"/>
        <v>320.57880516480003</v>
      </c>
      <c r="E17" s="2899">
        <f t="shared" ref="E17:F19" si="122">E18*(1+P17)</f>
        <v>615.96110553196797</v>
      </c>
      <c r="F17" s="2899">
        <f t="shared" si="122"/>
        <v>279.46777300108801</v>
      </c>
      <c r="G17" s="3577"/>
      <c r="H17" s="2900">
        <v>3</v>
      </c>
      <c r="I17" s="2900">
        <v>2.98</v>
      </c>
      <c r="J17" s="2900">
        <v>2.11</v>
      </c>
      <c r="K17" s="2900">
        <v>3.24</v>
      </c>
      <c r="L17" s="2906">
        <v>1.72</v>
      </c>
      <c r="M17" s="2886"/>
      <c r="N17" s="2901">
        <f t="shared" si="112"/>
        <v>2.98E-2</v>
      </c>
      <c r="O17" s="2919">
        <f t="shared" ref="O17:O18" si="123">J17/100</f>
        <v>2.1099999999999997E-2</v>
      </c>
      <c r="P17" s="2919">
        <f t="shared" ref="P17:P18" si="124">K17/100</f>
        <v>3.2400000000000005E-2</v>
      </c>
      <c r="Q17" s="2919">
        <f t="shared" ref="Q17:Q18" si="125">L17/100</f>
        <v>1.72E-2</v>
      </c>
      <c r="R17" s="2902"/>
      <c r="S17" s="2901"/>
      <c r="T17" s="2887"/>
      <c r="U17" s="2887"/>
      <c r="V17" s="2887"/>
      <c r="W17" s="2886"/>
      <c r="X17" s="2886">
        <f>ROUND(SUMPRODUCT(PRODUCT(1+N17:N$30)),4)</f>
        <v>1.4034</v>
      </c>
      <c r="Y17" s="2886">
        <f>ROUND(SUMPRODUCT(PRODUCT(1+O17:O$30)),4)</f>
        <v>1.2463</v>
      </c>
      <c r="Z17" s="2886">
        <f t="shared" si="0"/>
        <v>1.2463</v>
      </c>
      <c r="AA17" s="2886">
        <f>ROUND(SUMPRODUCT(PRODUCT(1+P17:P$30)),4)</f>
        <v>1.4577</v>
      </c>
      <c r="AB17" s="2886">
        <f>ROUND(SUMPRODUCT(PRODUCT(1+Q17:Q$30)),4)</f>
        <v>1.2136</v>
      </c>
      <c r="AC17" s="2886"/>
      <c r="AD17" s="2887">
        <f>ROUND(AVERAGE(I17:I$31)/100,4)</f>
        <v>2.4899999999999999E-2</v>
      </c>
      <c r="AE17" s="2887">
        <f>ROUND(AVERAGE(J17:J$31)/100,4)</f>
        <v>1.6400000000000001E-2</v>
      </c>
      <c r="AF17" s="2887">
        <f t="shared" si="1"/>
        <v>1.6400000000000001E-2</v>
      </c>
      <c r="AG17" s="2887">
        <f>ROUND(AVERAGE(K17:K$31)/100,4)</f>
        <v>2.7799999999999998E-2</v>
      </c>
      <c r="AH17" s="2887">
        <f>ROUND(AVERAGE(L17:L$31)/100,4)</f>
        <v>1.3899999999999999E-2</v>
      </c>
    </row>
    <row r="18" spans="1:34" s="2864" customFormat="1" ht="14.45" customHeight="1">
      <c r="A18" s="2898" t="s">
        <v>2559</v>
      </c>
      <c r="B18" s="2899">
        <f t="shared" si="121"/>
        <v>419.31181600000002</v>
      </c>
      <c r="C18" s="2899">
        <f t="shared" si="121"/>
        <v>313.95436800000004</v>
      </c>
      <c r="D18" s="2899">
        <f t="shared" si="109"/>
        <v>313.95436800000004</v>
      </c>
      <c r="E18" s="2899">
        <f t="shared" si="122"/>
        <v>596.63028431999999</v>
      </c>
      <c r="F18" s="2899">
        <f t="shared" si="122"/>
        <v>274.74220703999998</v>
      </c>
      <c r="G18" s="3577"/>
      <c r="H18" s="2913">
        <v>2</v>
      </c>
      <c r="I18" s="2913">
        <v>3.4</v>
      </c>
      <c r="J18" s="2913">
        <v>2</v>
      </c>
      <c r="K18" s="2913">
        <v>3.82</v>
      </c>
      <c r="L18" s="2914">
        <v>1.68</v>
      </c>
      <c r="N18" s="2901">
        <f t="shared" si="112"/>
        <v>3.4000000000000002E-2</v>
      </c>
      <c r="O18" s="2919">
        <f t="shared" si="123"/>
        <v>0.02</v>
      </c>
      <c r="P18" s="2919">
        <f t="shared" si="124"/>
        <v>3.8199999999999998E-2</v>
      </c>
      <c r="Q18" s="2919">
        <f t="shared" si="125"/>
        <v>1.6799999999999999E-2</v>
      </c>
      <c r="S18" s="2901"/>
      <c r="T18" s="2887"/>
      <c r="U18" s="2887"/>
      <c r="V18" s="2887"/>
      <c r="X18" s="2886">
        <f>ROUND(SUMPRODUCT(PRODUCT(1+N18:N$30)),4)</f>
        <v>1.3628</v>
      </c>
      <c r="Y18" s="2886">
        <f>ROUND(SUMPRODUCT(PRODUCT(1+O18:O$30)),4)</f>
        <v>1.2205999999999999</v>
      </c>
      <c r="Z18" s="2886">
        <f t="shared" si="0"/>
        <v>1.2205999999999999</v>
      </c>
      <c r="AA18" s="2886">
        <f>ROUND(SUMPRODUCT(PRODUCT(1+P18:P$30)),4)</f>
        <v>1.4118999999999999</v>
      </c>
      <c r="AB18" s="2886">
        <f>ROUND(SUMPRODUCT(PRODUCT(1+Q18:Q$30)),4)</f>
        <v>1.1930000000000001</v>
      </c>
      <c r="AD18" s="2887">
        <f>ROUND(AVERAGE(I18:I$31)/100,4)</f>
        <v>2.46E-2</v>
      </c>
      <c r="AE18" s="2887">
        <f>ROUND(AVERAGE(J18:J$31)/100,4)</f>
        <v>1.6E-2</v>
      </c>
      <c r="AF18" s="2887">
        <f t="shared" si="1"/>
        <v>1.6E-2</v>
      </c>
      <c r="AG18" s="2887">
        <f>ROUND(AVERAGE(K18:K$31)/100,4)</f>
        <v>2.75E-2</v>
      </c>
      <c r="AH18" s="2887">
        <f>ROUND(AVERAGE(L18:L$31)/100,4)</f>
        <v>1.37E-2</v>
      </c>
    </row>
    <row r="19" spans="1:34" s="2905" customFormat="1" ht="15" customHeight="1" thickBot="1">
      <c r="A19" s="2898" t="s">
        <v>2560</v>
      </c>
      <c r="B19" s="2899">
        <f t="shared" si="121"/>
        <v>405.524</v>
      </c>
      <c r="C19" s="2899">
        <f t="shared" si="121"/>
        <v>307.79840000000002</v>
      </c>
      <c r="D19" s="2899">
        <f t="shared" si="109"/>
        <v>307.79840000000002</v>
      </c>
      <c r="E19" s="2899">
        <f t="shared" si="122"/>
        <v>574.67759999999998</v>
      </c>
      <c r="F19" s="2899">
        <f t="shared" si="122"/>
        <v>270.20280000000002</v>
      </c>
      <c r="G19" s="3583"/>
      <c r="H19" s="2900">
        <v>1</v>
      </c>
      <c r="I19" s="2900">
        <v>3.45</v>
      </c>
      <c r="J19" s="2900">
        <v>1.92</v>
      </c>
      <c r="K19" s="2900">
        <v>3.92</v>
      </c>
      <c r="L19" s="2906">
        <v>1.58</v>
      </c>
      <c r="M19" s="2886"/>
      <c r="N19" s="2903">
        <f t="shared" si="112"/>
        <v>3.4500000000000003E-2</v>
      </c>
      <c r="O19" s="2904">
        <f t="shared" ref="O19" si="126">J19/100</f>
        <v>1.9199999999999998E-2</v>
      </c>
      <c r="P19" s="2904">
        <f t="shared" ref="P19" si="127">K19/100</f>
        <v>3.9199999999999999E-2</v>
      </c>
      <c r="Q19" s="2904">
        <f t="shared" ref="Q19" si="128">L19/100</f>
        <v>1.5800000000000002E-2</v>
      </c>
      <c r="R19" s="2902"/>
      <c r="S19" s="2903">
        <f>B19/B20-1</f>
        <v>3.4499999999999975E-2</v>
      </c>
      <c r="T19" s="2904">
        <f>C19/C20-1</f>
        <v>1.9200000000000106E-2</v>
      </c>
      <c r="U19" s="2904">
        <f>E19/E20-1</f>
        <v>3.9199999999999902E-2</v>
      </c>
      <c r="V19" s="2904">
        <f>F19/F20-1</f>
        <v>1.5800000000000036E-2</v>
      </c>
      <c r="W19" s="2886"/>
      <c r="X19" s="2886">
        <f>ROUND(SUMPRODUCT(PRODUCT(1+N19:N$30)),4)</f>
        <v>1.3180000000000001</v>
      </c>
      <c r="Y19" s="2886">
        <f>ROUND(SUMPRODUCT(PRODUCT(1+O19:O$30)),4)</f>
        <v>1.1966000000000001</v>
      </c>
      <c r="Z19" s="2886">
        <f t="shared" si="0"/>
        <v>1.1966000000000001</v>
      </c>
      <c r="AA19" s="2886">
        <f>ROUND(SUMPRODUCT(PRODUCT(1+P19:P$30)),4)</f>
        <v>1.36</v>
      </c>
      <c r="AB19" s="2886">
        <f>ROUND(SUMPRODUCT(PRODUCT(1+Q19:Q$30)),4)</f>
        <v>1.1733</v>
      </c>
      <c r="AC19" s="2886"/>
      <c r="AD19" s="2887">
        <f>ROUND(AVERAGE(I19:I$31)/100,4)</f>
        <v>2.3900000000000001E-2</v>
      </c>
      <c r="AE19" s="2887">
        <f>ROUND(AVERAGE(J19:J$31)/100,4)</f>
        <v>1.5699999999999999E-2</v>
      </c>
      <c r="AF19" s="2887">
        <f t="shared" si="1"/>
        <v>1.5699999999999999E-2</v>
      </c>
      <c r="AG19" s="2887">
        <f>ROUND(AVERAGE(K19:K$31)/100,4)</f>
        <v>2.6599999999999999E-2</v>
      </c>
      <c r="AH19" s="2887">
        <f>ROUND(AVERAGE(L19:L$31)/100,4)</f>
        <v>1.34E-2</v>
      </c>
    </row>
    <row r="20" spans="1:34">
      <c r="A20" s="2898" t="s">
        <v>961</v>
      </c>
      <c r="B20" s="2920">
        <v>392</v>
      </c>
      <c r="C20" s="2920">
        <v>302</v>
      </c>
      <c r="D20" s="2920">
        <f t="shared" si="109"/>
        <v>302</v>
      </c>
      <c r="E20" s="2920">
        <v>553</v>
      </c>
      <c r="F20" s="2921">
        <v>266</v>
      </c>
      <c r="G20" s="3582">
        <v>2016</v>
      </c>
      <c r="H20" s="2907">
        <v>4</v>
      </c>
      <c r="I20" s="2907">
        <v>4.5599999999999996</v>
      </c>
      <c r="J20" s="2907">
        <v>2.15</v>
      </c>
      <c r="K20" s="2907">
        <v>5.32</v>
      </c>
      <c r="L20" s="2908">
        <v>1.57</v>
      </c>
      <c r="N20" s="2901">
        <f t="shared" si="112"/>
        <v>4.5599999999999995E-2</v>
      </c>
      <c r="O20" s="2887">
        <f t="shared" ref="O20:Q35" si="129">J20/100</f>
        <v>2.1499999999999998E-2</v>
      </c>
      <c r="P20" s="2887">
        <f t="shared" si="129"/>
        <v>5.3200000000000004E-2</v>
      </c>
      <c r="Q20" s="2887">
        <f t="shared" si="129"/>
        <v>1.5700000000000002E-2</v>
      </c>
      <c r="R20" s="2902"/>
      <c r="S20" s="2911"/>
      <c r="T20" s="2912"/>
      <c r="U20" s="2912"/>
      <c r="V20" s="2912"/>
      <c r="X20" s="2886">
        <f>ROUND(SUMPRODUCT(PRODUCT(1+N20:N$30)),4)</f>
        <v>1.274</v>
      </c>
      <c r="Y20" s="2886">
        <f>ROUND(SUMPRODUCT(PRODUCT(1+O20:O$30)),4)</f>
        <v>1.1740999999999999</v>
      </c>
      <c r="Z20" s="2886">
        <f t="shared" si="0"/>
        <v>1.1740999999999999</v>
      </c>
      <c r="AA20" s="2886">
        <f>ROUND(SUMPRODUCT(PRODUCT(1+P20:P$30)),4)</f>
        <v>1.3087</v>
      </c>
      <c r="AB20" s="2886">
        <f>ROUND(SUMPRODUCT(PRODUCT(1+Q20:Q$30)),4)</f>
        <v>1.1551</v>
      </c>
      <c r="AD20" s="2887">
        <f>ROUND(AVERAGE(I20:I$31)/100,4)</f>
        <v>2.3E-2</v>
      </c>
      <c r="AE20" s="2887">
        <f>ROUND(AVERAGE(J20:J$31)/100,4)</f>
        <v>1.55E-2</v>
      </c>
      <c r="AF20" s="2887">
        <f t="shared" si="1"/>
        <v>1.55E-2</v>
      </c>
      <c r="AG20" s="2887">
        <f>ROUND(AVERAGE(K20:K$31)/100,4)</f>
        <v>2.5600000000000001E-2</v>
      </c>
      <c r="AH20" s="2887">
        <f>ROUND(AVERAGE(L20:L$31)/100,4)</f>
        <v>1.32E-2</v>
      </c>
    </row>
    <row r="21" spans="1:34">
      <c r="A21" s="2898" t="s">
        <v>960</v>
      </c>
      <c r="B21" s="2899">
        <f t="shared" ref="B21:C23" si="130">B20/(1+N20)</f>
        <v>374.90436113236416</v>
      </c>
      <c r="C21" s="2899">
        <f t="shared" si="130"/>
        <v>295.64366128242779</v>
      </c>
      <c r="D21" s="2899">
        <f t="shared" ref="D21:D80" si="131">C21</f>
        <v>295.64366128242779</v>
      </c>
      <c r="E21" s="2899">
        <f t="shared" ref="E21:F23" si="132">E20/(1+P20)</f>
        <v>525.06646410938095</v>
      </c>
      <c r="F21" s="2899">
        <f t="shared" si="132"/>
        <v>261.88835286009646</v>
      </c>
      <c r="G21" s="3577"/>
      <c r="H21" s="2900">
        <v>3</v>
      </c>
      <c r="I21" s="2900">
        <v>4.12</v>
      </c>
      <c r="J21" s="2900">
        <v>2</v>
      </c>
      <c r="K21" s="2900">
        <v>4.79</v>
      </c>
      <c r="L21" s="2906">
        <v>1.97</v>
      </c>
      <c r="N21" s="2901">
        <f t="shared" ref="N21:Q55" si="133">I21/100</f>
        <v>4.1200000000000001E-2</v>
      </c>
      <c r="O21" s="2887">
        <f t="shared" si="129"/>
        <v>0.02</v>
      </c>
      <c r="P21" s="2887">
        <f t="shared" si="129"/>
        <v>4.7899999999999998E-2</v>
      </c>
      <c r="Q21" s="2887">
        <f t="shared" si="129"/>
        <v>1.9699999999999999E-2</v>
      </c>
      <c r="R21" s="2902"/>
      <c r="S21" s="2901"/>
      <c r="T21" s="2887"/>
      <c r="U21" s="2887"/>
      <c r="V21" s="2887"/>
      <c r="X21" s="2886">
        <f>ROUND(SUMPRODUCT(PRODUCT(1+N21:N$30)),4)</f>
        <v>1.2184999999999999</v>
      </c>
      <c r="Y21" s="2886">
        <f>ROUND(SUMPRODUCT(PRODUCT(1+O21:O$30)),4)</f>
        <v>1.1494</v>
      </c>
      <c r="Z21" s="2886">
        <f t="shared" si="0"/>
        <v>1.1494</v>
      </c>
      <c r="AA21" s="2886">
        <f>ROUND(SUMPRODUCT(PRODUCT(1+P21:P$30)),4)</f>
        <v>1.2425999999999999</v>
      </c>
      <c r="AB21" s="2886">
        <f>ROUND(SUMPRODUCT(PRODUCT(1+Q21:Q$30)),4)</f>
        <v>1.1372</v>
      </c>
      <c r="AD21" s="2887">
        <f>ROUND(AVERAGE(I21:I$31)/100,4)</f>
        <v>2.0899999999999998E-2</v>
      </c>
      <c r="AE21" s="2887">
        <f>ROUND(AVERAGE(J21:J$31)/100,4)</f>
        <v>1.49E-2</v>
      </c>
      <c r="AF21" s="2887">
        <f t="shared" si="1"/>
        <v>1.49E-2</v>
      </c>
      <c r="AG21" s="2887">
        <f>ROUND(AVERAGE(K21:K$31)/100,4)</f>
        <v>2.3099999999999999E-2</v>
      </c>
      <c r="AH21" s="2887">
        <f>ROUND(AVERAGE(L21:L$31)/100,4)</f>
        <v>1.2999999999999999E-2</v>
      </c>
    </row>
    <row r="22" spans="1:34">
      <c r="A22" s="2898" t="s">
        <v>950</v>
      </c>
      <c r="B22" s="2899">
        <f t="shared" si="130"/>
        <v>360.06949782209392</v>
      </c>
      <c r="C22" s="2899">
        <f t="shared" si="130"/>
        <v>289.84672674747821</v>
      </c>
      <c r="D22" s="2899">
        <f t="shared" si="131"/>
        <v>289.84672674747821</v>
      </c>
      <c r="E22" s="2899">
        <f t="shared" si="132"/>
        <v>501.06543001181495</v>
      </c>
      <c r="F22" s="2899">
        <f t="shared" si="132"/>
        <v>256.82882500744967</v>
      </c>
      <c r="G22" s="3577"/>
      <c r="H22" s="2913">
        <v>2</v>
      </c>
      <c r="I22" s="2913">
        <v>3.85</v>
      </c>
      <c r="J22" s="2913">
        <v>1.95</v>
      </c>
      <c r="K22" s="2913">
        <v>4.4800000000000004</v>
      </c>
      <c r="L22" s="2914">
        <v>1.41</v>
      </c>
      <c r="N22" s="2901">
        <f t="shared" si="133"/>
        <v>3.85E-2</v>
      </c>
      <c r="O22" s="2887">
        <f t="shared" si="129"/>
        <v>1.95E-2</v>
      </c>
      <c r="P22" s="2887">
        <f t="shared" si="129"/>
        <v>4.4800000000000006E-2</v>
      </c>
      <c r="Q22" s="2887">
        <f t="shared" si="129"/>
        <v>1.41E-2</v>
      </c>
      <c r="R22" s="2902"/>
      <c r="S22" s="2901"/>
      <c r="T22" s="2887"/>
      <c r="U22" s="2887"/>
      <c r="V22" s="2887"/>
      <c r="X22" s="2886">
        <f>ROUND(SUMPRODUCT(PRODUCT(1+N22:N$30)),4)</f>
        <v>1.1702999999999999</v>
      </c>
      <c r="Y22" s="2886">
        <f>ROUND(SUMPRODUCT(PRODUCT(1+O22:O$30)),4)</f>
        <v>1.1269</v>
      </c>
      <c r="Z22" s="2886">
        <f t="shared" si="0"/>
        <v>1.1269</v>
      </c>
      <c r="AA22" s="2886">
        <f>ROUND(SUMPRODUCT(PRODUCT(1+P22:P$30)),4)</f>
        <v>1.1858</v>
      </c>
      <c r="AB22" s="2886">
        <f>ROUND(SUMPRODUCT(PRODUCT(1+Q22:Q$30)),4)</f>
        <v>1.1152</v>
      </c>
      <c r="AD22" s="2887">
        <f>ROUND(AVERAGE(I22:I$31)/100,4)</f>
        <v>1.89E-2</v>
      </c>
      <c r="AE22" s="2887">
        <f>ROUND(AVERAGE(J22:J$31)/100,4)</f>
        <v>1.44E-2</v>
      </c>
      <c r="AF22" s="2887">
        <f t="shared" si="1"/>
        <v>1.44E-2</v>
      </c>
      <c r="AG22" s="2887">
        <f>ROUND(AVERAGE(K22:K$31)/100,4)</f>
        <v>2.06E-2</v>
      </c>
      <c r="AH22" s="2887">
        <f>ROUND(AVERAGE(L22:L$31)/100,4)</f>
        <v>1.23E-2</v>
      </c>
    </row>
    <row r="23" spans="1:34" ht="13.5" thickBot="1">
      <c r="A23" s="2898" t="s">
        <v>959</v>
      </c>
      <c r="B23" s="2899">
        <f t="shared" si="130"/>
        <v>346.720748986128</v>
      </c>
      <c r="C23" s="2899">
        <f t="shared" si="130"/>
        <v>284.30282172386285</v>
      </c>
      <c r="D23" s="2899">
        <f t="shared" si="131"/>
        <v>284.30282172386285</v>
      </c>
      <c r="E23" s="2899">
        <f t="shared" si="132"/>
        <v>479.58023546306947</v>
      </c>
      <c r="F23" s="2899">
        <f t="shared" si="132"/>
        <v>253.25788877571213</v>
      </c>
      <c r="G23" s="3578"/>
      <c r="H23" s="2900">
        <v>1</v>
      </c>
      <c r="I23" s="2900">
        <v>4.09</v>
      </c>
      <c r="J23" s="2900">
        <v>2.93</v>
      </c>
      <c r="K23" s="2900">
        <v>4.54</v>
      </c>
      <c r="L23" s="2906">
        <v>1.48</v>
      </c>
      <c r="N23" s="2901">
        <f t="shared" si="133"/>
        <v>4.0899999999999999E-2</v>
      </c>
      <c r="O23" s="2887">
        <f t="shared" si="129"/>
        <v>2.9300000000000003E-2</v>
      </c>
      <c r="P23" s="2887">
        <f t="shared" si="129"/>
        <v>4.5400000000000003E-2</v>
      </c>
      <c r="Q23" s="2887">
        <f t="shared" si="129"/>
        <v>1.4800000000000001E-2</v>
      </c>
      <c r="R23" s="2902"/>
      <c r="S23" s="2903">
        <f>B23/B24-1</f>
        <v>4.1203450408792808E-2</v>
      </c>
      <c r="T23" s="2904">
        <f>C23/C24-1</f>
        <v>2.6363977342465095E-2</v>
      </c>
      <c r="U23" s="2904">
        <f>E23/E24-1</f>
        <v>4.4837114298626357E-2</v>
      </c>
      <c r="V23" s="2904">
        <f>F23/F24-1</f>
        <v>1.7099954922538574E-2</v>
      </c>
      <c r="X23" s="2886">
        <f>ROUND(SUMPRODUCT(PRODUCT(1+N23:N$30)),4)</f>
        <v>1.1269</v>
      </c>
      <c r="Y23" s="2886">
        <f>ROUND(SUMPRODUCT(PRODUCT(1+O23:O$30)),4)</f>
        <v>1.1052999999999999</v>
      </c>
      <c r="Z23" s="2886">
        <f t="shared" si="0"/>
        <v>1.1052999999999999</v>
      </c>
      <c r="AA23" s="2886">
        <f>ROUND(SUMPRODUCT(PRODUCT(1+P23:P$30)),4)</f>
        <v>1.1349</v>
      </c>
      <c r="AB23" s="2886">
        <f>ROUND(SUMPRODUCT(PRODUCT(1+Q23:Q$30)),4)</f>
        <v>1.0996999999999999</v>
      </c>
      <c r="AD23" s="2887">
        <f>ROUND(AVERAGE(I23:I$31)/100,4)</f>
        <v>1.67E-2</v>
      </c>
      <c r="AE23" s="2887">
        <f>ROUND(AVERAGE(J23:J$31)/100,4)</f>
        <v>1.38E-2</v>
      </c>
      <c r="AF23" s="2887">
        <f t="shared" si="1"/>
        <v>1.38E-2</v>
      </c>
      <c r="AG23" s="2887">
        <f>ROUND(AVERAGE(K23:K$31)/100,4)</f>
        <v>1.7899999999999999E-2</v>
      </c>
      <c r="AH23" s="2887">
        <f>ROUND(AVERAGE(L23:L$31)/100,4)</f>
        <v>1.21E-2</v>
      </c>
    </row>
    <row r="24" spans="1:34" ht="13.5" thickBot="1">
      <c r="A24" s="2898" t="s">
        <v>958</v>
      </c>
      <c r="B24" s="2920">
        <v>333</v>
      </c>
      <c r="C24" s="2920">
        <v>277</v>
      </c>
      <c r="D24" s="2920">
        <f t="shared" si="131"/>
        <v>277</v>
      </c>
      <c r="E24" s="2920">
        <v>459</v>
      </c>
      <c r="F24" s="2921">
        <v>249</v>
      </c>
      <c r="G24" s="3576">
        <v>2015</v>
      </c>
      <c r="H24" s="2922">
        <v>4</v>
      </c>
      <c r="I24" s="2922">
        <v>1.63</v>
      </c>
      <c r="J24" s="2922">
        <v>1.1100000000000001</v>
      </c>
      <c r="K24" s="2922">
        <v>1.77</v>
      </c>
      <c r="L24" s="2923">
        <v>1.89</v>
      </c>
      <c r="N24" s="2917">
        <f t="shared" si="133"/>
        <v>1.6299999999999999E-2</v>
      </c>
      <c r="O24" s="2918">
        <f t="shared" si="129"/>
        <v>1.11E-2</v>
      </c>
      <c r="P24" s="2918">
        <f t="shared" si="129"/>
        <v>1.77E-2</v>
      </c>
      <c r="Q24" s="2918">
        <f t="shared" si="129"/>
        <v>1.89E-2</v>
      </c>
      <c r="R24" s="2902"/>
      <c r="X24" s="2886">
        <f>ROUND(SUMPRODUCT(PRODUCT(1+N24:N$30)),4)</f>
        <v>1.0826</v>
      </c>
      <c r="Y24" s="2886">
        <f>ROUND(SUMPRODUCT(PRODUCT(1+O24:O$30)),4)</f>
        <v>1.0738000000000001</v>
      </c>
      <c r="Z24" s="2886">
        <f t="shared" si="0"/>
        <v>1.0738000000000001</v>
      </c>
      <c r="AA24" s="2886">
        <f>ROUND(SUMPRODUCT(PRODUCT(1+P24:P$30)),4)</f>
        <v>1.0855999999999999</v>
      </c>
      <c r="AB24" s="2886">
        <f>ROUND(SUMPRODUCT(PRODUCT(1+Q24:Q$30)),4)</f>
        <v>1.0837000000000001</v>
      </c>
      <c r="AD24" s="2887">
        <f>ROUND(AVERAGE(I24:I$31)/100,4)</f>
        <v>1.37E-2</v>
      </c>
      <c r="AE24" s="2887">
        <f>ROUND(AVERAGE(J24:J$31)/100,4)</f>
        <v>1.1900000000000001E-2</v>
      </c>
      <c r="AF24" s="2887">
        <f t="shared" si="1"/>
        <v>1.1900000000000001E-2</v>
      </c>
      <c r="AG24" s="2887">
        <f>ROUND(AVERAGE(K24:K$31)/100,4)</f>
        <v>1.4500000000000001E-2</v>
      </c>
      <c r="AH24" s="2887">
        <f>ROUND(AVERAGE(L24:L$31)/100,4)</f>
        <v>1.18E-2</v>
      </c>
    </row>
    <row r="25" spans="1:34">
      <c r="A25" s="2898" t="s">
        <v>957</v>
      </c>
      <c r="B25" s="2899">
        <f t="shared" ref="B25:C27" si="134">B24/(1+N24)</f>
        <v>327.65915576109415</v>
      </c>
      <c r="C25" s="2899">
        <f t="shared" si="134"/>
        <v>273.95905449510434</v>
      </c>
      <c r="D25" s="2899">
        <f t="shared" si="131"/>
        <v>273.95905449510434</v>
      </c>
      <c r="E25" s="2899">
        <f t="shared" ref="E25:F27" si="135">E24/(1+P24)</f>
        <v>451.01699911565294</v>
      </c>
      <c r="F25" s="2899">
        <f t="shared" si="135"/>
        <v>244.38119540681129</v>
      </c>
      <c r="G25" s="3577"/>
      <c r="H25" s="2925">
        <v>3</v>
      </c>
      <c r="I25" s="2925">
        <v>1.65</v>
      </c>
      <c r="J25" s="2925">
        <v>0.92</v>
      </c>
      <c r="K25" s="2925">
        <v>1.88</v>
      </c>
      <c r="L25" s="2926">
        <v>1.26</v>
      </c>
      <c r="N25" s="2901">
        <f t="shared" si="133"/>
        <v>1.6500000000000001E-2</v>
      </c>
      <c r="O25" s="2919">
        <f t="shared" si="129"/>
        <v>9.1999999999999998E-3</v>
      </c>
      <c r="P25" s="2919">
        <f t="shared" si="129"/>
        <v>1.8799999999999997E-2</v>
      </c>
      <c r="Q25" s="2919">
        <f t="shared" si="129"/>
        <v>1.26E-2</v>
      </c>
      <c r="R25" s="2902"/>
      <c r="S25" s="2901"/>
      <c r="T25" s="2887"/>
      <c r="U25" s="2887"/>
      <c r="V25" s="2887"/>
      <c r="X25" s="2886">
        <f>ROUND(SUMPRODUCT(PRODUCT(1+N25:N$30)),4)</f>
        <v>1.0651999999999999</v>
      </c>
      <c r="Y25" s="2886">
        <f>ROUND(SUMPRODUCT(PRODUCT(1+O25:O$30)),4)</f>
        <v>1.0621</v>
      </c>
      <c r="Z25" s="2886">
        <f t="shared" si="0"/>
        <v>1.0621</v>
      </c>
      <c r="AA25" s="2886">
        <f>ROUND(SUMPRODUCT(PRODUCT(1+P25:P$30)),4)</f>
        <v>1.0668</v>
      </c>
      <c r="AB25" s="2886">
        <f>ROUND(SUMPRODUCT(PRODUCT(1+Q25:Q$30)),4)</f>
        <v>1.0636000000000001</v>
      </c>
      <c r="AD25" s="2887">
        <f>ROUND(AVERAGE(I25:I$31)/100,4)</f>
        <v>1.3299999999999999E-2</v>
      </c>
      <c r="AE25" s="2887">
        <f>ROUND(AVERAGE(J25:J$31)/100,4)</f>
        <v>1.2E-2</v>
      </c>
      <c r="AF25" s="2887">
        <f t="shared" si="1"/>
        <v>1.2E-2</v>
      </c>
      <c r="AG25" s="2887">
        <f>ROUND(AVERAGE(K25:K$31)/100,4)</f>
        <v>1.4E-2</v>
      </c>
      <c r="AH25" s="2887">
        <f>ROUND(AVERAGE(L25:L$31)/100,4)</f>
        <v>1.0800000000000001E-2</v>
      </c>
    </row>
    <row r="26" spans="1:34">
      <c r="A26" s="2898" t="s">
        <v>956</v>
      </c>
      <c r="B26" s="2899">
        <f t="shared" si="134"/>
        <v>322.34053690220776</v>
      </c>
      <c r="C26" s="2899">
        <f t="shared" si="134"/>
        <v>271.46160770422546</v>
      </c>
      <c r="D26" s="2899">
        <f t="shared" si="131"/>
        <v>271.46160770422546</v>
      </c>
      <c r="E26" s="2899">
        <f t="shared" si="135"/>
        <v>442.69434542172456</v>
      </c>
      <c r="F26" s="2899">
        <f t="shared" si="135"/>
        <v>241.34030753190925</v>
      </c>
      <c r="G26" s="3577"/>
      <c r="H26" s="2913">
        <v>2</v>
      </c>
      <c r="I26" s="2913">
        <v>0.77</v>
      </c>
      <c r="J26" s="2913">
        <v>0.69</v>
      </c>
      <c r="K26" s="2913">
        <v>0.8</v>
      </c>
      <c r="L26" s="2914">
        <v>0.88</v>
      </c>
      <c r="N26" s="2901">
        <f t="shared" si="133"/>
        <v>7.7000000000000002E-3</v>
      </c>
      <c r="O26" s="2919">
        <f t="shared" si="129"/>
        <v>6.8999999999999999E-3</v>
      </c>
      <c r="P26" s="2919">
        <f t="shared" si="129"/>
        <v>8.0000000000000002E-3</v>
      </c>
      <c r="Q26" s="2919">
        <f t="shared" si="129"/>
        <v>8.8000000000000005E-3</v>
      </c>
      <c r="R26" s="2902"/>
      <c r="S26" s="2901"/>
      <c r="T26" s="2887"/>
      <c r="U26" s="2887"/>
      <c r="V26" s="2887"/>
      <c r="X26" s="2886">
        <f>ROUND(SUMPRODUCT(PRODUCT(1+N26:N$30)),4)</f>
        <v>1.048</v>
      </c>
      <c r="Y26" s="2886">
        <f>ROUND(SUMPRODUCT(PRODUCT(1+O26:O$30)),4)</f>
        <v>1.0524</v>
      </c>
      <c r="Z26" s="2886">
        <f t="shared" si="0"/>
        <v>1.0524</v>
      </c>
      <c r="AA26" s="2886">
        <f>ROUND(SUMPRODUCT(PRODUCT(1+P26:P$30)),4)</f>
        <v>1.0470999999999999</v>
      </c>
      <c r="AB26" s="2886">
        <f>ROUND(SUMPRODUCT(PRODUCT(1+Q26:Q$30)),4)</f>
        <v>1.0504</v>
      </c>
      <c r="AD26" s="2887">
        <f>ROUND(AVERAGE(I26:I$31)/100,4)</f>
        <v>1.2800000000000001E-2</v>
      </c>
      <c r="AE26" s="2887">
        <f>ROUND(AVERAGE(J26:J$31)/100,4)</f>
        <v>1.2500000000000001E-2</v>
      </c>
      <c r="AF26" s="2887">
        <f t="shared" si="1"/>
        <v>1.2500000000000001E-2</v>
      </c>
      <c r="AG26" s="2887">
        <f>ROUND(AVERAGE(K26:K$31)/100,4)</f>
        <v>1.32E-2</v>
      </c>
      <c r="AH26" s="2887">
        <f>ROUND(AVERAGE(L26:L$31)/100,4)</f>
        <v>1.0500000000000001E-2</v>
      </c>
    </row>
    <row r="27" spans="1:34">
      <c r="A27" s="2898" t="s">
        <v>955</v>
      </c>
      <c r="B27" s="2899">
        <f t="shared" si="134"/>
        <v>319.87748030386797</v>
      </c>
      <c r="C27" s="2899">
        <f t="shared" si="134"/>
        <v>269.60135833173649</v>
      </c>
      <c r="D27" s="2899">
        <f t="shared" si="131"/>
        <v>269.60135833173649</v>
      </c>
      <c r="E27" s="2899">
        <f t="shared" si="135"/>
        <v>439.18089823583784</v>
      </c>
      <c r="F27" s="2899">
        <f t="shared" si="135"/>
        <v>239.23503918706311</v>
      </c>
      <c r="G27" s="3578"/>
      <c r="H27" s="2900">
        <v>1</v>
      </c>
      <c r="I27" s="2900">
        <v>0.51</v>
      </c>
      <c r="J27" s="2900">
        <v>0.54</v>
      </c>
      <c r="K27" s="2900">
        <v>0.48</v>
      </c>
      <c r="L27" s="2906">
        <v>0.93</v>
      </c>
      <c r="N27" s="2903">
        <f t="shared" si="133"/>
        <v>5.1000000000000004E-3</v>
      </c>
      <c r="O27" s="2904">
        <f t="shared" si="129"/>
        <v>5.4000000000000003E-3</v>
      </c>
      <c r="P27" s="2904">
        <f t="shared" si="129"/>
        <v>4.7999999999999996E-3</v>
      </c>
      <c r="Q27" s="2904">
        <f t="shared" si="129"/>
        <v>9.300000000000001E-3</v>
      </c>
      <c r="R27" s="2902"/>
      <c r="S27" s="2903">
        <f>B27/B28-1</f>
        <v>5.9040261127922822E-3</v>
      </c>
      <c r="T27" s="2904">
        <f>C27/C28-1</f>
        <v>5.9752176557332781E-3</v>
      </c>
      <c r="U27" s="2904">
        <f>E27/E28-1</f>
        <v>4.9906138119859556E-3</v>
      </c>
      <c r="V27" s="2904">
        <f>F27/F28-1</f>
        <v>9.4305450930933787E-3</v>
      </c>
      <c r="X27" s="2886">
        <f>ROUND(SUMPRODUCT(PRODUCT(1+N27:N$30)),4)</f>
        <v>1.0399</v>
      </c>
      <c r="Y27" s="2886">
        <f>ROUND(SUMPRODUCT(PRODUCT(1+O27:O$30)),4)</f>
        <v>1.0451999999999999</v>
      </c>
      <c r="Z27" s="2886">
        <f t="shared" si="0"/>
        <v>1.0451999999999999</v>
      </c>
      <c r="AA27" s="2886">
        <f>ROUND(SUMPRODUCT(PRODUCT(1+P27:P$30)),4)</f>
        <v>1.0387999999999999</v>
      </c>
      <c r="AB27" s="2886">
        <f>ROUND(SUMPRODUCT(PRODUCT(1+Q27:Q$30)),4)</f>
        <v>1.0411999999999999</v>
      </c>
      <c r="AD27" s="2887">
        <f>ROUND(AVERAGE(I27:I$31)/100,4)</f>
        <v>1.38E-2</v>
      </c>
      <c r="AE27" s="2887">
        <f>ROUND(AVERAGE(J27:J$31)/100,4)</f>
        <v>1.3599999999999999E-2</v>
      </c>
      <c r="AF27" s="2887">
        <f t="shared" si="1"/>
        <v>1.3599999999999999E-2</v>
      </c>
      <c r="AG27" s="2887">
        <f>ROUND(AVERAGE(K27:K$31)/100,4)</f>
        <v>1.4200000000000001E-2</v>
      </c>
      <c r="AH27" s="2887">
        <f>ROUND(AVERAGE(L27:L$31)/100,4)</f>
        <v>1.0800000000000001E-2</v>
      </c>
    </row>
    <row r="28" spans="1:34" ht="13.5" thickBot="1">
      <c r="A28" s="2898" t="s">
        <v>954</v>
      </c>
      <c r="B28" s="2927">
        <v>318</v>
      </c>
      <c r="C28" s="2927">
        <v>268</v>
      </c>
      <c r="D28" s="2927">
        <f t="shared" si="131"/>
        <v>268</v>
      </c>
      <c r="E28" s="2927">
        <v>437</v>
      </c>
      <c r="F28" s="2928">
        <v>237</v>
      </c>
      <c r="G28" s="3576">
        <v>2014</v>
      </c>
      <c r="H28" s="2922">
        <v>4</v>
      </c>
      <c r="I28" s="2922">
        <v>0.21</v>
      </c>
      <c r="J28" s="2922">
        <v>0.41</v>
      </c>
      <c r="K28" s="2922">
        <v>0.12</v>
      </c>
      <c r="L28" s="2923">
        <v>0.89</v>
      </c>
      <c r="N28" s="2901">
        <f t="shared" si="133"/>
        <v>2.0999999999999999E-3</v>
      </c>
      <c r="O28" s="2887">
        <f t="shared" si="129"/>
        <v>4.0999999999999995E-3</v>
      </c>
      <c r="P28" s="2887">
        <f t="shared" si="129"/>
        <v>1.1999999999999999E-3</v>
      </c>
      <c r="Q28" s="2887">
        <f t="shared" si="129"/>
        <v>8.8999999999999999E-3</v>
      </c>
      <c r="R28" s="2902"/>
      <c r="S28" s="2911"/>
      <c r="T28" s="2912"/>
      <c r="U28" s="2912"/>
      <c r="V28" s="2912"/>
      <c r="X28" s="2886">
        <f>ROUND(SUMPRODUCT(PRODUCT(1+N28:N$30)),4)</f>
        <v>1.0347</v>
      </c>
      <c r="Y28" s="2886">
        <f>ROUND(SUMPRODUCT(PRODUCT(1+O28:O$30)),4)</f>
        <v>1.0395000000000001</v>
      </c>
      <c r="Z28" s="2886">
        <f t="shared" si="0"/>
        <v>1.0395000000000001</v>
      </c>
      <c r="AA28" s="2886">
        <f>ROUND(SUMPRODUCT(PRODUCT(1+P28:P$30)),4)</f>
        <v>1.0338000000000001</v>
      </c>
      <c r="AB28" s="2886">
        <f>ROUND(SUMPRODUCT(PRODUCT(1+Q28:Q$30)),4)</f>
        <v>1.0316000000000001</v>
      </c>
      <c r="AD28" s="2887">
        <f>ROUND(AVERAGE(I28:I$31)/100,4)</f>
        <v>1.6E-2</v>
      </c>
      <c r="AE28" s="2887">
        <f>ROUND(AVERAGE(J28:J$31)/100,4)</f>
        <v>1.5599999999999999E-2</v>
      </c>
      <c r="AF28" s="2887">
        <f t="shared" si="1"/>
        <v>1.5599999999999999E-2</v>
      </c>
      <c r="AG28" s="2887">
        <f>ROUND(AVERAGE(K28:K$31)/100,4)</f>
        <v>1.66E-2</v>
      </c>
      <c r="AH28" s="2887">
        <f>ROUND(AVERAGE(L28:L$31)/100,4)</f>
        <v>1.12E-2</v>
      </c>
    </row>
    <row r="29" spans="1:34">
      <c r="A29" s="2898" t="s">
        <v>953</v>
      </c>
      <c r="B29" s="2899">
        <f t="shared" ref="B29:C31" si="136">B28/(1+N28)</f>
        <v>317.33359944117353</v>
      </c>
      <c r="C29" s="2899">
        <f t="shared" si="136"/>
        <v>266.90568668459315</v>
      </c>
      <c r="D29" s="2899">
        <f t="shared" si="131"/>
        <v>266.90568668459315</v>
      </c>
      <c r="E29" s="2899">
        <f t="shared" ref="E29:F31" si="137">E28/(1+P28)</f>
        <v>436.47622852576905</v>
      </c>
      <c r="F29" s="2899">
        <f t="shared" si="137"/>
        <v>234.90930716622066</v>
      </c>
      <c r="G29" s="3577"/>
      <c r="H29" s="2929">
        <v>3</v>
      </c>
      <c r="I29" s="2929">
        <v>0.83</v>
      </c>
      <c r="J29" s="2929">
        <v>1.47</v>
      </c>
      <c r="K29" s="2929">
        <v>0.65</v>
      </c>
      <c r="L29" s="2930">
        <v>0.72</v>
      </c>
      <c r="N29" s="2901">
        <f t="shared" si="133"/>
        <v>8.3000000000000001E-3</v>
      </c>
      <c r="O29" s="2887">
        <f t="shared" si="129"/>
        <v>1.47E-2</v>
      </c>
      <c r="P29" s="2887">
        <f t="shared" si="129"/>
        <v>6.5000000000000006E-3</v>
      </c>
      <c r="Q29" s="2887">
        <f t="shared" si="129"/>
        <v>7.1999999999999998E-3</v>
      </c>
      <c r="R29" s="2902"/>
      <c r="S29" s="2901"/>
      <c r="T29" s="2887"/>
      <c r="U29" s="2887"/>
      <c r="V29" s="2887"/>
      <c r="X29" s="2886">
        <f>ROUND(SUMPRODUCT(PRODUCT(1+N29:N$30)),4)</f>
        <v>1.0325</v>
      </c>
      <c r="Y29" s="2886">
        <f>ROUND(SUMPRODUCT(PRODUCT(1+O29:O$30)),4)</f>
        <v>1.0353000000000001</v>
      </c>
      <c r="Z29" s="2886">
        <f t="shared" ref="Z29:Z30" si="138">Y29</f>
        <v>1.0353000000000001</v>
      </c>
      <c r="AA29" s="2886">
        <f>ROUND(SUMPRODUCT(PRODUCT(1+P29:P$30)),4)</f>
        <v>1.0326</v>
      </c>
      <c r="AB29" s="2886">
        <f>ROUND(SUMPRODUCT(PRODUCT(1+Q29:Q$30)),4)</f>
        <v>1.0225</v>
      </c>
      <c r="AD29" s="2887">
        <f>ROUND(AVERAGE(I29:I$31)/100,4)</f>
        <v>2.07E-2</v>
      </c>
      <c r="AE29" s="2887">
        <f>ROUND(AVERAGE(J29:J$31)/100,4)</f>
        <v>1.95E-2</v>
      </c>
      <c r="AF29" s="2887">
        <f t="shared" si="1"/>
        <v>1.95E-2</v>
      </c>
      <c r="AG29" s="2887">
        <f>ROUND(AVERAGE(K29:K$31)/100,4)</f>
        <v>2.1700000000000001E-2</v>
      </c>
      <c r="AH29" s="2887">
        <f>ROUND(AVERAGE(L29:L$31)/100,4)</f>
        <v>1.2E-2</v>
      </c>
    </row>
    <row r="30" spans="1:34" ht="13.5" thickBot="1">
      <c r="A30" s="2898" t="s">
        <v>952</v>
      </c>
      <c r="B30" s="2899">
        <f t="shared" si="136"/>
        <v>314.72141172386546</v>
      </c>
      <c r="C30" s="2899">
        <f t="shared" si="136"/>
        <v>263.03901319069001</v>
      </c>
      <c r="D30" s="2899">
        <f t="shared" si="131"/>
        <v>263.03901319069001</v>
      </c>
      <c r="E30" s="2899">
        <f t="shared" si="137"/>
        <v>433.65745506782821</v>
      </c>
      <c r="F30" s="2899">
        <f t="shared" si="137"/>
        <v>233.23005080045735</v>
      </c>
      <c r="G30" s="3577"/>
      <c r="H30" s="2922">
        <v>2</v>
      </c>
      <c r="I30" s="2922">
        <v>2.4</v>
      </c>
      <c r="J30" s="2922">
        <v>2.0299999999999998</v>
      </c>
      <c r="K30" s="2922">
        <v>2.59</v>
      </c>
      <c r="L30" s="2923">
        <v>1.52</v>
      </c>
      <c r="N30" s="2901">
        <f t="shared" si="133"/>
        <v>2.4E-2</v>
      </c>
      <c r="O30" s="2887">
        <f t="shared" si="129"/>
        <v>2.0299999999999999E-2</v>
      </c>
      <c r="P30" s="2887">
        <f t="shared" si="129"/>
        <v>2.5899999999999999E-2</v>
      </c>
      <c r="Q30" s="2887">
        <f t="shared" si="129"/>
        <v>1.52E-2</v>
      </c>
      <c r="R30" s="2902"/>
      <c r="S30" s="2901"/>
      <c r="T30" s="2887"/>
      <c r="U30" s="2887"/>
      <c r="V30" s="2887"/>
      <c r="X30" s="2886">
        <f>1+N30</f>
        <v>1.024</v>
      </c>
      <c r="Y30" s="2886">
        <f>1+O30</f>
        <v>1.0203</v>
      </c>
      <c r="Z30" s="2886">
        <f t="shared" si="138"/>
        <v>1.0203</v>
      </c>
      <c r="AA30" s="2886">
        <f>1+P30</f>
        <v>1.0259</v>
      </c>
      <c r="AB30" s="2886">
        <f>1+Q30</f>
        <v>1.0152000000000001</v>
      </c>
      <c r="AD30" s="2887">
        <f>ROUND(AVERAGE(I30:I$31)/100,4)</f>
        <v>2.69E-2</v>
      </c>
      <c r="AE30" s="2887">
        <f>ROUND(AVERAGE(J30:J$31)/100,4)</f>
        <v>2.1899999999999999E-2</v>
      </c>
      <c r="AF30" s="2887">
        <f t="shared" ref="AF30" si="139">AE30</f>
        <v>2.1899999999999999E-2</v>
      </c>
      <c r="AG30" s="2887">
        <f>ROUND(AVERAGE(K30:K$31)/100,4)</f>
        <v>2.9399999999999999E-2</v>
      </c>
      <c r="AH30" s="2887">
        <f>ROUND(AVERAGE(L30:L$31)/100,4)</f>
        <v>1.44E-2</v>
      </c>
    </row>
    <row r="31" spans="1:34" s="2935" customFormat="1" ht="13.5" thickBot="1">
      <c r="A31" s="2931" t="s">
        <v>951</v>
      </c>
      <c r="B31" s="2932">
        <f t="shared" si="136"/>
        <v>307.34512863658733</v>
      </c>
      <c r="C31" s="2932">
        <f t="shared" si="136"/>
        <v>257.80556031626975</v>
      </c>
      <c r="D31" s="2932">
        <f t="shared" si="131"/>
        <v>257.80556031626975</v>
      </c>
      <c r="E31" s="2932">
        <f t="shared" si="137"/>
        <v>422.70928459677179</v>
      </c>
      <c r="F31" s="2932">
        <f t="shared" si="137"/>
        <v>229.73803270336617</v>
      </c>
      <c r="G31" s="3578"/>
      <c r="H31" s="2933">
        <v>1</v>
      </c>
      <c r="I31" s="2933">
        <v>2.97</v>
      </c>
      <c r="J31" s="2933">
        <v>2.34</v>
      </c>
      <c r="K31" s="2933">
        <v>3.28</v>
      </c>
      <c r="L31" s="2934">
        <v>1.36</v>
      </c>
      <c r="N31" s="2936">
        <f t="shared" si="133"/>
        <v>2.9700000000000001E-2</v>
      </c>
      <c r="O31" s="2937">
        <f t="shared" si="129"/>
        <v>2.3399999999999997E-2</v>
      </c>
      <c r="P31" s="2937">
        <f t="shared" si="129"/>
        <v>3.2799999999999996E-2</v>
      </c>
      <c r="Q31" s="2937">
        <f t="shared" si="129"/>
        <v>1.3600000000000001E-2</v>
      </c>
      <c r="R31" s="2938"/>
      <c r="S31" s="2939">
        <f>B31/B32-1</f>
        <v>2.7910129219355539E-2</v>
      </c>
      <c r="T31" s="2940">
        <f>C31/C32-1</f>
        <v>2.3037937762975247E-2</v>
      </c>
      <c r="U31" s="2940">
        <f>E31/E32-1</f>
        <v>3.3519033243940788E-2</v>
      </c>
      <c r="V31" s="2940">
        <f>F31/F32-1</f>
        <v>1.2061818076502862E-2</v>
      </c>
      <c r="W31" s="2941" t="s">
        <v>2618</v>
      </c>
      <c r="X31" s="2942">
        <v>1</v>
      </c>
      <c r="Y31" s="2942">
        <v>1</v>
      </c>
      <c r="Z31" s="2942">
        <v>1</v>
      </c>
      <c r="AA31" s="2942">
        <v>1</v>
      </c>
      <c r="AB31" s="2942">
        <v>1</v>
      </c>
      <c r="AD31" s="2937">
        <f>I31/100</f>
        <v>2.9700000000000001E-2</v>
      </c>
      <c r="AE31" s="2937">
        <f>J31/100</f>
        <v>2.3399999999999997E-2</v>
      </c>
      <c r="AF31" s="2937">
        <f>AE31</f>
        <v>2.3399999999999997E-2</v>
      </c>
      <c r="AG31" s="2937">
        <f>K31/100</f>
        <v>3.2799999999999996E-2</v>
      </c>
      <c r="AH31" s="2937">
        <f>L31/100</f>
        <v>1.3600000000000001E-2</v>
      </c>
    </row>
    <row r="32" spans="1:34" ht="13.5" thickBot="1">
      <c r="A32" s="2898" t="s">
        <v>2561</v>
      </c>
      <c r="B32" s="2920">
        <v>299</v>
      </c>
      <c r="C32" s="2920">
        <v>252</v>
      </c>
      <c r="D32" s="2920">
        <f t="shared" si="131"/>
        <v>252</v>
      </c>
      <c r="E32" s="2920">
        <v>409</v>
      </c>
      <c r="F32" s="2921">
        <v>227</v>
      </c>
      <c r="G32" s="3579">
        <v>2013</v>
      </c>
      <c r="H32" s="2943">
        <v>4</v>
      </c>
      <c r="I32" s="2943">
        <v>1.83</v>
      </c>
      <c r="J32" s="2943">
        <v>1.68</v>
      </c>
      <c r="K32" s="2943">
        <v>1.97</v>
      </c>
      <c r="L32" s="2944">
        <v>0.87</v>
      </c>
      <c r="N32" s="2917">
        <f t="shared" si="133"/>
        <v>1.83E-2</v>
      </c>
      <c r="O32" s="2918">
        <f t="shared" si="129"/>
        <v>1.6799999999999999E-2</v>
      </c>
      <c r="P32" s="2918">
        <f t="shared" si="129"/>
        <v>1.9699999999999999E-2</v>
      </c>
      <c r="Q32" s="2918">
        <f t="shared" si="129"/>
        <v>8.6999999999999994E-3</v>
      </c>
      <c r="R32" s="2902"/>
      <c r="S32" s="2911"/>
      <c r="T32" s="2912"/>
      <c r="U32" s="2912"/>
      <c r="V32" s="2912"/>
      <c r="X32" s="2912"/>
      <c r="Y32" s="2912"/>
      <c r="Z32" s="2912"/>
    </row>
    <row r="33" spans="1:26">
      <c r="A33" s="2898" t="s">
        <v>2562</v>
      </c>
      <c r="B33" s="2899">
        <f t="shared" ref="B33:C35" si="140">B32/(1+N32)</f>
        <v>293.62663262299913</v>
      </c>
      <c r="C33" s="2899">
        <f t="shared" si="140"/>
        <v>247.83634933123525</v>
      </c>
      <c r="D33" s="2899">
        <f t="shared" si="131"/>
        <v>247.83634933123525</v>
      </c>
      <c r="E33" s="2899">
        <f t="shared" ref="E33:F35" si="141">E32/(1+P32)</f>
        <v>401.09836226341076</v>
      </c>
      <c r="F33" s="2899">
        <f t="shared" si="141"/>
        <v>225.04213343908003</v>
      </c>
      <c r="G33" s="3580"/>
      <c r="H33" s="2925">
        <v>3</v>
      </c>
      <c r="I33" s="2925">
        <v>1.86</v>
      </c>
      <c r="J33" s="2925">
        <v>1.72</v>
      </c>
      <c r="K33" s="2925">
        <v>1.98</v>
      </c>
      <c r="L33" s="2926">
        <v>0.88</v>
      </c>
      <c r="N33" s="2901">
        <f t="shared" si="133"/>
        <v>1.8600000000000002E-2</v>
      </c>
      <c r="O33" s="2919">
        <f t="shared" si="129"/>
        <v>1.72E-2</v>
      </c>
      <c r="P33" s="2919">
        <f t="shared" si="129"/>
        <v>1.9799999999999998E-2</v>
      </c>
      <c r="Q33" s="2919">
        <f t="shared" si="129"/>
        <v>8.8000000000000005E-3</v>
      </c>
      <c r="R33" s="2902"/>
      <c r="S33" s="2901"/>
      <c r="T33" s="2887"/>
      <c r="U33" s="2887"/>
      <c r="V33" s="2887"/>
    </row>
    <row r="34" spans="1:26">
      <c r="A34" s="2898" t="s">
        <v>2563</v>
      </c>
      <c r="B34" s="2899">
        <f t="shared" si="140"/>
        <v>288.2649053828776</v>
      </c>
      <c r="C34" s="2899">
        <f t="shared" si="140"/>
        <v>243.64564425013293</v>
      </c>
      <c r="D34" s="2899">
        <f t="shared" si="131"/>
        <v>243.64564425013293</v>
      </c>
      <c r="E34" s="2899">
        <f t="shared" si="141"/>
        <v>393.31080825986544</v>
      </c>
      <c r="F34" s="2899">
        <f t="shared" si="141"/>
        <v>223.07903790551154</v>
      </c>
      <c r="G34" s="3580"/>
      <c r="H34" s="2913">
        <v>2</v>
      </c>
      <c r="I34" s="2913">
        <v>2.04</v>
      </c>
      <c r="J34" s="2913">
        <v>2.33</v>
      </c>
      <c r="K34" s="2913">
        <v>2.0699999999999998</v>
      </c>
      <c r="L34" s="2914">
        <v>0.69</v>
      </c>
      <c r="N34" s="2901">
        <f t="shared" si="133"/>
        <v>2.0400000000000001E-2</v>
      </c>
      <c r="O34" s="2919">
        <f t="shared" si="129"/>
        <v>2.3300000000000001E-2</v>
      </c>
      <c r="P34" s="2919">
        <f t="shared" si="129"/>
        <v>2.07E-2</v>
      </c>
      <c r="Q34" s="2919">
        <f t="shared" si="129"/>
        <v>6.8999999999999999E-3</v>
      </c>
      <c r="R34" s="2902"/>
      <c r="S34" s="2901"/>
      <c r="T34" s="2887"/>
      <c r="U34" s="2887"/>
      <c r="V34" s="2887"/>
      <c r="X34" s="2945"/>
      <c r="Y34" s="2946"/>
    </row>
    <row r="35" spans="1:26">
      <c r="A35" s="2898" t="s">
        <v>2564</v>
      </c>
      <c r="B35" s="2899">
        <f t="shared" si="140"/>
        <v>282.50186729015837</v>
      </c>
      <c r="C35" s="2899">
        <f t="shared" si="140"/>
        <v>238.09796174155468</v>
      </c>
      <c r="D35" s="2899">
        <f t="shared" si="131"/>
        <v>238.09796174155468</v>
      </c>
      <c r="E35" s="2899">
        <f t="shared" si="141"/>
        <v>385.33438646014054</v>
      </c>
      <c r="F35" s="2899">
        <f t="shared" si="141"/>
        <v>221.55034055567739</v>
      </c>
      <c r="G35" s="3581"/>
      <c r="H35" s="2900">
        <v>1</v>
      </c>
      <c r="I35" s="2900">
        <v>1.67</v>
      </c>
      <c r="J35" s="2900">
        <v>1.31</v>
      </c>
      <c r="K35" s="2900">
        <v>1.85</v>
      </c>
      <c r="L35" s="2906">
        <v>0.96</v>
      </c>
      <c r="N35" s="2903">
        <f t="shared" si="133"/>
        <v>1.67E-2</v>
      </c>
      <c r="O35" s="2904">
        <f t="shared" si="129"/>
        <v>1.3100000000000001E-2</v>
      </c>
      <c r="P35" s="2904">
        <f t="shared" si="129"/>
        <v>1.8500000000000003E-2</v>
      </c>
      <c r="Q35" s="2904">
        <f t="shared" si="129"/>
        <v>9.5999999999999992E-3</v>
      </c>
      <c r="R35" s="2902"/>
      <c r="S35" s="2903">
        <f>B35/B36-1</f>
        <v>1.6193767230785472E-2</v>
      </c>
      <c r="T35" s="2904">
        <f>C35/C36-1</f>
        <v>1.7512657015190891E-2</v>
      </c>
      <c r="U35" s="2904">
        <f>E35/E36-1</f>
        <v>1.6713420739157048E-2</v>
      </c>
      <c r="V35" s="2904">
        <f>F35/F36-1</f>
        <v>7.0470025258062563E-3</v>
      </c>
      <c r="X35" s="2947"/>
      <c r="Y35" s="2887"/>
      <c r="Z35" s="2887"/>
    </row>
    <row r="36" spans="1:26" ht="13.5" thickBot="1">
      <c r="A36" s="2898" t="s">
        <v>2565</v>
      </c>
      <c r="B36" s="2948">
        <v>278</v>
      </c>
      <c r="C36" s="2948">
        <v>234</v>
      </c>
      <c r="D36" s="2948">
        <f t="shared" si="131"/>
        <v>234</v>
      </c>
      <c r="E36" s="2948">
        <v>379</v>
      </c>
      <c r="F36" s="2949">
        <v>220</v>
      </c>
      <c r="G36" s="3576">
        <v>2012</v>
      </c>
      <c r="H36" s="2922">
        <v>4</v>
      </c>
      <c r="I36" s="2922">
        <v>0.91</v>
      </c>
      <c r="J36" s="2922">
        <v>0.68</v>
      </c>
      <c r="K36" s="2922">
        <v>0.98</v>
      </c>
      <c r="L36" s="2923">
        <v>0.9</v>
      </c>
      <c r="N36" s="2901">
        <f t="shared" si="133"/>
        <v>9.1000000000000004E-3</v>
      </c>
      <c r="O36" s="2887">
        <f t="shared" si="133"/>
        <v>6.8000000000000005E-3</v>
      </c>
      <c r="P36" s="2887">
        <f t="shared" si="133"/>
        <v>9.7999999999999997E-3</v>
      </c>
      <c r="Q36" s="2887">
        <f t="shared" si="133"/>
        <v>9.0000000000000011E-3</v>
      </c>
      <c r="R36" s="2902"/>
      <c r="S36" s="2911"/>
      <c r="T36" s="2912"/>
      <c r="U36" s="2912"/>
      <c r="V36" s="2912"/>
      <c r="X36" s="2912"/>
      <c r="Y36" s="2912"/>
      <c r="Z36" s="2912"/>
    </row>
    <row r="37" spans="1:26">
      <c r="A37" s="2898" t="s">
        <v>2566</v>
      </c>
      <c r="B37" s="2899">
        <f>B36/(1+N36)</f>
        <v>275.49301357645425</v>
      </c>
      <c r="C37" s="2899">
        <f>C36/(1+O36)</f>
        <v>232.41954707985698</v>
      </c>
      <c r="D37" s="2899">
        <f t="shared" si="131"/>
        <v>232.41954707985698</v>
      </c>
      <c r="E37" s="2899">
        <f t="shared" ref="E37:F39" si="142">E36/(1+P36)</f>
        <v>375.32184591008121</v>
      </c>
      <c r="F37" s="2899">
        <f t="shared" si="142"/>
        <v>218.03766105054513</v>
      </c>
      <c r="G37" s="3577"/>
      <c r="H37" s="2925">
        <v>3</v>
      </c>
      <c r="I37" s="2925">
        <v>0.09</v>
      </c>
      <c r="J37" s="2925">
        <v>0.28999999999999998</v>
      </c>
      <c r="K37" s="2925">
        <v>-0.01</v>
      </c>
      <c r="L37" s="2926">
        <v>0.57999999999999996</v>
      </c>
      <c r="N37" s="2901">
        <f t="shared" si="133"/>
        <v>8.9999999999999998E-4</v>
      </c>
      <c r="O37" s="2887">
        <f t="shared" si="133"/>
        <v>2.8999999999999998E-3</v>
      </c>
      <c r="P37" s="2887">
        <f t="shared" si="133"/>
        <v>-1E-4</v>
      </c>
      <c r="Q37" s="2887">
        <f t="shared" si="133"/>
        <v>5.7999999999999996E-3</v>
      </c>
      <c r="R37" s="2902"/>
      <c r="S37" s="2901"/>
      <c r="T37" s="2887"/>
      <c r="U37" s="2887"/>
      <c r="V37" s="2887"/>
    </row>
    <row r="38" spans="1:26">
      <c r="A38" s="2898" t="s">
        <v>2567</v>
      </c>
      <c r="B38" s="2899">
        <f>B37/(1+N37)</f>
        <v>275.24529281292263</v>
      </c>
      <c r="C38" s="2899">
        <f>C37/(1+O37)</f>
        <v>231.74747938962707</v>
      </c>
      <c r="D38" s="2899">
        <f t="shared" si="131"/>
        <v>231.74747938962707</v>
      </c>
      <c r="E38" s="2899">
        <f t="shared" si="142"/>
        <v>375.35938184826603</v>
      </c>
      <c r="F38" s="2899">
        <f t="shared" si="142"/>
        <v>216.78033510692495</v>
      </c>
      <c r="G38" s="3577"/>
      <c r="H38" s="2913">
        <v>2</v>
      </c>
      <c r="I38" s="2913">
        <v>0.02</v>
      </c>
      <c r="J38" s="2913">
        <v>0.12</v>
      </c>
      <c r="K38" s="2913">
        <v>-0.08</v>
      </c>
      <c r="L38" s="2914">
        <v>1.24</v>
      </c>
      <c r="N38" s="2901">
        <f t="shared" si="133"/>
        <v>2.0000000000000001E-4</v>
      </c>
      <c r="O38" s="2887">
        <f t="shared" si="133"/>
        <v>1.1999999999999999E-3</v>
      </c>
      <c r="P38" s="2887">
        <f t="shared" si="133"/>
        <v>-8.0000000000000004E-4</v>
      </c>
      <c r="Q38" s="2887">
        <f t="shared" si="133"/>
        <v>1.24E-2</v>
      </c>
      <c r="R38" s="2902"/>
      <c r="S38" s="2901"/>
      <c r="T38" s="2887"/>
      <c r="U38" s="2887"/>
      <c r="V38" s="2887"/>
    </row>
    <row r="39" spans="1:26" ht="13.5" thickBot="1">
      <c r="A39" s="2898" t="s">
        <v>2568</v>
      </c>
      <c r="B39" s="2899">
        <f>B38/(1+N38)</f>
        <v>275.19025476197027</v>
      </c>
      <c r="C39" s="2950">
        <v>232</v>
      </c>
      <c r="D39" s="2950">
        <f t="shared" si="131"/>
        <v>232</v>
      </c>
      <c r="E39" s="2899">
        <f t="shared" si="142"/>
        <v>375.65990977608692</v>
      </c>
      <c r="F39" s="2899">
        <f t="shared" si="142"/>
        <v>214.12518283971252</v>
      </c>
      <c r="G39" s="3578"/>
      <c r="H39" s="2900">
        <v>1</v>
      </c>
      <c r="I39" s="2900">
        <v>0.02</v>
      </c>
      <c r="J39" s="2900">
        <v>0.13</v>
      </c>
      <c r="K39" s="2900">
        <v>-0.04</v>
      </c>
      <c r="L39" s="2906">
        <v>0.46</v>
      </c>
      <c r="N39" s="2901">
        <f t="shared" si="133"/>
        <v>2.0000000000000001E-4</v>
      </c>
      <c r="O39" s="2887">
        <f t="shared" si="133"/>
        <v>1.2999999999999999E-3</v>
      </c>
      <c r="P39" s="2887">
        <f t="shared" si="133"/>
        <v>-4.0000000000000002E-4</v>
      </c>
      <c r="Q39" s="2887">
        <f t="shared" si="133"/>
        <v>4.5999999999999999E-3</v>
      </c>
      <c r="R39" s="2902"/>
      <c r="S39" s="2903">
        <f>B39/B40-1</f>
        <v>6.9183549807361189E-4</v>
      </c>
      <c r="T39" s="2904">
        <f>C39/C40-1</f>
        <v>0</v>
      </c>
      <c r="U39" s="2904">
        <f>E39/E40-1</f>
        <v>-9.0449527636460303E-4</v>
      </c>
      <c r="V39" s="2904">
        <f>F39/F40-1</f>
        <v>5.2825485432512753E-3</v>
      </c>
      <c r="X39" s="2887"/>
      <c r="Y39" s="2887"/>
      <c r="Z39" s="2887"/>
    </row>
    <row r="40" spans="1:26" ht="13.5" thickBot="1">
      <c r="A40" s="2898" t="s">
        <v>2569</v>
      </c>
      <c r="B40" s="2920">
        <v>275</v>
      </c>
      <c r="C40" s="2920">
        <v>232</v>
      </c>
      <c r="D40" s="2920">
        <f t="shared" si="131"/>
        <v>232</v>
      </c>
      <c r="E40" s="2920">
        <v>376</v>
      </c>
      <c r="F40" s="2921">
        <v>213</v>
      </c>
      <c r="G40" s="3576">
        <v>2011</v>
      </c>
      <c r="H40" s="2922">
        <v>4</v>
      </c>
      <c r="I40" s="2922">
        <v>-0.2</v>
      </c>
      <c r="J40" s="2922">
        <v>0.04</v>
      </c>
      <c r="K40" s="2922">
        <v>-0.34</v>
      </c>
      <c r="L40" s="2923">
        <v>0.46</v>
      </c>
      <c r="N40" s="2917">
        <f t="shared" si="133"/>
        <v>-2E-3</v>
      </c>
      <c r="O40" s="2918">
        <f t="shared" si="133"/>
        <v>4.0000000000000002E-4</v>
      </c>
      <c r="P40" s="2918">
        <f t="shared" si="133"/>
        <v>-3.4000000000000002E-3</v>
      </c>
      <c r="Q40" s="2918">
        <f t="shared" si="133"/>
        <v>4.5999999999999999E-3</v>
      </c>
      <c r="R40" s="2902"/>
      <c r="S40" s="2911"/>
      <c r="T40" s="2912"/>
      <c r="U40" s="2912"/>
      <c r="V40" s="2912"/>
      <c r="X40" s="2912"/>
      <c r="Y40" s="2912"/>
      <c r="Z40" s="2912"/>
    </row>
    <row r="41" spans="1:26">
      <c r="A41" s="2898" t="s">
        <v>2570</v>
      </c>
      <c r="B41" s="2899">
        <f t="shared" ref="B41:C43" si="143">B40/(1+N40)</f>
        <v>275.55110220440883</v>
      </c>
      <c r="C41" s="2899">
        <f t="shared" si="143"/>
        <v>231.90723710515795</v>
      </c>
      <c r="D41" s="2899">
        <f t="shared" si="131"/>
        <v>231.90723710515795</v>
      </c>
      <c r="E41" s="2899">
        <f t="shared" ref="E41:F43" si="144">E40/(1+P40)</f>
        <v>377.28276138872161</v>
      </c>
      <c r="F41" s="2899">
        <f t="shared" si="144"/>
        <v>212.02468644236512</v>
      </c>
      <c r="G41" s="3577">
        <v>2011</v>
      </c>
      <c r="H41" s="2925">
        <v>3</v>
      </c>
      <c r="I41" s="2925">
        <v>0.13</v>
      </c>
      <c r="J41" s="2925">
        <v>0.75</v>
      </c>
      <c r="K41" s="2925">
        <v>-0.08</v>
      </c>
      <c r="L41" s="2926">
        <v>0.53</v>
      </c>
      <c r="N41" s="2901">
        <f t="shared" si="133"/>
        <v>1.2999999999999999E-3</v>
      </c>
      <c r="O41" s="2919">
        <f t="shared" si="133"/>
        <v>7.4999999999999997E-3</v>
      </c>
      <c r="P41" s="2919">
        <f t="shared" si="133"/>
        <v>-8.0000000000000004E-4</v>
      </c>
      <c r="Q41" s="2919">
        <f t="shared" si="133"/>
        <v>5.3E-3</v>
      </c>
      <c r="R41" s="2902"/>
      <c r="S41" s="2901"/>
      <c r="T41" s="2887"/>
      <c r="U41" s="2887"/>
      <c r="V41" s="2887"/>
    </row>
    <row r="42" spans="1:26">
      <c r="A42" s="2898" t="s">
        <v>2571</v>
      </c>
      <c r="B42" s="2899">
        <f t="shared" si="143"/>
        <v>275.19335084830601</v>
      </c>
      <c r="C42" s="2899">
        <f t="shared" si="143"/>
        <v>230.18088050139744</v>
      </c>
      <c r="D42" s="2899">
        <f t="shared" si="131"/>
        <v>230.18088050139744</v>
      </c>
      <c r="E42" s="2899">
        <f t="shared" si="144"/>
        <v>377.58482925212331</v>
      </c>
      <c r="F42" s="2899">
        <f t="shared" si="144"/>
        <v>210.90687997847917</v>
      </c>
      <c r="G42" s="3577">
        <v>2011</v>
      </c>
      <c r="H42" s="2913">
        <v>2</v>
      </c>
      <c r="I42" s="2913">
        <v>-0.4</v>
      </c>
      <c r="J42" s="2913">
        <v>0.17</v>
      </c>
      <c r="K42" s="2913">
        <v>-0.57999999999999996</v>
      </c>
      <c r="L42" s="2914">
        <v>-0.2</v>
      </c>
      <c r="N42" s="2901">
        <f t="shared" si="133"/>
        <v>-4.0000000000000001E-3</v>
      </c>
      <c r="O42" s="2919">
        <f t="shared" si="133"/>
        <v>1.7000000000000001E-3</v>
      </c>
      <c r="P42" s="2919">
        <f t="shared" si="133"/>
        <v>-5.7999999999999996E-3</v>
      </c>
      <c r="Q42" s="2919">
        <f t="shared" si="133"/>
        <v>-2E-3</v>
      </c>
      <c r="R42" s="2902"/>
      <c r="S42" s="2901"/>
      <c r="T42" s="2887"/>
      <c r="U42" s="2887"/>
      <c r="V42" s="2887"/>
    </row>
    <row r="43" spans="1:26" ht="13.5" thickBot="1">
      <c r="A43" s="2898" t="s">
        <v>2572</v>
      </c>
      <c r="B43" s="2899">
        <f t="shared" si="143"/>
        <v>276.29854502841971</v>
      </c>
      <c r="C43" s="2899">
        <f t="shared" si="143"/>
        <v>229.79023709833027</v>
      </c>
      <c r="D43" s="2899">
        <f t="shared" si="131"/>
        <v>229.79023709833027</v>
      </c>
      <c r="E43" s="2899">
        <f t="shared" si="144"/>
        <v>379.78759731655936</v>
      </c>
      <c r="F43" s="2899">
        <f t="shared" si="144"/>
        <v>211.32953905659235</v>
      </c>
      <c r="G43" s="3578">
        <v>2011</v>
      </c>
      <c r="H43" s="2900">
        <v>1</v>
      </c>
      <c r="I43" s="2900">
        <v>2.65</v>
      </c>
      <c r="J43" s="2900">
        <v>3.76</v>
      </c>
      <c r="K43" s="2900">
        <v>1.89</v>
      </c>
      <c r="L43" s="2906">
        <v>7.95</v>
      </c>
      <c r="N43" s="2903">
        <f t="shared" si="133"/>
        <v>2.6499999999999999E-2</v>
      </c>
      <c r="O43" s="2904">
        <f t="shared" si="133"/>
        <v>3.7599999999999995E-2</v>
      </c>
      <c r="P43" s="2904">
        <f t="shared" si="133"/>
        <v>1.89E-2</v>
      </c>
      <c r="Q43" s="2904">
        <f t="shared" si="133"/>
        <v>7.9500000000000001E-2</v>
      </c>
      <c r="R43" s="2902"/>
      <c r="S43" s="2903">
        <f>B43/B44-1</f>
        <v>2.713213765211786E-2</v>
      </c>
      <c r="T43" s="2904">
        <f>C43/C44-1</f>
        <v>3.9774828499231862E-2</v>
      </c>
      <c r="U43" s="2904">
        <f>E43/E44-1</f>
        <v>1.8197311840641772E-2</v>
      </c>
      <c r="V43" s="2904">
        <f>F43/F44-1</f>
        <v>7.8211933962205826E-2</v>
      </c>
      <c r="X43" s="2887"/>
      <c r="Y43" s="2887"/>
      <c r="Z43" s="2887"/>
    </row>
    <row r="44" spans="1:26" ht="13.5" thickBot="1">
      <c r="A44" s="2898" t="s">
        <v>2573</v>
      </c>
      <c r="B44" s="2920">
        <v>269</v>
      </c>
      <c r="C44" s="2920">
        <v>221</v>
      </c>
      <c r="D44" s="2920">
        <f t="shared" si="131"/>
        <v>221</v>
      </c>
      <c r="E44" s="2920">
        <v>373</v>
      </c>
      <c r="F44" s="2921">
        <v>196</v>
      </c>
      <c r="G44" s="3576">
        <v>2010</v>
      </c>
      <c r="H44" s="2922">
        <v>4</v>
      </c>
      <c r="I44" s="2922">
        <v>5.72</v>
      </c>
      <c r="J44" s="2922">
        <v>6.57</v>
      </c>
      <c r="K44" s="2922">
        <v>5.72</v>
      </c>
      <c r="L44" s="2923">
        <v>2.72</v>
      </c>
      <c r="N44" s="2901">
        <f t="shared" si="133"/>
        <v>5.7200000000000001E-2</v>
      </c>
      <c r="O44" s="2887">
        <f t="shared" si="133"/>
        <v>6.5700000000000008E-2</v>
      </c>
      <c r="P44" s="2887">
        <f t="shared" si="133"/>
        <v>5.7200000000000001E-2</v>
      </c>
      <c r="Q44" s="2887">
        <f t="shared" si="133"/>
        <v>2.7200000000000002E-2</v>
      </c>
      <c r="R44" s="2902"/>
      <c r="S44" s="2911"/>
      <c r="T44" s="2912"/>
      <c r="U44" s="2912"/>
      <c r="V44" s="2912"/>
      <c r="X44" s="2912"/>
      <c r="Y44" s="2912"/>
      <c r="Z44" s="2912"/>
    </row>
    <row r="45" spans="1:26">
      <c r="A45" s="2898" t="s">
        <v>2574</v>
      </c>
      <c r="B45" s="2899">
        <f t="shared" ref="B45:C47" si="145">B44/(1+N44)</f>
        <v>254.44570563753314</v>
      </c>
      <c r="C45" s="2899">
        <f t="shared" si="145"/>
        <v>207.37543398705074</v>
      </c>
      <c r="D45" s="2899">
        <f t="shared" si="131"/>
        <v>207.37543398705074</v>
      </c>
      <c r="E45" s="2899">
        <f t="shared" ref="E45:F47" si="146">E44/(1+P44)</f>
        <v>352.81876655315932</v>
      </c>
      <c r="F45" s="2899">
        <f t="shared" si="146"/>
        <v>190.809968847352</v>
      </c>
      <c r="G45" s="3577">
        <v>2010</v>
      </c>
      <c r="H45" s="2925">
        <v>3</v>
      </c>
      <c r="I45" s="2925">
        <v>4.7300000000000004</v>
      </c>
      <c r="J45" s="2925">
        <v>3.9</v>
      </c>
      <c r="K45" s="2925">
        <v>5.03</v>
      </c>
      <c r="L45" s="2926">
        <v>4.21</v>
      </c>
      <c r="N45" s="2901">
        <f t="shared" si="133"/>
        <v>4.7300000000000002E-2</v>
      </c>
      <c r="O45" s="2887">
        <f t="shared" si="133"/>
        <v>3.9E-2</v>
      </c>
      <c r="P45" s="2887">
        <f t="shared" si="133"/>
        <v>5.0300000000000004E-2</v>
      </c>
      <c r="Q45" s="2887">
        <f t="shared" si="133"/>
        <v>4.2099999999999999E-2</v>
      </c>
      <c r="R45" s="2902"/>
      <c r="S45" s="2901"/>
      <c r="T45" s="2887"/>
      <c r="U45" s="2887"/>
      <c r="V45" s="2887"/>
    </row>
    <row r="46" spans="1:26">
      <c r="A46" s="2898" t="s">
        <v>2575</v>
      </c>
      <c r="B46" s="2899">
        <f t="shared" si="145"/>
        <v>242.95398227588385</v>
      </c>
      <c r="C46" s="2899">
        <f t="shared" si="145"/>
        <v>199.59137053614126</v>
      </c>
      <c r="D46" s="2899">
        <f t="shared" si="131"/>
        <v>199.59137053614126</v>
      </c>
      <c r="E46" s="2899">
        <f t="shared" si="146"/>
        <v>335.92189522342125</v>
      </c>
      <c r="F46" s="2899">
        <f t="shared" si="146"/>
        <v>183.10139991109489</v>
      </c>
      <c r="G46" s="3577">
        <v>2010</v>
      </c>
      <c r="H46" s="2913">
        <v>2</v>
      </c>
      <c r="I46" s="2913">
        <v>4.6900000000000004</v>
      </c>
      <c r="J46" s="2913">
        <v>3.55</v>
      </c>
      <c r="K46" s="2913">
        <v>5.07</v>
      </c>
      <c r="L46" s="2914">
        <v>4.2300000000000004</v>
      </c>
      <c r="N46" s="2901">
        <f t="shared" si="133"/>
        <v>4.6900000000000004E-2</v>
      </c>
      <c r="O46" s="2887">
        <f t="shared" si="133"/>
        <v>3.5499999999999997E-2</v>
      </c>
      <c r="P46" s="2887">
        <f t="shared" si="133"/>
        <v>5.0700000000000002E-2</v>
      </c>
      <c r="Q46" s="2887">
        <f t="shared" si="133"/>
        <v>4.2300000000000004E-2</v>
      </c>
      <c r="R46" s="2902"/>
      <c r="S46" s="2901"/>
      <c r="T46" s="2887"/>
      <c r="U46" s="2887"/>
      <c r="V46" s="2887"/>
    </row>
    <row r="47" spans="1:26" ht="13.5" thickBot="1">
      <c r="A47" s="2898" t="s">
        <v>2576</v>
      </c>
      <c r="B47" s="2899">
        <f t="shared" si="145"/>
        <v>232.06990378821649</v>
      </c>
      <c r="C47" s="2899">
        <f t="shared" si="145"/>
        <v>192.74878854286936</v>
      </c>
      <c r="D47" s="2899">
        <f t="shared" si="131"/>
        <v>192.74878854286936</v>
      </c>
      <c r="E47" s="2899">
        <f t="shared" si="146"/>
        <v>319.71247284992984</v>
      </c>
      <c r="F47" s="2899">
        <f t="shared" si="146"/>
        <v>175.67053622862409</v>
      </c>
      <c r="G47" s="3578">
        <v>2010</v>
      </c>
      <c r="H47" s="2900">
        <v>1</v>
      </c>
      <c r="I47" s="2900">
        <v>5.4</v>
      </c>
      <c r="J47" s="2900">
        <v>3.2</v>
      </c>
      <c r="K47" s="2900">
        <v>6.16</v>
      </c>
      <c r="L47" s="2906">
        <v>4.51</v>
      </c>
      <c r="N47" s="2901">
        <f t="shared" si="133"/>
        <v>5.4000000000000006E-2</v>
      </c>
      <c r="O47" s="2887">
        <f t="shared" si="133"/>
        <v>3.2000000000000001E-2</v>
      </c>
      <c r="P47" s="2887">
        <f t="shared" si="133"/>
        <v>6.1600000000000002E-2</v>
      </c>
      <c r="Q47" s="2887">
        <f t="shared" si="133"/>
        <v>4.5100000000000001E-2</v>
      </c>
      <c r="R47" s="2902"/>
      <c r="S47" s="2903">
        <f>B47/B48-1</f>
        <v>5.4863199037347599E-2</v>
      </c>
      <c r="T47" s="2904">
        <f>C47/C48-1</f>
        <v>3.0742184721226584E-2</v>
      </c>
      <c r="U47" s="2904">
        <f>E47/E48-1</f>
        <v>6.2167683886810154E-2</v>
      </c>
      <c r="V47" s="2904">
        <f>F47/F48-1</f>
        <v>4.5657953741810031E-2</v>
      </c>
      <c r="X47" s="2887"/>
      <c r="Y47" s="2887"/>
      <c r="Z47" s="2887"/>
    </row>
    <row r="48" spans="1:26" ht="13.5" thickBot="1">
      <c r="A48" s="2898" t="s">
        <v>2577</v>
      </c>
      <c r="B48" s="2920">
        <v>220</v>
      </c>
      <c r="C48" s="2920">
        <v>187</v>
      </c>
      <c r="D48" s="2920">
        <f t="shared" si="131"/>
        <v>187</v>
      </c>
      <c r="E48" s="2920">
        <v>301</v>
      </c>
      <c r="F48" s="2921">
        <v>168</v>
      </c>
      <c r="G48" s="3576">
        <v>2009</v>
      </c>
      <c r="H48" s="2922">
        <v>4</v>
      </c>
      <c r="I48" s="2922">
        <v>2.2999999999999998</v>
      </c>
      <c r="J48" s="2922">
        <v>1.04</v>
      </c>
      <c r="K48" s="2922">
        <v>2.84</v>
      </c>
      <c r="L48" s="2923">
        <v>0.67</v>
      </c>
      <c r="N48" s="2917">
        <f t="shared" si="133"/>
        <v>2.3E-2</v>
      </c>
      <c r="O48" s="2918">
        <f t="shared" si="133"/>
        <v>1.04E-2</v>
      </c>
      <c r="P48" s="2918">
        <f t="shared" si="133"/>
        <v>2.8399999999999998E-2</v>
      </c>
      <c r="Q48" s="2918">
        <f t="shared" si="133"/>
        <v>6.7000000000000002E-3</v>
      </c>
      <c r="R48" s="2902"/>
      <c r="S48" s="2911"/>
      <c r="T48" s="2912"/>
      <c r="U48" s="2912"/>
      <c r="V48" s="2912"/>
      <c r="X48" s="2912"/>
      <c r="Y48" s="2912"/>
      <c r="Z48" s="2912"/>
    </row>
    <row r="49" spans="1:26">
      <c r="A49" s="2898" t="s">
        <v>2578</v>
      </c>
      <c r="B49" s="2899">
        <f t="shared" ref="B49:C51" si="147">B48/(1+N48)</f>
        <v>215.05376344086022</v>
      </c>
      <c r="C49" s="2899">
        <f t="shared" si="147"/>
        <v>185.0752177355503</v>
      </c>
      <c r="D49" s="2899">
        <f t="shared" si="131"/>
        <v>185.0752177355503</v>
      </c>
      <c r="E49" s="2899">
        <f t="shared" ref="E49:F51" si="148">E48/(1+P48)</f>
        <v>292.68767016725008</v>
      </c>
      <c r="F49" s="2899">
        <f t="shared" si="148"/>
        <v>166.88189132810174</v>
      </c>
      <c r="G49" s="3577">
        <v>2009</v>
      </c>
      <c r="H49" s="2925">
        <v>3</v>
      </c>
      <c r="I49" s="2925">
        <v>2.1</v>
      </c>
      <c r="J49" s="2925">
        <v>1.86</v>
      </c>
      <c r="K49" s="2925">
        <v>2.29</v>
      </c>
      <c r="L49" s="2926">
        <v>0.85</v>
      </c>
      <c r="N49" s="2901">
        <f t="shared" si="133"/>
        <v>2.1000000000000001E-2</v>
      </c>
      <c r="O49" s="2919">
        <f t="shared" si="133"/>
        <v>1.8600000000000002E-2</v>
      </c>
      <c r="P49" s="2919">
        <f t="shared" si="133"/>
        <v>2.29E-2</v>
      </c>
      <c r="Q49" s="2919">
        <f t="shared" si="133"/>
        <v>8.5000000000000006E-3</v>
      </c>
      <c r="R49" s="2902"/>
      <c r="S49" s="2901"/>
      <c r="T49" s="2887"/>
      <c r="U49" s="2887"/>
      <c r="V49" s="2887"/>
    </row>
    <row r="50" spans="1:26">
      <c r="A50" s="2898" t="s">
        <v>2579</v>
      </c>
      <c r="B50" s="2899">
        <f t="shared" si="147"/>
        <v>210.630522469011</v>
      </c>
      <c r="C50" s="2899">
        <f t="shared" si="147"/>
        <v>181.69567812247232</v>
      </c>
      <c r="D50" s="2899">
        <f t="shared" si="131"/>
        <v>181.69567812247232</v>
      </c>
      <c r="E50" s="2899">
        <f t="shared" si="148"/>
        <v>286.13517466736738</v>
      </c>
      <c r="F50" s="2899">
        <f t="shared" si="148"/>
        <v>165.47535084591149</v>
      </c>
      <c r="G50" s="3577">
        <v>2009</v>
      </c>
      <c r="H50" s="2913">
        <v>2</v>
      </c>
      <c r="I50" s="2913">
        <v>0.86</v>
      </c>
      <c r="J50" s="2913">
        <v>-1.1299999999999999</v>
      </c>
      <c r="K50" s="2913">
        <v>1.79</v>
      </c>
      <c r="L50" s="2914">
        <v>-2.0699999999999998</v>
      </c>
      <c r="N50" s="2901">
        <f t="shared" si="133"/>
        <v>8.6E-3</v>
      </c>
      <c r="O50" s="2919">
        <f t="shared" si="133"/>
        <v>-1.1299999999999999E-2</v>
      </c>
      <c r="P50" s="2919">
        <f t="shared" si="133"/>
        <v>1.7899999999999999E-2</v>
      </c>
      <c r="Q50" s="2919">
        <f t="shared" si="133"/>
        <v>-2.07E-2</v>
      </c>
      <c r="R50" s="2902"/>
      <c r="S50" s="2901"/>
      <c r="T50" s="2887"/>
      <c r="U50" s="2887"/>
      <c r="V50" s="2887"/>
    </row>
    <row r="51" spans="1:26">
      <c r="A51" s="2898" t="s">
        <v>2580</v>
      </c>
      <c r="B51" s="2899">
        <f t="shared" si="147"/>
        <v>208.83454537875372</v>
      </c>
      <c r="C51" s="2899">
        <f t="shared" si="147"/>
        <v>183.77230517090351</v>
      </c>
      <c r="D51" s="2899">
        <f t="shared" si="131"/>
        <v>183.77230517090351</v>
      </c>
      <c r="E51" s="2899">
        <f t="shared" si="148"/>
        <v>281.10342338870947</v>
      </c>
      <c r="F51" s="2899">
        <f t="shared" si="148"/>
        <v>168.97309388942256</v>
      </c>
      <c r="G51" s="3578">
        <v>2009</v>
      </c>
      <c r="H51" s="2900">
        <v>1</v>
      </c>
      <c r="I51" s="2900">
        <v>-2.64</v>
      </c>
      <c r="J51" s="2900">
        <v>-2.5299999999999998</v>
      </c>
      <c r="K51" s="2900">
        <v>-3.02</v>
      </c>
      <c r="L51" s="2906">
        <v>1.52</v>
      </c>
      <c r="N51" s="2903">
        <f t="shared" si="133"/>
        <v>-2.64E-2</v>
      </c>
      <c r="O51" s="2904">
        <f t="shared" si="133"/>
        <v>-2.53E-2</v>
      </c>
      <c r="P51" s="2904">
        <f t="shared" si="133"/>
        <v>-3.0200000000000001E-2</v>
      </c>
      <c r="Q51" s="2904">
        <f t="shared" si="133"/>
        <v>1.52E-2</v>
      </c>
      <c r="R51" s="2902"/>
      <c r="S51" s="2903">
        <f>B51/B52-1</f>
        <v>-2.4137638417038754E-2</v>
      </c>
      <c r="T51" s="2904">
        <f>C51/C52-1</f>
        <v>-2.248773845264096E-2</v>
      </c>
      <c r="U51" s="2904">
        <f>E51/E52-1</f>
        <v>-2.7323794502735366E-2</v>
      </c>
      <c r="V51" s="2904">
        <f>F51/F52-1</f>
        <v>1.7910204153148035E-2</v>
      </c>
      <c r="X51" s="2887"/>
      <c r="Y51" s="2887"/>
      <c r="Z51" s="2887"/>
    </row>
    <row r="52" spans="1:26" ht="13.5" thickBot="1">
      <c r="A52" s="2898" t="s">
        <v>2581</v>
      </c>
      <c r="B52" s="2948">
        <v>214</v>
      </c>
      <c r="C52" s="2948">
        <v>188</v>
      </c>
      <c r="D52" s="2948">
        <f t="shared" si="131"/>
        <v>188</v>
      </c>
      <c r="E52" s="2948">
        <v>289</v>
      </c>
      <c r="F52" s="2949">
        <v>166</v>
      </c>
      <c r="G52" s="3576">
        <v>2008</v>
      </c>
      <c r="H52" s="2922">
        <v>4</v>
      </c>
      <c r="I52" s="2922">
        <v>1.73</v>
      </c>
      <c r="J52" s="2922">
        <v>0.03</v>
      </c>
      <c r="K52" s="2922">
        <v>2.59</v>
      </c>
      <c r="L52" s="2923">
        <v>-1.66</v>
      </c>
      <c r="N52" s="2901">
        <f t="shared" si="133"/>
        <v>1.7299999999999999E-2</v>
      </c>
      <c r="O52" s="2887">
        <f t="shared" si="133"/>
        <v>2.9999999999999997E-4</v>
      </c>
      <c r="P52" s="2887">
        <f t="shared" si="133"/>
        <v>2.5899999999999999E-2</v>
      </c>
      <c r="Q52" s="2887">
        <f t="shared" si="133"/>
        <v>-1.66E-2</v>
      </c>
      <c r="R52" s="2902"/>
      <c r="S52" s="2911"/>
      <c r="T52" s="2912"/>
      <c r="U52" s="2912"/>
      <c r="V52" s="2912"/>
      <c r="X52" s="2912"/>
      <c r="Y52" s="2912"/>
      <c r="Z52" s="2912"/>
    </row>
    <row r="53" spans="1:26">
      <c r="A53" s="2898" t="s">
        <v>2582</v>
      </c>
      <c r="B53" s="2899">
        <f t="shared" ref="B53:C55" si="149">B52/(1+N52)</f>
        <v>210.36075887152265</v>
      </c>
      <c r="C53" s="2899">
        <f t="shared" si="149"/>
        <v>187.94361691492554</v>
      </c>
      <c r="D53" s="2899">
        <f t="shared" si="131"/>
        <v>187.94361691492554</v>
      </c>
      <c r="E53" s="2899">
        <f t="shared" ref="E53:F55" si="150">E52/(1+P52)</f>
        <v>281.70386977288234</v>
      </c>
      <c r="F53" s="2899">
        <f t="shared" si="150"/>
        <v>168.80211511083994</v>
      </c>
      <c r="G53" s="3577">
        <v>2008</v>
      </c>
      <c r="H53" s="2925">
        <v>3</v>
      </c>
      <c r="I53" s="2925">
        <v>1.96</v>
      </c>
      <c r="J53" s="2925">
        <v>2.36</v>
      </c>
      <c r="K53" s="2925">
        <v>1.82</v>
      </c>
      <c r="L53" s="2926">
        <v>2.2200000000000002</v>
      </c>
      <c r="N53" s="2901">
        <f t="shared" si="133"/>
        <v>1.9599999999999999E-2</v>
      </c>
      <c r="O53" s="2887">
        <f t="shared" si="133"/>
        <v>2.3599999999999999E-2</v>
      </c>
      <c r="P53" s="2887">
        <f t="shared" si="133"/>
        <v>1.8200000000000001E-2</v>
      </c>
      <c r="Q53" s="2887">
        <f t="shared" si="133"/>
        <v>2.2200000000000001E-2</v>
      </c>
      <c r="R53" s="2902"/>
      <c r="S53" s="2901"/>
      <c r="T53" s="2887"/>
      <c r="U53" s="2887"/>
      <c r="V53" s="2887"/>
    </row>
    <row r="54" spans="1:26">
      <c r="A54" s="2898" t="s">
        <v>2583</v>
      </c>
      <c r="B54" s="2899">
        <f t="shared" si="149"/>
        <v>206.31694671589116</v>
      </c>
      <c r="C54" s="2899">
        <f t="shared" si="149"/>
        <v>183.61041121036101</v>
      </c>
      <c r="D54" s="2899">
        <f t="shared" si="131"/>
        <v>183.61041121036101</v>
      </c>
      <c r="E54" s="2899">
        <f t="shared" si="150"/>
        <v>276.66850301795557</v>
      </c>
      <c r="F54" s="2899">
        <f t="shared" si="150"/>
        <v>165.1360938278614</v>
      </c>
      <c r="G54" s="3577">
        <v>2008</v>
      </c>
      <c r="H54" s="2913">
        <v>2</v>
      </c>
      <c r="I54" s="2913">
        <v>4.93</v>
      </c>
      <c r="J54" s="2913">
        <v>7.38</v>
      </c>
      <c r="K54" s="2913">
        <v>3.98</v>
      </c>
      <c r="L54" s="2914">
        <v>6.86</v>
      </c>
      <c r="N54" s="2901">
        <f t="shared" si="133"/>
        <v>4.9299999999999997E-2</v>
      </c>
      <c r="O54" s="2887">
        <f t="shared" si="133"/>
        <v>7.3800000000000004E-2</v>
      </c>
      <c r="P54" s="2887">
        <f t="shared" si="133"/>
        <v>3.9800000000000002E-2</v>
      </c>
      <c r="Q54" s="2887">
        <f t="shared" si="133"/>
        <v>6.8600000000000008E-2</v>
      </c>
      <c r="R54" s="2902"/>
      <c r="S54" s="2901"/>
      <c r="T54" s="2887"/>
      <c r="U54" s="2887"/>
      <c r="V54" s="2887"/>
    </row>
    <row r="55" spans="1:26" s="2954" customFormat="1" ht="13.5" thickBot="1">
      <c r="A55" s="2898" t="s">
        <v>2584</v>
      </c>
      <c r="B55" s="2951">
        <f t="shared" si="149"/>
        <v>196.62341248059772</v>
      </c>
      <c r="C55" s="2951">
        <f t="shared" si="149"/>
        <v>170.99125648199012</v>
      </c>
      <c r="D55" s="2951">
        <f t="shared" si="131"/>
        <v>170.99125648199012</v>
      </c>
      <c r="E55" s="2951">
        <f t="shared" si="150"/>
        <v>266.07857570490052</v>
      </c>
      <c r="F55" s="2951">
        <f t="shared" si="150"/>
        <v>154.53499328828505</v>
      </c>
      <c r="G55" s="3578">
        <v>2008</v>
      </c>
      <c r="H55" s="2952">
        <v>1</v>
      </c>
      <c r="I55" s="2952">
        <v>4.1399999999999997</v>
      </c>
      <c r="J55" s="2952">
        <v>3.45</v>
      </c>
      <c r="K55" s="2952">
        <v>4.95</v>
      </c>
      <c r="L55" s="2953">
        <v>4.82</v>
      </c>
      <c r="N55" s="2955">
        <f t="shared" si="133"/>
        <v>4.1399999999999999E-2</v>
      </c>
      <c r="O55" s="2956">
        <f t="shared" si="133"/>
        <v>3.4500000000000003E-2</v>
      </c>
      <c r="P55" s="2956">
        <f t="shared" si="133"/>
        <v>4.9500000000000002E-2</v>
      </c>
      <c r="Q55" s="2956">
        <f t="shared" si="133"/>
        <v>4.82E-2</v>
      </c>
      <c r="R55" s="2957"/>
      <c r="S55" s="2955">
        <f>B55/B56-1</f>
        <v>4.5869215322328349E-2</v>
      </c>
      <c r="T55" s="2956">
        <f>C55/C56-1</f>
        <v>3.6310645345394743E-2</v>
      </c>
      <c r="U55" s="2956">
        <f>E55/E56-1</f>
        <v>4.7553447657088688E-2</v>
      </c>
      <c r="V55" s="2956">
        <f>F55/F56-1</f>
        <v>4.4155360055980086E-2</v>
      </c>
      <c r="X55" s="2956"/>
      <c r="Y55" s="2956"/>
      <c r="Z55" s="2956"/>
    </row>
    <row r="56" spans="1:26" ht="13.5" thickBot="1">
      <c r="A56" s="2898" t="s">
        <v>2585</v>
      </c>
      <c r="B56" s="2920">
        <v>188</v>
      </c>
      <c r="C56" s="2920">
        <v>165</v>
      </c>
      <c r="D56" s="2920">
        <f t="shared" si="131"/>
        <v>165</v>
      </c>
      <c r="E56" s="2920">
        <v>254</v>
      </c>
      <c r="F56" s="2921">
        <v>148</v>
      </c>
      <c r="G56" s="3576">
        <v>2007</v>
      </c>
      <c r="H56" s="2958">
        <v>4</v>
      </c>
      <c r="I56" s="2958">
        <v>5.51</v>
      </c>
      <c r="J56" s="2958">
        <v>4.8899999999999997</v>
      </c>
      <c r="K56" s="2958">
        <v>6.43</v>
      </c>
      <c r="L56" s="2959">
        <v>5.36</v>
      </c>
      <c r="N56" s="2960">
        <f t="shared" ref="N56:O59" si="151">B56/B57-1</f>
        <v>4.1339718365245526E-2</v>
      </c>
      <c r="O56" s="2961">
        <f t="shared" si="151"/>
        <v>4.0324492593776018E-2</v>
      </c>
      <c r="P56" s="2961">
        <f t="shared" ref="P56:Q59" si="152">E56/E57-1</f>
        <v>6.1625555347990968E-2</v>
      </c>
      <c r="Q56" s="2961">
        <f t="shared" si="152"/>
        <v>4.6757569250590603E-2</v>
      </c>
      <c r="R56" s="2902"/>
      <c r="S56" s="2911"/>
      <c r="T56" s="2912"/>
      <c r="U56" s="2912"/>
      <c r="V56" s="2912"/>
      <c r="X56" s="2912"/>
      <c r="Y56" s="2912"/>
      <c r="Z56" s="2912"/>
    </row>
    <row r="57" spans="1:26">
      <c r="A57" s="2898" t="s">
        <v>2586</v>
      </c>
      <c r="B57" s="2899">
        <f t="shared" ref="B57:C59" si="153">B58+(B$56-B$60)*I57/SUM(I$56:I$59)</f>
        <v>180.5366651097618</v>
      </c>
      <c r="C57" s="2899">
        <f t="shared" si="153"/>
        <v>158.60435967302453</v>
      </c>
      <c r="D57" s="2899">
        <f t="shared" si="131"/>
        <v>158.60435967302453</v>
      </c>
      <c r="E57" s="2899">
        <f t="shared" ref="E57:F59" si="154">E58+(E$56-E$60)*K57/SUM(K$56:K$59)</f>
        <v>239.25573260785075</v>
      </c>
      <c r="F57" s="2899">
        <f t="shared" si="154"/>
        <v>141.38899430740037</v>
      </c>
      <c r="G57" s="3577">
        <v>2007</v>
      </c>
      <c r="H57" s="2925">
        <v>3</v>
      </c>
      <c r="I57" s="2925">
        <v>8.65</v>
      </c>
      <c r="J57" s="2925">
        <v>8.06</v>
      </c>
      <c r="K57" s="2925">
        <v>9.94</v>
      </c>
      <c r="L57" s="2926">
        <v>5.8</v>
      </c>
      <c r="N57" s="2960">
        <f t="shared" si="151"/>
        <v>6.940217571740015E-2</v>
      </c>
      <c r="O57" s="2961">
        <f t="shared" si="151"/>
        <v>7.1197482471153428E-2</v>
      </c>
      <c r="P57" s="2961">
        <f t="shared" si="152"/>
        <v>0.10529679922579582</v>
      </c>
      <c r="Q57" s="2961">
        <f t="shared" si="152"/>
        <v>5.3292245059512133E-2</v>
      </c>
      <c r="R57" s="2902"/>
      <c r="S57" s="2901"/>
      <c r="T57" s="2887"/>
      <c r="U57" s="2887"/>
      <c r="V57" s="2887"/>
      <c r="X57" s="2962"/>
      <c r="Y57" s="2962"/>
      <c r="Z57" s="2962"/>
    </row>
    <row r="58" spans="1:26">
      <c r="A58" s="2898" t="s">
        <v>2587</v>
      </c>
      <c r="B58" s="2899">
        <f t="shared" si="153"/>
        <v>168.82017748715555</v>
      </c>
      <c r="C58" s="2899">
        <f t="shared" si="153"/>
        <v>148.06267029972753</v>
      </c>
      <c r="D58" s="2899">
        <f t="shared" si="131"/>
        <v>148.06267029972753</v>
      </c>
      <c r="E58" s="2899">
        <f t="shared" si="154"/>
        <v>216.46288379323747</v>
      </c>
      <c r="F58" s="2899">
        <f t="shared" si="154"/>
        <v>134.23529411764704</v>
      </c>
      <c r="G58" s="3577">
        <v>2007</v>
      </c>
      <c r="H58" s="2913">
        <v>2</v>
      </c>
      <c r="I58" s="2913">
        <v>3.67</v>
      </c>
      <c r="J58" s="2913">
        <v>2.3199999999999998</v>
      </c>
      <c r="K58" s="2913">
        <v>5.0199999999999996</v>
      </c>
      <c r="L58" s="2914">
        <v>6.71</v>
      </c>
      <c r="N58" s="2960">
        <f t="shared" si="151"/>
        <v>3.0339138143848032E-2</v>
      </c>
      <c r="O58" s="2961">
        <f t="shared" si="151"/>
        <v>2.0922341588790472E-2</v>
      </c>
      <c r="P58" s="2961">
        <f t="shared" si="152"/>
        <v>5.6164796592717003E-2</v>
      </c>
      <c r="Q58" s="2961">
        <f t="shared" si="152"/>
        <v>6.5704536723887319E-2</v>
      </c>
      <c r="R58" s="2902"/>
      <c r="S58" s="2901"/>
      <c r="T58" s="2887"/>
      <c r="U58" s="2887"/>
      <c r="V58" s="2887"/>
      <c r="X58" s="2962"/>
      <c r="Y58" s="2962"/>
      <c r="Z58" s="2962"/>
    </row>
    <row r="59" spans="1:26">
      <c r="A59" s="2898" t="s">
        <v>2588</v>
      </c>
      <c r="B59" s="2899">
        <f t="shared" si="153"/>
        <v>163.84913591779542</v>
      </c>
      <c r="C59" s="2899">
        <f t="shared" si="153"/>
        <v>145.0283378746594</v>
      </c>
      <c r="D59" s="2899">
        <f t="shared" si="131"/>
        <v>145.0283378746594</v>
      </c>
      <c r="E59" s="2899">
        <f t="shared" si="154"/>
        <v>204.95180722891567</v>
      </c>
      <c r="F59" s="2899">
        <f t="shared" si="154"/>
        <v>125.95920303605313</v>
      </c>
      <c r="G59" s="3578">
        <v>2007</v>
      </c>
      <c r="H59" s="2900">
        <v>1</v>
      </c>
      <c r="I59" s="2900">
        <v>3.58</v>
      </c>
      <c r="J59" s="2900">
        <v>3.08</v>
      </c>
      <c r="K59" s="2900">
        <v>4.34</v>
      </c>
      <c r="L59" s="2906">
        <v>3.21</v>
      </c>
      <c r="N59" s="2963">
        <f t="shared" si="151"/>
        <v>3.0497710174814063E-2</v>
      </c>
      <c r="O59" s="2964">
        <f t="shared" si="151"/>
        <v>2.8569772160704998E-2</v>
      </c>
      <c r="P59" s="2964">
        <f t="shared" si="152"/>
        <v>5.1034908866234296E-2</v>
      </c>
      <c r="Q59" s="2964">
        <f t="shared" si="152"/>
        <v>3.245248390207478E-2</v>
      </c>
      <c r="R59" s="2902"/>
      <c r="S59" s="2903">
        <f>B59/B60-1</f>
        <v>3.0497710174814063E-2</v>
      </c>
      <c r="T59" s="2904">
        <f>C59/C60-1</f>
        <v>2.8569772160704998E-2</v>
      </c>
      <c r="U59" s="2904">
        <f>E59/E60-1</f>
        <v>5.1034908866234296E-2</v>
      </c>
      <c r="V59" s="2904">
        <f>F59/F60-1</f>
        <v>3.245248390207478E-2</v>
      </c>
      <c r="X59" s="2962"/>
      <c r="Y59" s="2962"/>
      <c r="Z59" s="2962"/>
    </row>
    <row r="60" spans="1:26" ht="13.5" thickBot="1">
      <c r="A60" s="2898" t="s">
        <v>2589</v>
      </c>
      <c r="B60" s="2927">
        <v>159</v>
      </c>
      <c r="C60" s="2927">
        <v>141</v>
      </c>
      <c r="D60" s="2927">
        <f t="shared" si="131"/>
        <v>141</v>
      </c>
      <c r="E60" s="2927">
        <v>195</v>
      </c>
      <c r="F60" s="2928">
        <v>122</v>
      </c>
      <c r="G60" s="3576">
        <v>2006</v>
      </c>
      <c r="H60" s="2922">
        <v>4</v>
      </c>
      <c r="I60" s="2922">
        <v>3.79</v>
      </c>
      <c r="J60" s="2922">
        <v>2.21</v>
      </c>
      <c r="K60" s="2922">
        <v>5.65</v>
      </c>
      <c r="L60" s="2923">
        <v>5.41</v>
      </c>
      <c r="N60" s="2960">
        <f t="shared" ref="N60:O63" si="155">I60/SUM(I$60:I$63)*(B$60/B$64-1)</f>
        <v>7.245466462748526E-2</v>
      </c>
      <c r="O60" s="2961">
        <f t="shared" si="155"/>
        <v>2.3237230038062766E-2</v>
      </c>
      <c r="P60" s="2961">
        <f t="shared" ref="P60:Q63" si="156">K60/SUM(K$60:K$63)*(E$60/E$64-1)</f>
        <v>0.16146893866323722</v>
      </c>
      <c r="Q60" s="2961">
        <f t="shared" si="156"/>
        <v>5.0755230321793784E-2</v>
      </c>
      <c r="R60" s="2902"/>
      <c r="S60" s="2911"/>
      <c r="T60" s="2912"/>
      <c r="U60" s="2912"/>
      <c r="V60" s="2912"/>
      <c r="X60" s="2962"/>
      <c r="Y60" s="2962"/>
      <c r="Z60" s="2962"/>
    </row>
    <row r="61" spans="1:26">
      <c r="A61" s="2898" t="s">
        <v>2590</v>
      </c>
      <c r="B61" s="2899">
        <f t="shared" ref="B61:C63" si="157">B62+(B$60-B$64)*I61/SUM(I$60:I$63)</f>
        <v>149.00125628140702</v>
      </c>
      <c r="C61" s="2899">
        <f t="shared" si="157"/>
        <v>137.95592286501378</v>
      </c>
      <c r="D61" s="2899">
        <f t="shared" si="131"/>
        <v>137.95592286501378</v>
      </c>
      <c r="E61" s="2899">
        <f t="shared" ref="E61:F63" si="158">E62+(E$60-E$64)*K61/SUM(K$60:K$63)</f>
        <v>169.97231450719823</v>
      </c>
      <c r="F61" s="2899">
        <f t="shared" si="158"/>
        <v>116.21390374331551</v>
      </c>
      <c r="G61" s="3577">
        <v>2006</v>
      </c>
      <c r="H61" s="2925">
        <v>3</v>
      </c>
      <c r="I61" s="2925">
        <v>0.92</v>
      </c>
      <c r="J61" s="2925">
        <v>1.08</v>
      </c>
      <c r="K61" s="2925">
        <v>0.73</v>
      </c>
      <c r="L61" s="2926">
        <v>1.08</v>
      </c>
      <c r="N61" s="2960">
        <f t="shared" si="155"/>
        <v>1.7587939698492462E-2</v>
      </c>
      <c r="O61" s="2961">
        <f t="shared" si="155"/>
        <v>1.1355750425840628E-2</v>
      </c>
      <c r="P61" s="2961">
        <f t="shared" si="156"/>
        <v>2.0862358446754544E-2</v>
      </c>
      <c r="Q61" s="2961">
        <f t="shared" si="156"/>
        <v>1.0132282578103011E-2</v>
      </c>
      <c r="R61" s="2902"/>
      <c r="S61" s="2901"/>
      <c r="T61" s="2887"/>
      <c r="U61" s="2887"/>
      <c r="V61" s="2887"/>
      <c r="X61" s="2962"/>
      <c r="Y61" s="2962"/>
      <c r="Z61" s="2962"/>
    </row>
    <row r="62" spans="1:26">
      <c r="A62" s="2898" t="s">
        <v>2591</v>
      </c>
      <c r="B62" s="2899">
        <f t="shared" si="157"/>
        <v>146.57412060301507</v>
      </c>
      <c r="C62" s="2899">
        <f t="shared" si="157"/>
        <v>136.46831955922866</v>
      </c>
      <c r="D62" s="2899">
        <f t="shared" si="131"/>
        <v>136.46831955922866</v>
      </c>
      <c r="E62" s="2899">
        <f t="shared" si="158"/>
        <v>166.73864894795128</v>
      </c>
      <c r="F62" s="2899">
        <f t="shared" si="158"/>
        <v>115.05882352941177</v>
      </c>
      <c r="G62" s="3577">
        <v>2006</v>
      </c>
      <c r="H62" s="2913">
        <v>2</v>
      </c>
      <c r="I62" s="2913">
        <v>0.96</v>
      </c>
      <c r="J62" s="2913">
        <v>0.25</v>
      </c>
      <c r="K62" s="2913">
        <v>1.9</v>
      </c>
      <c r="L62" s="2914">
        <v>0.95</v>
      </c>
      <c r="N62" s="2960">
        <f t="shared" si="155"/>
        <v>1.8352632728861701E-2</v>
      </c>
      <c r="O62" s="2961">
        <f t="shared" si="155"/>
        <v>2.6286459319075526E-3</v>
      </c>
      <c r="P62" s="2961">
        <f t="shared" si="156"/>
        <v>5.4299289107991269E-2</v>
      </c>
      <c r="Q62" s="2961">
        <f t="shared" si="156"/>
        <v>8.9126559714794995E-3</v>
      </c>
      <c r="R62" s="2902"/>
      <c r="S62" s="2901"/>
      <c r="T62" s="2887"/>
      <c r="U62" s="2887"/>
      <c r="V62" s="2887"/>
      <c r="X62" s="2962"/>
      <c r="Y62" s="2962"/>
      <c r="Z62" s="2962"/>
    </row>
    <row r="63" spans="1:26">
      <c r="A63" s="2898" t="s">
        <v>2592</v>
      </c>
      <c r="B63" s="2899">
        <f t="shared" si="157"/>
        <v>144.04145728643215</v>
      </c>
      <c r="C63" s="2899">
        <f t="shared" si="157"/>
        <v>136.12396694214877</v>
      </c>
      <c r="D63" s="2899">
        <f t="shared" si="131"/>
        <v>136.12396694214877</v>
      </c>
      <c r="E63" s="2899">
        <f t="shared" si="158"/>
        <v>158.32225913621264</v>
      </c>
      <c r="F63" s="2899">
        <f t="shared" si="158"/>
        <v>114.04278074866311</v>
      </c>
      <c r="G63" s="3578">
        <v>2006</v>
      </c>
      <c r="H63" s="2900">
        <v>1</v>
      </c>
      <c r="I63" s="2900">
        <v>2.29</v>
      </c>
      <c r="J63" s="2900">
        <v>3.72</v>
      </c>
      <c r="K63" s="2900">
        <v>0.75</v>
      </c>
      <c r="L63" s="2906">
        <v>0.04</v>
      </c>
      <c r="N63" s="2963">
        <f t="shared" si="155"/>
        <v>4.3778675988638847E-2</v>
      </c>
      <c r="O63" s="2964">
        <f t="shared" si="155"/>
        <v>3.9114251466784385E-2</v>
      </c>
      <c r="P63" s="2964">
        <f t="shared" si="156"/>
        <v>2.1433929911049188E-2</v>
      </c>
      <c r="Q63" s="2964">
        <f t="shared" si="156"/>
        <v>3.7526972511492629E-4</v>
      </c>
      <c r="R63" s="2902"/>
      <c r="S63" s="2903">
        <f>B63/B64-1</f>
        <v>4.3778675988638716E-2</v>
      </c>
      <c r="T63" s="2904">
        <f>C63/C64-1</f>
        <v>3.91142514667846E-2</v>
      </c>
      <c r="U63" s="2904">
        <f>E63/E64-1</f>
        <v>2.143392991104931E-2</v>
      </c>
      <c r="V63" s="2904">
        <f>F63/F64-1</f>
        <v>3.7526972511492396E-4</v>
      </c>
      <c r="X63" s="2962"/>
      <c r="Y63" s="2962"/>
      <c r="Z63" s="2962"/>
    </row>
    <row r="64" spans="1:26" ht="13.5" thickBot="1">
      <c r="A64" s="2898" t="s">
        <v>2593</v>
      </c>
      <c r="B64" s="2927">
        <v>138</v>
      </c>
      <c r="C64" s="2927">
        <v>131</v>
      </c>
      <c r="D64" s="2927">
        <f t="shared" si="131"/>
        <v>131</v>
      </c>
      <c r="E64" s="2927">
        <v>155</v>
      </c>
      <c r="F64" s="2928">
        <v>114</v>
      </c>
      <c r="G64" s="3576">
        <v>2005</v>
      </c>
      <c r="H64" s="2922">
        <v>4</v>
      </c>
      <c r="I64" s="2922">
        <v>3.29</v>
      </c>
      <c r="J64" s="2922">
        <v>1.44</v>
      </c>
      <c r="K64" s="2922">
        <v>0.66</v>
      </c>
      <c r="L64" s="2923">
        <v>7.78</v>
      </c>
      <c r="N64" s="2960">
        <f t="shared" ref="N64:O67" si="159">I64/SUM(I$64:I$67)*(B$64/B$68-1)</f>
        <v>9.9404603216919935E-2</v>
      </c>
      <c r="O64" s="2961">
        <f t="shared" si="159"/>
        <v>4.7636550760861554E-2</v>
      </c>
      <c r="P64" s="2961">
        <f t="shared" ref="P64:Q67" si="160">K64/SUM(K$64:K$67)*(E$64/E$68-1)</f>
        <v>8.3756345177664976E-2</v>
      </c>
      <c r="Q64" s="2961">
        <f t="shared" si="160"/>
        <v>5.2148766661559584E-2</v>
      </c>
      <c r="R64" s="2902"/>
      <c r="S64" s="2911"/>
      <c r="T64" s="2912"/>
      <c r="U64" s="2912"/>
      <c r="V64" s="2912"/>
      <c r="X64" s="2962"/>
      <c r="Y64" s="2962"/>
      <c r="Z64" s="2962"/>
    </row>
    <row r="65" spans="1:26">
      <c r="A65" s="2898" t="s">
        <v>2594</v>
      </c>
      <c r="B65" s="2899">
        <f t="shared" ref="B65:C67" si="161">B66+(B$64-B$68)*I65/SUM(I$64:I$67)</f>
        <v>125.9720430107527</v>
      </c>
      <c r="C65" s="2899">
        <f t="shared" si="161"/>
        <v>125.1883408071749</v>
      </c>
      <c r="D65" s="2899">
        <f t="shared" si="131"/>
        <v>125.1883408071749</v>
      </c>
      <c r="E65" s="2899">
        <f t="shared" ref="E65:F67" si="162">E66+(E$64-E$68)*K65/SUM(K$64:K$67)</f>
        <v>144.61421319796952</v>
      </c>
      <c r="F65" s="2899">
        <f t="shared" si="162"/>
        <v>108.42008196721311</v>
      </c>
      <c r="G65" s="3577">
        <v>2005</v>
      </c>
      <c r="H65" s="2925">
        <v>3</v>
      </c>
      <c r="I65" s="2925">
        <v>0.46</v>
      </c>
      <c r="J65" s="2925">
        <v>0.32</v>
      </c>
      <c r="K65" s="2925">
        <v>0.42</v>
      </c>
      <c r="L65" s="2926">
        <v>0.64</v>
      </c>
      <c r="N65" s="2960">
        <f t="shared" si="159"/>
        <v>1.3898515951301874E-2</v>
      </c>
      <c r="O65" s="2961">
        <f t="shared" si="159"/>
        <v>1.0585900169080346E-2</v>
      </c>
      <c r="P65" s="2961">
        <f t="shared" si="160"/>
        <v>5.3299492385786795E-2</v>
      </c>
      <c r="Q65" s="2961">
        <f t="shared" si="160"/>
        <v>4.2898728359123568E-3</v>
      </c>
      <c r="R65" s="2902"/>
      <c r="S65" s="2901"/>
      <c r="T65" s="2887"/>
      <c r="U65" s="2887"/>
      <c r="V65" s="2887"/>
      <c r="X65" s="2962"/>
      <c r="Y65" s="2962"/>
      <c r="Z65" s="2962"/>
    </row>
    <row r="66" spans="1:26">
      <c r="A66" s="2898" t="s">
        <v>2595</v>
      </c>
      <c r="B66" s="2899">
        <f t="shared" si="161"/>
        <v>124.29032258064517</v>
      </c>
      <c r="C66" s="2899">
        <f t="shared" si="161"/>
        <v>123.8968609865471</v>
      </c>
      <c r="D66" s="2899">
        <f t="shared" si="131"/>
        <v>123.8968609865471</v>
      </c>
      <c r="E66" s="2899">
        <f t="shared" si="162"/>
        <v>138.00507614213197</v>
      </c>
      <c r="F66" s="2899">
        <f t="shared" si="162"/>
        <v>107.96106557377048</v>
      </c>
      <c r="G66" s="3577">
        <v>2005</v>
      </c>
      <c r="H66" s="2913">
        <v>2</v>
      </c>
      <c r="I66" s="2913">
        <v>0.47</v>
      </c>
      <c r="J66" s="2913">
        <v>0.1</v>
      </c>
      <c r="K66" s="2913">
        <v>0.52</v>
      </c>
      <c r="L66" s="2914">
        <v>0.79</v>
      </c>
      <c r="N66" s="2960">
        <f t="shared" si="159"/>
        <v>1.420065760241713E-2</v>
      </c>
      <c r="O66" s="2961">
        <f t="shared" si="159"/>
        <v>3.3080938028376083E-3</v>
      </c>
      <c r="P66" s="2961">
        <f t="shared" si="160"/>
        <v>6.598984771573603E-2</v>
      </c>
      <c r="Q66" s="2961">
        <f t="shared" si="160"/>
        <v>5.2953117818293153E-3</v>
      </c>
      <c r="R66" s="2902"/>
      <c r="S66" s="2901"/>
      <c r="T66" s="2887"/>
      <c r="U66" s="2887"/>
      <c r="V66" s="2887"/>
      <c r="X66" s="2962"/>
      <c r="Y66" s="2962"/>
      <c r="Z66" s="2962"/>
    </row>
    <row r="67" spans="1:26">
      <c r="A67" s="2898" t="s">
        <v>2596</v>
      </c>
      <c r="B67" s="2899">
        <f t="shared" si="161"/>
        <v>122.57204301075269</v>
      </c>
      <c r="C67" s="2899">
        <f t="shared" si="161"/>
        <v>123.4932735426009</v>
      </c>
      <c r="D67" s="2899">
        <f t="shared" si="131"/>
        <v>123.4932735426009</v>
      </c>
      <c r="E67" s="2899">
        <f t="shared" si="162"/>
        <v>129.82233502538071</v>
      </c>
      <c r="F67" s="2899">
        <f t="shared" si="162"/>
        <v>107.39446721311475</v>
      </c>
      <c r="G67" s="3578">
        <v>2005</v>
      </c>
      <c r="H67" s="2900">
        <v>1</v>
      </c>
      <c r="I67" s="2900">
        <v>0.43</v>
      </c>
      <c r="J67" s="2900">
        <v>0.37</v>
      </c>
      <c r="K67" s="2900">
        <v>0.37</v>
      </c>
      <c r="L67" s="2906">
        <v>0.55000000000000004</v>
      </c>
      <c r="N67" s="2963">
        <f t="shared" si="159"/>
        <v>1.2992090997956099E-2</v>
      </c>
      <c r="O67" s="2964">
        <f t="shared" si="159"/>
        <v>1.2239947070499151E-2</v>
      </c>
      <c r="P67" s="2964">
        <f t="shared" si="160"/>
        <v>4.6954314720812178E-2</v>
      </c>
      <c r="Q67" s="2964">
        <f t="shared" si="160"/>
        <v>3.6866094683621815E-3</v>
      </c>
      <c r="R67" s="2902"/>
      <c r="S67" s="2903">
        <f>B67/B68-1</f>
        <v>1.2992090997956174E-2</v>
      </c>
      <c r="T67" s="2904">
        <f>C67/C68-1</f>
        <v>1.2239947070499246E-2</v>
      </c>
      <c r="U67" s="2904">
        <f>E67/E68-1</f>
        <v>4.695431472081224E-2</v>
      </c>
      <c r="V67" s="2904">
        <f>F67/F68-1</f>
        <v>3.6866094683620787E-3</v>
      </c>
      <c r="X67" s="2962"/>
      <c r="Y67" s="2962"/>
      <c r="Z67" s="2962"/>
    </row>
    <row r="68" spans="1:26" ht="13.5" thickBot="1">
      <c r="A68" s="2898" t="s">
        <v>2597</v>
      </c>
      <c r="B68" s="2948">
        <v>121</v>
      </c>
      <c r="C68" s="2948">
        <v>122</v>
      </c>
      <c r="D68" s="2948">
        <f t="shared" si="131"/>
        <v>122</v>
      </c>
      <c r="E68" s="2948">
        <v>124</v>
      </c>
      <c r="F68" s="2949">
        <v>107</v>
      </c>
      <c r="G68" s="3576">
        <v>2004</v>
      </c>
      <c r="H68" s="2922">
        <v>4</v>
      </c>
      <c r="I68" s="2922">
        <v>0.33</v>
      </c>
      <c r="J68" s="2922">
        <v>0.5</v>
      </c>
      <c r="K68" s="2922">
        <v>0.5</v>
      </c>
      <c r="L68" s="2923">
        <v>0</v>
      </c>
      <c r="N68" s="2960">
        <f t="shared" ref="N68:O71" si="163">I68/SUM(I$68:I$71)*(B$68/B$72-1)</f>
        <v>1.3391770148526898E-2</v>
      </c>
      <c r="O68" s="2961">
        <f t="shared" si="163"/>
        <v>1.063264221158958E-2</v>
      </c>
      <c r="P68" s="2961">
        <f t="shared" ref="P68:Q71" si="164">K68/SUM(K$68:K$71)*(E$68/E$72-1)</f>
        <v>2.2244466688911134E-2</v>
      </c>
      <c r="Q68" s="2961">
        <f t="shared" si="164"/>
        <v>0</v>
      </c>
      <c r="R68" s="2902"/>
      <c r="S68" s="2911"/>
      <c r="T68" s="2912"/>
      <c r="U68" s="2912"/>
      <c r="V68" s="2912"/>
      <c r="X68" s="2962"/>
      <c r="Y68" s="2962"/>
      <c r="Z68" s="2962"/>
    </row>
    <row r="69" spans="1:26">
      <c r="A69" s="2898" t="s">
        <v>2598</v>
      </c>
      <c r="B69" s="2899">
        <f t="shared" ref="B69:C71" si="165">B70+(B$68-B$72)*I69/SUM(I$68:I$71)</f>
        <v>119.51351351351352</v>
      </c>
      <c r="C69" s="2899">
        <f t="shared" si="165"/>
        <v>120.7878787878788</v>
      </c>
      <c r="D69" s="2899">
        <f t="shared" si="131"/>
        <v>120.7878787878788</v>
      </c>
      <c r="E69" s="2899">
        <f t="shared" ref="E69:F71" si="166">E70+(E$68-E$72)*K69/SUM(K$68:K$71)</f>
        <v>121.5975975975976</v>
      </c>
      <c r="F69" s="2899">
        <f t="shared" si="166"/>
        <v>107</v>
      </c>
      <c r="G69" s="3577">
        <v>2004</v>
      </c>
      <c r="H69" s="2925">
        <v>3</v>
      </c>
      <c r="I69" s="2925">
        <v>0.56000000000000005</v>
      </c>
      <c r="J69" s="2925">
        <v>0.8</v>
      </c>
      <c r="K69" s="2925">
        <v>0.83</v>
      </c>
      <c r="L69" s="2926">
        <v>0.06</v>
      </c>
      <c r="N69" s="2960">
        <f t="shared" si="163"/>
        <v>2.2725428130833527E-2</v>
      </c>
      <c r="O69" s="2961">
        <f t="shared" si="163"/>
        <v>1.7012227538543329E-2</v>
      </c>
      <c r="P69" s="2961">
        <f t="shared" si="164"/>
        <v>3.6925814703592477E-2</v>
      </c>
      <c r="Q69" s="2961">
        <f t="shared" si="164"/>
        <v>2.8846153846153744E-2</v>
      </c>
      <c r="R69" s="2902"/>
      <c r="S69" s="2901"/>
      <c r="T69" s="2887"/>
      <c r="U69" s="2887"/>
      <c r="V69" s="2887"/>
      <c r="X69" s="2962"/>
      <c r="Y69" s="2962"/>
      <c r="Z69" s="2962"/>
    </row>
    <row r="70" spans="1:26">
      <c r="A70" s="2898" t="s">
        <v>2599</v>
      </c>
      <c r="B70" s="2899">
        <f t="shared" si="165"/>
        <v>116.99099099099099</v>
      </c>
      <c r="C70" s="2899">
        <f t="shared" si="165"/>
        <v>118.84848484848486</v>
      </c>
      <c r="D70" s="2899">
        <f t="shared" si="131"/>
        <v>118.84848484848486</v>
      </c>
      <c r="E70" s="2899">
        <f t="shared" si="166"/>
        <v>117.60960960960961</v>
      </c>
      <c r="F70" s="2899">
        <f t="shared" si="166"/>
        <v>104</v>
      </c>
      <c r="G70" s="3577">
        <v>2004</v>
      </c>
      <c r="H70" s="2913">
        <v>2</v>
      </c>
      <c r="I70" s="2913">
        <v>1</v>
      </c>
      <c r="J70" s="2913">
        <v>1.5</v>
      </c>
      <c r="K70" s="2913">
        <v>1.5</v>
      </c>
      <c r="L70" s="2914">
        <v>0</v>
      </c>
      <c r="N70" s="2960">
        <f t="shared" si="163"/>
        <v>4.0581121662202721E-2</v>
      </c>
      <c r="O70" s="2961">
        <f t="shared" si="163"/>
        <v>3.1897926634768738E-2</v>
      </c>
      <c r="P70" s="2961">
        <f t="shared" si="164"/>
        <v>6.6733400066733395E-2</v>
      </c>
      <c r="Q70" s="2961">
        <f t="shared" si="164"/>
        <v>0</v>
      </c>
      <c r="R70" s="2902"/>
      <c r="S70" s="2901"/>
      <c r="T70" s="2887"/>
      <c r="U70" s="2887"/>
      <c r="V70" s="2887"/>
      <c r="X70" s="2962"/>
      <c r="Y70" s="2962"/>
      <c r="Z70" s="2962"/>
    </row>
    <row r="71" spans="1:26" s="2954" customFormat="1" ht="13.5" thickBot="1">
      <c r="A71" s="2898" t="s">
        <v>2600</v>
      </c>
      <c r="B71" s="2951">
        <f t="shared" si="165"/>
        <v>112.48648648648648</v>
      </c>
      <c r="C71" s="2951">
        <f t="shared" si="165"/>
        <v>115.21212121212122</v>
      </c>
      <c r="D71" s="2951">
        <f t="shared" si="131"/>
        <v>115.21212121212122</v>
      </c>
      <c r="E71" s="2951">
        <f t="shared" si="166"/>
        <v>110.4024024024024</v>
      </c>
      <c r="F71" s="2951">
        <f t="shared" si="166"/>
        <v>104</v>
      </c>
      <c r="G71" s="3578">
        <v>2004</v>
      </c>
      <c r="H71" s="2952">
        <v>1</v>
      </c>
      <c r="I71" s="2952">
        <v>0.33</v>
      </c>
      <c r="J71" s="2952">
        <v>0.5</v>
      </c>
      <c r="K71" s="2952">
        <v>0.5</v>
      </c>
      <c r="L71" s="2953">
        <v>0</v>
      </c>
      <c r="N71" s="2965">
        <f t="shared" si="163"/>
        <v>1.3391770148526898E-2</v>
      </c>
      <c r="O71" s="2966">
        <f t="shared" si="163"/>
        <v>1.063264221158958E-2</v>
      </c>
      <c r="P71" s="2966">
        <f t="shared" si="164"/>
        <v>2.2244466688911134E-2</v>
      </c>
      <c r="Q71" s="2966">
        <f t="shared" si="164"/>
        <v>0</v>
      </c>
      <c r="R71" s="2957"/>
      <c r="S71" s="2955">
        <f>B71/B72-1</f>
        <v>1.3391770148526883E-2</v>
      </c>
      <c r="T71" s="2956">
        <f>C71/C72-1</f>
        <v>1.063264221158966E-2</v>
      </c>
      <c r="U71" s="2956">
        <f>E71/E72-1</f>
        <v>2.2244466688911224E-2</v>
      </c>
      <c r="V71" s="2956">
        <f>F71/F72-1</f>
        <v>0</v>
      </c>
      <c r="X71" s="2967"/>
      <c r="Y71" s="2967"/>
      <c r="Z71" s="2967"/>
    </row>
    <row r="72" spans="1:26" ht="13.5" thickBot="1">
      <c r="A72" s="2898" t="s">
        <v>2601</v>
      </c>
      <c r="B72" s="2968">
        <v>111</v>
      </c>
      <c r="C72" s="2968">
        <v>114</v>
      </c>
      <c r="D72" s="2968">
        <f t="shared" si="131"/>
        <v>114</v>
      </c>
      <c r="E72" s="2968">
        <v>108</v>
      </c>
      <c r="F72" s="2969">
        <v>104</v>
      </c>
      <c r="G72" s="3576">
        <v>2003</v>
      </c>
      <c r="H72" s="2958">
        <v>4</v>
      </c>
      <c r="I72" s="2970"/>
      <c r="J72" s="2970"/>
      <c r="K72" s="2970"/>
      <c r="L72" s="2970"/>
      <c r="N72" s="2971"/>
      <c r="O72" s="2970"/>
      <c r="P72" s="2970"/>
      <c r="Q72" s="2970"/>
      <c r="S72" s="2971"/>
      <c r="T72" s="2970"/>
      <c r="U72" s="2970"/>
      <c r="V72" s="2970"/>
      <c r="X72" s="2962"/>
      <c r="Y72" s="2962"/>
      <c r="Z72" s="2962"/>
    </row>
    <row r="73" spans="1:26">
      <c r="A73" s="2898" t="s">
        <v>2602</v>
      </c>
      <c r="B73" s="2972">
        <f t="shared" ref="B73:C75" si="167">B74+(B$72-B$76)/4</f>
        <v>109.75</v>
      </c>
      <c r="C73" s="2972">
        <f t="shared" si="167"/>
        <v>112.25</v>
      </c>
      <c r="D73" s="2972">
        <f t="shared" si="131"/>
        <v>112.25</v>
      </c>
      <c r="E73" s="2972">
        <f t="shared" ref="E73:F75" si="168">E74+(E$72-E$76)/4</f>
        <v>107.25</v>
      </c>
      <c r="F73" s="2972">
        <f t="shared" si="168"/>
        <v>103.5</v>
      </c>
      <c r="G73" s="3577">
        <v>2003</v>
      </c>
      <c r="H73" s="2925">
        <v>3</v>
      </c>
      <c r="I73" s="2970"/>
      <c r="J73" s="2970"/>
      <c r="K73" s="2970"/>
      <c r="L73" s="2970"/>
      <c r="X73" s="2962"/>
      <c r="Y73" s="2962"/>
      <c r="Z73" s="2962"/>
    </row>
    <row r="74" spans="1:26">
      <c r="A74" s="2898" t="s">
        <v>2603</v>
      </c>
      <c r="B74" s="2972">
        <f t="shared" si="167"/>
        <v>108.5</v>
      </c>
      <c r="C74" s="2972">
        <f t="shared" si="167"/>
        <v>110.5</v>
      </c>
      <c r="D74" s="2972">
        <f t="shared" si="131"/>
        <v>110.5</v>
      </c>
      <c r="E74" s="2972">
        <f t="shared" si="168"/>
        <v>106.5</v>
      </c>
      <c r="F74" s="2972">
        <f t="shared" si="168"/>
        <v>103</v>
      </c>
      <c r="G74" s="3577">
        <v>2003</v>
      </c>
      <c r="H74" s="2913">
        <v>2</v>
      </c>
      <c r="I74" s="2970"/>
      <c r="J74" s="2970"/>
      <c r="K74" s="2970"/>
      <c r="L74" s="2970"/>
      <c r="X74" s="2962"/>
      <c r="Y74" s="2962"/>
      <c r="Z74" s="2962"/>
    </row>
    <row r="75" spans="1:26" ht="13.5" thickBot="1">
      <c r="A75" s="2898" t="s">
        <v>2604</v>
      </c>
      <c r="B75" s="2972">
        <f t="shared" si="167"/>
        <v>107.25</v>
      </c>
      <c r="C75" s="2972">
        <f t="shared" si="167"/>
        <v>108.75</v>
      </c>
      <c r="D75" s="2972">
        <f t="shared" si="131"/>
        <v>108.75</v>
      </c>
      <c r="E75" s="2972">
        <f t="shared" si="168"/>
        <v>105.75</v>
      </c>
      <c r="F75" s="2972">
        <f t="shared" si="168"/>
        <v>102.5</v>
      </c>
      <c r="G75" s="3578">
        <v>2003</v>
      </c>
      <c r="H75" s="2973">
        <v>1</v>
      </c>
      <c r="I75" s="2970"/>
      <c r="J75" s="2970"/>
      <c r="K75" s="2970"/>
      <c r="L75" s="2970"/>
      <c r="S75" s="2901"/>
      <c r="T75" s="2887"/>
      <c r="U75" s="2887"/>
      <c r="X75" s="2962"/>
      <c r="Y75" s="2962"/>
      <c r="Z75" s="2962"/>
    </row>
    <row r="76" spans="1:26" ht="13.5" thickBot="1">
      <c r="A76" s="2898" t="s">
        <v>2605</v>
      </c>
      <c r="B76" s="2974">
        <v>106</v>
      </c>
      <c r="C76" s="2974">
        <v>107</v>
      </c>
      <c r="D76" s="2974">
        <f t="shared" si="131"/>
        <v>107</v>
      </c>
      <c r="E76" s="2974">
        <v>105</v>
      </c>
      <c r="F76" s="2975">
        <v>102</v>
      </c>
      <c r="G76" s="3576">
        <v>2002</v>
      </c>
      <c r="H76" s="2922">
        <v>4</v>
      </c>
      <c r="I76" s="2970"/>
      <c r="J76" s="2970"/>
      <c r="K76" s="2970"/>
      <c r="L76" s="2970"/>
      <c r="N76" s="2971"/>
      <c r="O76" s="2970"/>
      <c r="P76" s="2970"/>
      <c r="Q76" s="2970"/>
      <c r="S76" s="2971"/>
      <c r="T76" s="2970"/>
      <c r="U76" s="2970"/>
      <c r="V76" s="2970"/>
      <c r="X76" s="2962"/>
      <c r="Y76" s="2962"/>
      <c r="Z76" s="2962"/>
    </row>
    <row r="77" spans="1:26">
      <c r="A77" s="2898" t="s">
        <v>2606</v>
      </c>
      <c r="B77" s="2972">
        <f t="shared" ref="B77:C79" si="169">B78+(B$76-B$80)/4</f>
        <v>105</v>
      </c>
      <c r="C77" s="2972">
        <f t="shared" si="169"/>
        <v>106</v>
      </c>
      <c r="D77" s="2972">
        <f t="shared" si="131"/>
        <v>106</v>
      </c>
      <c r="E77" s="2972">
        <f t="shared" ref="E77:F79" si="170">E78+(E$76-E$80)/4</f>
        <v>104.5</v>
      </c>
      <c r="F77" s="2972">
        <f t="shared" si="170"/>
        <v>101.5</v>
      </c>
      <c r="G77" s="3577">
        <v>2002</v>
      </c>
      <c r="H77" s="2925">
        <v>3</v>
      </c>
      <c r="I77" s="2970"/>
      <c r="J77" s="2970"/>
      <c r="K77" s="2970"/>
      <c r="L77" s="2970"/>
      <c r="X77" s="2962"/>
      <c r="Y77" s="2962"/>
      <c r="Z77" s="2962"/>
    </row>
    <row r="78" spans="1:26">
      <c r="A78" s="2898" t="s">
        <v>2607</v>
      </c>
      <c r="B78" s="2972">
        <f t="shared" si="169"/>
        <v>104</v>
      </c>
      <c r="C78" s="2972">
        <f t="shared" si="169"/>
        <v>105</v>
      </c>
      <c r="D78" s="2972">
        <f t="shared" si="131"/>
        <v>105</v>
      </c>
      <c r="E78" s="2972">
        <f t="shared" si="170"/>
        <v>104</v>
      </c>
      <c r="F78" s="2972">
        <f t="shared" si="170"/>
        <v>101</v>
      </c>
      <c r="G78" s="3577">
        <v>2002</v>
      </c>
      <c r="H78" s="2913">
        <v>2</v>
      </c>
      <c r="I78" s="2970"/>
      <c r="J78" s="2970"/>
      <c r="K78" s="2970"/>
      <c r="L78" s="2970"/>
      <c r="X78" s="2962"/>
      <c r="Y78" s="2962"/>
      <c r="Z78" s="2962"/>
    </row>
    <row r="79" spans="1:26" s="2935" customFormat="1" ht="13.5" thickBot="1">
      <c r="A79" s="2931" t="s">
        <v>2608</v>
      </c>
      <c r="B79" s="2938">
        <f t="shared" si="169"/>
        <v>103</v>
      </c>
      <c r="C79" s="2938">
        <f t="shared" si="169"/>
        <v>104</v>
      </c>
      <c r="D79" s="2938">
        <f t="shared" si="131"/>
        <v>104</v>
      </c>
      <c r="E79" s="2938">
        <f t="shared" si="170"/>
        <v>103.5</v>
      </c>
      <c r="F79" s="2938">
        <f t="shared" si="170"/>
        <v>100.5</v>
      </c>
      <c r="G79" s="3578">
        <v>2002</v>
      </c>
      <c r="H79" s="2976">
        <v>1</v>
      </c>
      <c r="I79" s="2977"/>
      <c r="J79" s="2977"/>
      <c r="K79" s="2977"/>
      <c r="L79" s="2977"/>
      <c r="N79" s="2978"/>
      <c r="S79" s="2978"/>
      <c r="X79" s="2979"/>
      <c r="Y79" s="2979"/>
      <c r="Z79" s="2979"/>
    </row>
    <row r="80" spans="1:26" ht="13.5" thickBot="1">
      <c r="B80" s="2980">
        <v>102</v>
      </c>
      <c r="C80" s="2981">
        <v>103</v>
      </c>
      <c r="D80" s="2981">
        <f t="shared" si="131"/>
        <v>103</v>
      </c>
      <c r="E80" s="2981">
        <v>103</v>
      </c>
      <c r="F80" s="2982">
        <v>100</v>
      </c>
      <c r="I80" s="2970"/>
      <c r="J80" s="2970"/>
      <c r="K80" s="2970"/>
      <c r="L80" s="2970"/>
      <c r="N80" s="2971"/>
      <c r="O80" s="2970"/>
      <c r="P80" s="2970"/>
      <c r="Q80" s="2970"/>
      <c r="S80" s="2971"/>
      <c r="T80" s="2970"/>
      <c r="U80" s="2970"/>
      <c r="V80" s="2970"/>
      <c r="X80" s="2912"/>
      <c r="Y80" s="2912"/>
      <c r="Z80" s="2912"/>
    </row>
    <row r="82" spans="1:22" s="2984" customFormat="1">
      <c r="A82" s="2983" t="s">
        <v>2609</v>
      </c>
      <c r="G82" s="2985"/>
      <c r="N82" s="2985"/>
      <c r="S82" s="2985"/>
    </row>
    <row r="83" spans="1:22" s="2984" customFormat="1">
      <c r="A83" s="2984" t="s">
        <v>2610</v>
      </c>
      <c r="G83" s="2985"/>
      <c r="N83" s="2985"/>
      <c r="S83" s="2985"/>
    </row>
    <row r="84" spans="1:22" s="2984" customFormat="1">
      <c r="A84" s="2984" t="s">
        <v>2611</v>
      </c>
      <c r="G84" s="2985"/>
      <c r="I84" s="2986"/>
      <c r="J84" s="2986"/>
      <c r="K84" s="2986"/>
      <c r="L84" s="2986"/>
      <c r="N84" s="2987"/>
      <c r="O84" s="2986"/>
      <c r="P84" s="2986"/>
      <c r="Q84" s="2986"/>
      <c r="S84" s="2987"/>
      <c r="T84" s="2986"/>
      <c r="U84" s="2986"/>
      <c r="V84" s="2986"/>
    </row>
    <row r="85" spans="1:22" s="2984" customFormat="1">
      <c r="A85" s="2984" t="s">
        <v>2612</v>
      </c>
      <c r="G85" s="2985"/>
      <c r="N85" s="2985"/>
      <c r="S85" s="2985"/>
    </row>
    <row r="92" spans="1:22" ht="13.5" thickBot="1"/>
    <row r="93" spans="1:22">
      <c r="G93" s="2886"/>
      <c r="S93" s="2988" t="s">
        <v>2613</v>
      </c>
      <c r="T93" s="2989" t="s">
        <v>2614</v>
      </c>
      <c r="U93" s="2989" t="s">
        <v>2615</v>
      </c>
      <c r="V93" s="2989" t="s">
        <v>2616</v>
      </c>
    </row>
    <row r="94" spans="1:22">
      <c r="G94" s="2886"/>
      <c r="N94" s="2911"/>
      <c r="O94" s="2912"/>
      <c r="P94" s="2912"/>
      <c r="Q94" s="2912"/>
      <c r="S94" s="2990">
        <v>2006</v>
      </c>
      <c r="T94" s="2991">
        <v>15.1</v>
      </c>
      <c r="U94" s="2991">
        <v>7.43</v>
      </c>
      <c r="V94" s="2991">
        <v>26.26</v>
      </c>
    </row>
    <row r="95" spans="1:22">
      <c r="G95" s="2886"/>
      <c r="N95" s="2911"/>
      <c r="O95" s="2912"/>
      <c r="P95" s="2912"/>
      <c r="Q95" s="2912"/>
      <c r="S95" s="2992">
        <v>2005</v>
      </c>
      <c r="T95" s="2993">
        <v>13.9</v>
      </c>
      <c r="U95" s="2993">
        <v>7.49</v>
      </c>
      <c r="V95" s="2993">
        <v>24.92</v>
      </c>
    </row>
    <row r="96" spans="1:22">
      <c r="G96" s="2886"/>
      <c r="N96" s="2911"/>
      <c r="O96" s="2912"/>
      <c r="P96" s="2912"/>
      <c r="Q96" s="2912"/>
      <c r="S96" s="2990">
        <v>2004</v>
      </c>
      <c r="T96" s="2991">
        <v>9.48</v>
      </c>
      <c r="U96" s="2991">
        <v>7.2</v>
      </c>
      <c r="V96" s="2991">
        <v>14.68</v>
      </c>
    </row>
    <row r="97" spans="7:22">
      <c r="G97" s="2886"/>
      <c r="N97" s="2911"/>
      <c r="O97" s="2912"/>
      <c r="P97" s="2912"/>
      <c r="Q97" s="2912"/>
      <c r="S97" s="2992">
        <v>2003</v>
      </c>
      <c r="T97" s="2993">
        <v>4.5</v>
      </c>
      <c r="U97" s="2993">
        <v>6.12</v>
      </c>
      <c r="V97" s="2993">
        <v>2.34</v>
      </c>
    </row>
    <row r="98" spans="7:22" ht="13.5" thickBot="1">
      <c r="G98" s="2886"/>
      <c r="N98" s="2911"/>
      <c r="O98" s="2912"/>
      <c r="P98" s="2912"/>
      <c r="Q98" s="2912"/>
      <c r="S98" s="2994">
        <v>2002</v>
      </c>
      <c r="T98" s="2995">
        <v>3.59</v>
      </c>
      <c r="U98" s="2995">
        <v>4.54</v>
      </c>
      <c r="V98" s="2995">
        <v>2.5499999999999998</v>
      </c>
    </row>
    <row r="99" spans="7:22">
      <c r="G99" s="2886"/>
      <c r="N99" s="2911"/>
      <c r="O99" s="2912"/>
      <c r="P99" s="2912"/>
      <c r="Q99" s="2912"/>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c r="S109" s="2886"/>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9"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中诚信托有限责任公司：</v>
      </c>
    </row>
    <row r="4" spans="1:4" ht="37.5">
      <c r="A4" s="1706" t="str">
        <f>"受贵公司委托，我公司对"&amp;项目基本情况!K2&amp;项目基本情况!B9&amp;"进行了预评估。"</f>
        <v>受贵公司委托，我公司对河南省郑州市高新区站北路北、新荣路东出让国有建设用地使用权抵押价格进行了预评估。</v>
      </c>
    </row>
    <row r="5" spans="1:4" ht="18.75">
      <c r="A5" s="1709" t="s">
        <v>1896</v>
      </c>
    </row>
    <row r="6" spans="1:4" ht="131.2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郑州高新碧桂园房地产开发有限公司使用的、位于河南省郑州市高新区站北路北、新荣路东出让国有建设用地使用权。根据《不动产权证书》[豫（2020）郑州市不动产权第0097105号]，估价对象（分摊）出让国有建设用地使用权面积为52485.58平方米。根据《国有建设用地使用权出让合同》[电子监管号：4101002020B07222]及附件、《建设工程规划许可证》[郑规建（建筑）字第410100202019033号]，估价对象规划建筑面积为274652.19平方米。</v>
      </c>
    </row>
    <row r="7" spans="1:4" ht="56.25">
      <c r="A7" s="1710" t="s">
        <v>2724</v>
      </c>
    </row>
    <row r="8" spans="1:4" ht="18.75">
      <c r="A8" s="1709" t="s">
        <v>1897</v>
      </c>
    </row>
    <row r="9" spans="1:4" ht="93.75">
      <c r="A9" s="1711" t="str">
        <f>IF(项目基本情况!B8="抵押",IF(项目基本情况!B5=项目基本情况!B6,定义!C51,定义!B51),定义!D51)</f>
        <v>郑州高新碧桂园房地产开发有限公司拟使用河南省郑州市高新区站北路北、新荣路东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12" t="s">
        <v>2012</v>
      </c>
    </row>
    <row r="11" spans="1:4" ht="18.75">
      <c r="A11" s="1695" t="str">
        <f>TEXT(项目基本情况!D3,"yyyy年m月d日;;")&amp;IF(项目基本情况!B3=项目基本情况!D3,"（评估专业人员勘察现场之日）","")</f>
        <v>2020年8月19日（评估专业人员勘察现场之日）</v>
      </c>
    </row>
    <row r="12" spans="1:4" ht="18.75">
      <c r="A12" s="1712" t="s">
        <v>2011</v>
      </c>
    </row>
    <row r="13" spans="1:4" ht="18.75">
      <c r="A13" s="1706" t="s">
        <v>2902</v>
      </c>
    </row>
    <row r="14" spans="1:4" ht="37.5">
      <c r="A14" s="1706" t="str">
        <f>"根据"&amp;项目基本情况!F12&amp;"，本次评估估价对象证载（地类）用途为"&amp;项目基本情况!B12&amp;"。"</f>
        <v>根据《不动产权证书》[豫（2020）郑州市不动产权第0097105号]，本次评估估价对象证载（地类）用途为城镇住宅、交通服务场站。</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96"/>
      <c r="D15" s="1697"/>
    </row>
    <row r="16" spans="1:4" ht="18.75">
      <c r="A16" s="1706" t="s">
        <v>2058</v>
      </c>
    </row>
    <row r="17" spans="1:1" ht="7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正在进行基础及主体结构施工。</v>
      </c>
    </row>
    <row r="18" spans="1:1" ht="56.2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06" t="s">
        <v>2059</v>
      </c>
    </row>
    <row r="20" spans="1:1" ht="93.7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豫（2020）郑州市不动产权第0097105号]，估价对象（分摊）出让国有建设用地使用权面积为52485.58平方米。根据《国有建设用地使用权出让合同》[电子监管号：4101002020B07222]及附件、《建设工程规划许可证》[郑规建（建筑）字第410100202019033号]，估价对象规划建筑面积为274652.19平方米。</v>
      </c>
    </row>
    <row r="21" spans="1:1" ht="18.75">
      <c r="A21" s="1706" t="s">
        <v>2060</v>
      </c>
    </row>
    <row r="22" spans="1:1" ht="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豫（2020）郑州市不动产权第0097105号]证载土地终止日期为住宅2090年5月12日、商业2060年5月12日地下车库2070年5月12日。截至估价期日，出让国有建设用地使用权剩余土地使用年限为住宅69.7年。</v>
      </c>
    </row>
    <row r="23" spans="1:1" ht="18.75">
      <c r="A23" s="1706" t="str">
        <f>IF(项目基本情况!B16="出让","本次评估设定估价对象剩余土地使用年限为"&amp;项目基本情况!D20&amp;"。","")</f>
        <v>本次评估设定估价对象剩余土地使用年限为住宅69.7年。</v>
      </c>
    </row>
    <row r="24" spans="1:1" ht="18.75">
      <c r="A24" s="1706" t="s">
        <v>2061</v>
      </c>
    </row>
    <row r="25" spans="1:1" ht="93.75">
      <c r="A25" s="1706" t="str">
        <f>定义!C53</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住宅，剩余土地使用年限为住宅69.7年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IF(项目基本情况!B9="市场价格","——",IF(项目基本情况!E9="——","",定义!C57))</f>
        <v/>
      </c>
    </row>
    <row r="29" spans="1:1" ht="18.75">
      <c r="A29" s="1712" t="s">
        <v>2013</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S52" sqref="S52"/>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2909</v>
      </c>
      <c r="B1" s="3246"/>
      <c r="C1" s="3246"/>
      <c r="D1" s="3246"/>
      <c r="E1" s="3246"/>
      <c r="F1" s="3246"/>
      <c r="G1" s="3247"/>
      <c r="H1" s="3247"/>
      <c r="I1" s="3247"/>
      <c r="J1" s="3247"/>
      <c r="K1" s="3247"/>
      <c r="L1" s="3247"/>
      <c r="M1" s="3247"/>
      <c r="N1" s="3247"/>
    </row>
    <row r="2" spans="1:14" ht="14.25">
      <c r="A2" s="3252" t="s">
        <v>2904</v>
      </c>
      <c r="B2" s="3257">
        <f ca="1">SUMIF(B7:B14,"&lt;&gt;#ref!",B7:B14)</f>
        <v>0</v>
      </c>
      <c r="C2" s="3252" t="s">
        <v>2905</v>
      </c>
      <c r="D2" s="3249"/>
      <c r="E2" s="3249"/>
      <c r="F2" s="3249"/>
      <c r="G2" s="3247"/>
      <c r="H2" s="3247"/>
      <c r="I2" s="3247"/>
      <c r="J2" s="3247"/>
      <c r="K2" s="3247"/>
      <c r="L2" s="3247"/>
      <c r="M2" s="3247"/>
      <c r="N2" s="3247"/>
    </row>
    <row r="3" spans="1:14" ht="14.25">
      <c r="A3" s="3252" t="s">
        <v>2934</v>
      </c>
      <c r="B3" s="3257" t="e">
        <f ca="1">ROUND(B2*10000/E3,0)</f>
        <v>#DIV/0!</v>
      </c>
      <c r="C3" s="3252" t="s">
        <v>2064</v>
      </c>
      <c r="D3" s="3252" t="s">
        <v>2906</v>
      </c>
      <c r="E3" s="3250">
        <f ca="1">SUMIF(E7:E14,"&lt;&gt;#ref!",E7:E14)</f>
        <v>0</v>
      </c>
      <c r="F3" s="3249"/>
      <c r="G3" s="3247"/>
      <c r="H3" s="3247"/>
      <c r="I3" s="3247"/>
      <c r="J3" s="3247"/>
      <c r="K3" s="3247"/>
      <c r="L3" s="3247"/>
      <c r="M3" s="3247"/>
      <c r="N3" s="3247"/>
    </row>
    <row r="4" spans="1:14" ht="14.25">
      <c r="A4" s="3252" t="s">
        <v>2912</v>
      </c>
      <c r="B4" s="3257" t="e">
        <f ca="1">ROUND(B2*10000/E4,0)</f>
        <v>#DIV/0!</v>
      </c>
      <c r="C4" s="3252" t="s">
        <v>2064</v>
      </c>
      <c r="D4" s="3252" t="s">
        <v>2913</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2910</v>
      </c>
      <c r="B6" s="3252" t="s">
        <v>2907</v>
      </c>
      <c r="C6" s="2790"/>
      <c r="D6" s="3249"/>
      <c r="E6" s="3252" t="s">
        <v>2908</v>
      </c>
      <c r="F6" s="3252" t="s">
        <v>2911</v>
      </c>
      <c r="G6" s="3247"/>
      <c r="H6" s="3247"/>
      <c r="I6" s="3247"/>
      <c r="J6" s="3247"/>
      <c r="K6" s="3247"/>
      <c r="L6" s="3247"/>
      <c r="M6" s="3247"/>
      <c r="N6" s="3247"/>
    </row>
    <row r="7" spans="1:14" ht="14.25">
      <c r="A7" s="3255"/>
      <c r="B7" s="3257" t="e">
        <f ca="1">SUMIF(INDIRECT("'"&amp;A7&amp;"'"&amp;"!A:A"),"总价",INDIRECT("'"&amp;A7&amp;"'"&amp;"!B:B"))</f>
        <v>#REF!</v>
      </c>
      <c r="C7" s="3252" t="s">
        <v>2905</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2905</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2905</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2905</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2905</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2905</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2905</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2905</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S52" sqref="S52"/>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2356</v>
      </c>
      <c r="F1" s="2243">
        <f ca="1">J54</f>
        <v>-3</v>
      </c>
      <c r="G1" s="764">
        <f>MATCH(C1,'数据-取费表'!A6:A16,0)+5</f>
        <v>9</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2437</v>
      </c>
      <c r="C7" s="53">
        <f ca="1">C8+C12+C14</f>
        <v>0</v>
      </c>
      <c r="D7" s="2349" t="s">
        <v>2440</v>
      </c>
      <c r="E7" s="2343"/>
      <c r="F7" s="2344"/>
      <c r="G7" s="1526"/>
      <c r="H7" s="771">
        <v>1</v>
      </c>
      <c r="I7" s="772" t="s">
        <v>2437</v>
      </c>
      <c r="J7" s="53">
        <f ca="1">J8+J12+J14</f>
        <v>0</v>
      </c>
      <c r="K7" s="2349" t="s">
        <v>2440</v>
      </c>
      <c r="L7" s="2343"/>
      <c r="M7" s="2344"/>
    </row>
    <row r="8" spans="1:25" ht="18" customHeight="1">
      <c r="A8" s="1745" t="s">
        <v>1815</v>
      </c>
      <c r="B8" s="3585" t="s">
        <v>2442</v>
      </c>
      <c r="C8" s="1740">
        <f ca="1">ROUND(F8*F10*F9*(1-F11)/10000,0)</f>
        <v>0</v>
      </c>
      <c r="D8" s="1737" t="s">
        <v>2513</v>
      </c>
      <c r="E8" s="61" t="s">
        <v>631</v>
      </c>
      <c r="F8" s="775">
        <f ca="1">INDIRECT("'数据-取费表'!u"&amp;$G$1)</f>
        <v>0</v>
      </c>
      <c r="G8" s="1526"/>
      <c r="H8" s="2357" t="s">
        <v>1815</v>
      </c>
      <c r="I8" s="3585" t="s">
        <v>2442</v>
      </c>
      <c r="J8" s="773">
        <f ca="1">ROUND(M8*M10*M9*(1-M11)/10000,0)</f>
        <v>0</v>
      </c>
      <c r="K8" s="339" t="s">
        <v>2513</v>
      </c>
      <c r="L8" s="774" t="s">
        <v>1729</v>
      </c>
      <c r="M8" s="775">
        <f ca="1">INDIRECT("'数据-取费表'!z"&amp;$G$1)</f>
        <v>0</v>
      </c>
    </row>
    <row r="9" spans="1:25" ht="18" customHeight="1">
      <c r="A9" s="2353"/>
      <c r="B9" s="3586"/>
      <c r="C9" s="1741"/>
      <c r="D9" s="1738"/>
      <c r="E9" s="61" t="s">
        <v>632</v>
      </c>
      <c r="F9" s="775">
        <f ca="1">IF(INDIRECT("'数据-取费表'!ah"&amp;$G$1)="",INDIRECT("'数据-取费表'!k"&amp;$G$1),INDIRECT("'数据-取费表'!ah"&amp;$G$1))</f>
        <v>0</v>
      </c>
      <c r="G9" s="1526"/>
      <c r="H9" s="2342"/>
      <c r="I9" s="3586"/>
      <c r="J9" s="778"/>
      <c r="K9" s="779"/>
      <c r="L9" s="774" t="s">
        <v>1730</v>
      </c>
      <c r="M9" s="775">
        <f ca="1">F9</f>
        <v>0</v>
      </c>
    </row>
    <row r="10" spans="1:25" ht="18" customHeight="1">
      <c r="A10" s="2346"/>
      <c r="B10" s="3587"/>
      <c r="C10" s="1741"/>
      <c r="D10" s="1738"/>
      <c r="E10" s="61" t="s">
        <v>633</v>
      </c>
      <c r="F10" s="775">
        <f ca="1">INDIRECT("'数据-取费表'!ai"&amp;$G$1)</f>
        <v>0</v>
      </c>
      <c r="G10" s="1526"/>
      <c r="H10" s="2342"/>
      <c r="I10" s="3587"/>
      <c r="J10" s="778"/>
      <c r="K10" s="779"/>
      <c r="L10" s="774" t="s">
        <v>1731</v>
      </c>
      <c r="M10" s="775">
        <f ca="1">INDIRECT("'数据-取费表'!ai"&amp;$G$1)</f>
        <v>0</v>
      </c>
    </row>
    <row r="11" spans="1:25" ht="18" customHeight="1">
      <c r="A11" s="776"/>
      <c r="B11" s="3588"/>
      <c r="C11" s="1741"/>
      <c r="D11" s="1738"/>
      <c r="E11" s="61" t="s">
        <v>634</v>
      </c>
      <c r="F11" s="784">
        <f ca="1">INDIRECT("'数据-取费表'!w"&amp;$G$1)</f>
        <v>0</v>
      </c>
      <c r="G11" s="1526"/>
      <c r="H11" s="2358"/>
      <c r="I11" s="3587"/>
      <c r="J11" s="778"/>
      <c r="K11" s="779"/>
      <c r="L11" s="785" t="s">
        <v>1732</v>
      </c>
      <c r="M11" s="786">
        <f ca="1">INDIRECT("'数据-取费表'!ab"&amp;$G$1)</f>
        <v>0</v>
      </c>
    </row>
    <row r="12" spans="1:25" ht="18" customHeight="1">
      <c r="A12" s="1745" t="s">
        <v>1816</v>
      </c>
      <c r="B12" s="2347" t="s">
        <v>2438</v>
      </c>
      <c r="C12" s="789">
        <f ca="1">ROUND(IF(F12="押一",C8/12*F13,IF(F12="押二",C8/12*2*F13,IF(F12="押三",C8/12*3*F13,C13*F13))),0)</f>
        <v>0</v>
      </c>
      <c r="D12" s="2354" t="s">
        <v>2931</v>
      </c>
      <c r="E12" s="2351" t="s">
        <v>2443</v>
      </c>
      <c r="F12" s="2465"/>
      <c r="G12" s="1526"/>
      <c r="H12" s="2414" t="s">
        <v>1816</v>
      </c>
      <c r="I12" s="2419" t="s">
        <v>2438</v>
      </c>
      <c r="J12" s="773">
        <f ca="1">ROUND(IF(M12="押一",J8/12*M13,IF(M12="押二",J8/12*2*M13,IF(M12="押三",J8/12*3*M13,J13*M13))),0)</f>
        <v>0</v>
      </c>
      <c r="K12" s="2354" t="s">
        <v>2931</v>
      </c>
      <c r="L12" s="2351" t="s">
        <v>2443</v>
      </c>
      <c r="M12" s="2465"/>
    </row>
    <row r="13" spans="1:25" ht="18" customHeight="1">
      <c r="A13" s="780"/>
      <c r="B13" s="2348" t="s">
        <v>2552</v>
      </c>
      <c r="C13" s="2352"/>
      <c r="D13" s="779"/>
      <c r="E13" s="2351" t="s">
        <v>2435</v>
      </c>
      <c r="F13" s="786">
        <f ca="1">'数据-取费表'!B39</f>
        <v>1.4999999999999999E-2</v>
      </c>
      <c r="G13" s="1526"/>
      <c r="H13" s="2415"/>
      <c r="I13" s="2348" t="s">
        <v>2552</v>
      </c>
      <c r="J13" s="2352"/>
      <c r="K13" s="2416"/>
      <c r="L13" s="2351" t="s">
        <v>2435</v>
      </c>
      <c r="M13" s="2345">
        <f ca="1">'数据-取费表'!B39</f>
        <v>1.4999999999999999E-2</v>
      </c>
    </row>
    <row r="14" spans="1:25" ht="18" customHeight="1" thickBot="1">
      <c r="A14" s="2390" t="s">
        <v>2446</v>
      </c>
      <c r="B14" s="2391" t="s">
        <v>2439</v>
      </c>
      <c r="C14" s="2392"/>
      <c r="D14" s="2393"/>
      <c r="E14" s="2394"/>
      <c r="F14" s="2395"/>
      <c r="G14" s="1526"/>
      <c r="H14" s="2404" t="s">
        <v>2446</v>
      </c>
      <c r="I14" s="2417" t="s">
        <v>2439</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2055</v>
      </c>
      <c r="I16" s="2111" t="s">
        <v>2801</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2056</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7"/>
      <c r="H19" s="793" t="s">
        <v>2055</v>
      </c>
      <c r="I19" s="774" t="s">
        <v>650</v>
      </c>
      <c r="J19" s="3019">
        <f ca="1">ROUND(IF(AND(项目基本情况!B11="自然人",项目基本情况!B10="北京市"),J8*M19/(1+'数据-取费表'!F30),J20+J21+J22),0)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7"/>
      <c r="H22" s="1747" t="s">
        <v>1841</v>
      </c>
      <c r="I22" s="1737" t="s">
        <v>662</v>
      </c>
      <c r="J22" s="54">
        <f ca="1">ROUND(M22*M23/10000,0)</f>
        <v>0</v>
      </c>
      <c r="K22" s="803" t="s">
        <v>663</v>
      </c>
      <c r="L22" s="774" t="s">
        <v>664</v>
      </c>
      <c r="M22" s="632">
        <f>'数据-取费表'!B52</f>
        <v>18</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0.03</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2056</v>
      </c>
      <c r="I24" s="774" t="s">
        <v>670</v>
      </c>
      <c r="J24" s="53">
        <f ca="1">ROUND(J16*M24,0)</f>
        <v>0</v>
      </c>
      <c r="K24" s="1891" t="s">
        <v>671</v>
      </c>
      <c r="L24" s="774" t="s">
        <v>643</v>
      </c>
      <c r="M24" s="806">
        <f ca="1">INDIRECT("'数据-取费表'!Ak"&amp;$G$1)</f>
        <v>0</v>
      </c>
    </row>
    <row r="25" spans="1:25" s="1947" customFormat="1" ht="18" customHeight="1">
      <c r="A25" s="793" t="s">
        <v>1866</v>
      </c>
      <c r="B25" s="774" t="s">
        <v>2418</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3</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2.2000000000000001E-3</v>
      </c>
      <c r="D26" s="2423" t="str">
        <f>IF(F25&lt;=1,"销售费用×利率×(建设周期÷2)","销售费用×((1+利率)^(建设周期÷2)-1)")</f>
        <v>销售费用×((1+利率)^(建设周期÷2)-1)</v>
      </c>
      <c r="E26" s="774" t="s">
        <v>676</v>
      </c>
      <c r="F26" s="808">
        <f ca="1">'数据-取费表'!B40</f>
        <v>4.7500000000000001E-2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4" t="s">
        <v>2798</v>
      </c>
      <c r="J27" s="789">
        <f ca="1">J7-J18</f>
        <v>0</v>
      </c>
      <c r="K27" s="1893" t="s">
        <v>694</v>
      </c>
      <c r="L27" s="1895"/>
      <c r="M27" s="809"/>
    </row>
    <row r="28" spans="1:25" ht="18" customHeight="1">
      <c r="A28" s="793" t="s">
        <v>1866</v>
      </c>
      <c r="B28" s="774" t="s">
        <v>2419</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2799</v>
      </c>
      <c r="C31" s="2397">
        <f ca="1">ROUND((C21+C22+C25+C28)/(1-F23-C26-C29-C30),0)</f>
        <v>0</v>
      </c>
      <c r="D31" s="2398"/>
      <c r="E31" s="2399"/>
      <c r="F31" s="2400"/>
      <c r="G31" s="1527"/>
      <c r="H31" s="812" t="s">
        <v>1863</v>
      </c>
      <c r="I31" s="2725" t="s">
        <v>2800</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ROUND(IF(AND(项目基本情况!B11="自然人",项目基本情况!B10="北京市"),C8*F33/(1+'数据-取费表'!F30),C34+C35+C36),0)</f>
        <v>0</v>
      </c>
      <c r="D33" s="1893" t="s">
        <v>651</v>
      </c>
      <c r="E33" s="1891" t="s">
        <v>684</v>
      </c>
      <c r="F33" s="3018" t="str">
        <f>IF(项目基本情况!B11="企业","——",IF('数据-取费表'!B10="住宅",IF(F8*F9*F10/12/(1+'数据-取费表'!F30)&gt;100000,4%,2.5%),IF(F8*F9*F10/12/(1+'数据-取费表'!F30)&gt;100000,12%,7%)))</f>
        <v>——</v>
      </c>
      <c r="G33" s="1945"/>
      <c r="H33" s="3258" t="s">
        <v>2990</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18</v>
      </c>
      <c r="G36" s="1945"/>
      <c r="H36" s="1948"/>
      <c r="I36" s="3584"/>
      <c r="J36" s="1962"/>
      <c r="K36" s="1963"/>
      <c r="L36" s="1962"/>
      <c r="M36" s="1962"/>
    </row>
    <row r="37" spans="1:18" ht="18" customHeight="1">
      <c r="A37" s="804"/>
      <c r="B37" s="783"/>
      <c r="C37" s="69"/>
      <c r="D37" s="805"/>
      <c r="E37" s="774" t="s">
        <v>668</v>
      </c>
      <c r="F37" s="775">
        <f ca="1">INDIRECT("'数据-取费表'!r"&amp;$G$1)</f>
        <v>0</v>
      </c>
      <c r="G37" s="1945"/>
      <c r="H37" s="1948"/>
      <c r="I37" s="3584"/>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8" t="s">
        <v>706</v>
      </c>
      <c r="E43" s="2795" t="s">
        <v>2920</v>
      </c>
      <c r="F43" s="2796">
        <f ca="1">INDIRECT("'数据-取费表'!j"&amp;$G$1)</f>
        <v>0</v>
      </c>
      <c r="G43" s="1945"/>
      <c r="H43" s="1945"/>
      <c r="I43" s="1945"/>
      <c r="J43" s="1945"/>
      <c r="K43" s="1965"/>
      <c r="L43" s="1945"/>
      <c r="M43" s="1945"/>
    </row>
    <row r="44" spans="1:18" ht="18" customHeight="1">
      <c r="A44" s="793" t="s">
        <v>1869</v>
      </c>
      <c r="B44" s="824" t="s">
        <v>707</v>
      </c>
      <c r="C44" s="1309">
        <f ca="1">C42-C43</f>
        <v>0</v>
      </c>
      <c r="D44" s="457" t="s">
        <v>708</v>
      </c>
      <c r="E44" s="458"/>
      <c r="F44" s="459"/>
      <c r="G44" s="1945"/>
      <c r="H44" s="1945"/>
      <c r="I44" s="1945"/>
      <c r="J44" s="1945"/>
      <c r="K44" s="1965"/>
      <c r="L44" s="1945"/>
      <c r="M44" s="1945"/>
    </row>
    <row r="45" spans="1:18" ht="18" customHeight="1">
      <c r="A45" s="793" t="s">
        <v>1870</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2923</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2325</v>
      </c>
      <c r="J47" s="2234"/>
      <c r="K47" s="2235"/>
      <c r="L47" s="2811" t="str">
        <f ca="1">IF(M48="住宅",0,IF(L49&gt;J52,L61,J61))</f>
        <v>0</v>
      </c>
      <c r="O47" s="2249" t="s">
        <v>2392</v>
      </c>
      <c r="P47" s="1526"/>
      <c r="Q47" s="1534"/>
      <c r="R47" s="1526"/>
    </row>
    <row r="48" spans="1:18" s="1942" customFormat="1" ht="18" customHeight="1" thickBot="1">
      <c r="A48" s="1966"/>
      <c r="C48" s="1969"/>
      <c r="D48" s="1970"/>
      <c r="E48" s="1970"/>
      <c r="F48" s="1971"/>
      <c r="G48" s="1972"/>
      <c r="I48" s="2802" t="s">
        <v>2326</v>
      </c>
      <c r="J48" s="2236"/>
      <c r="K48" s="2808" t="s">
        <v>2331</v>
      </c>
      <c r="L48" s="2812">
        <f ca="1">INDIRECT("'数据-取费表'!d"&amp;$G$1)</f>
        <v>0</v>
      </c>
      <c r="M48" s="2794" t="str">
        <f>IF(ISNUMBER(FIND("住宅",C1)),"住宅","非住宅")</f>
        <v>非住宅</v>
      </c>
      <c r="O48" s="2250" t="s">
        <v>2357</v>
      </c>
      <c r="P48" s="2251" t="s">
        <v>2358</v>
      </c>
      <c r="Q48" s="2252" t="s">
        <v>2359</v>
      </c>
      <c r="R48" s="2251" t="s">
        <v>2360</v>
      </c>
    </row>
    <row r="49" spans="1:18" s="1942" customFormat="1" ht="18" customHeight="1" thickBot="1">
      <c r="A49" s="1966"/>
      <c r="D49" s="1973"/>
      <c r="E49" s="1974"/>
      <c r="F49" s="1971"/>
      <c r="G49" s="1972"/>
      <c r="H49" s="1975"/>
      <c r="I49" s="2799" t="s">
        <v>2327</v>
      </c>
      <c r="J49" s="2237"/>
      <c r="K49" s="2809" t="s">
        <v>2333</v>
      </c>
      <c r="L49" s="1822">
        <f ca="1">INDIRECT("'数据-取费表'!f"&amp;$G$1)</f>
        <v>0</v>
      </c>
      <c r="O49" s="2253" t="s">
        <v>2361</v>
      </c>
      <c r="P49" s="2254" t="s">
        <v>2387</v>
      </c>
      <c r="Q49" s="2255">
        <f ca="1">C41+J31</f>
        <v>0</v>
      </c>
      <c r="R49" s="2254" t="s">
        <v>2362</v>
      </c>
    </row>
    <row r="50" spans="1:18" s="1942" customFormat="1" ht="18" customHeight="1" thickBot="1">
      <c r="A50" s="1966"/>
      <c r="D50" s="1976"/>
      <c r="E50" s="1976"/>
      <c r="F50" s="1970"/>
      <c r="G50" s="1977"/>
      <c r="H50" s="1975"/>
      <c r="I50" s="2799" t="s">
        <v>2328</v>
      </c>
      <c r="J50" s="2238"/>
      <c r="K50" s="2810" t="s">
        <v>2334</v>
      </c>
      <c r="L50" s="2239"/>
      <c r="O50" s="2253" t="s">
        <v>2363</v>
      </c>
      <c r="P50" s="2254" t="s">
        <v>2388</v>
      </c>
      <c r="Q50" s="2255" t="str">
        <f ca="1">J61</f>
        <v>0</v>
      </c>
      <c r="R50" s="2254" t="s">
        <v>2364</v>
      </c>
    </row>
    <row r="51" spans="1:18" s="1942" customFormat="1" ht="18" customHeight="1" thickBot="1">
      <c r="A51" s="1978"/>
      <c r="D51" s="1976"/>
      <c r="E51" s="1976"/>
      <c r="F51" s="1967"/>
      <c r="H51" s="1975"/>
      <c r="I51" s="2799" t="s">
        <v>2329</v>
      </c>
      <c r="J51" s="2806">
        <f>SUMPRODUCT((I64:I66=J48)*(J63:L63=J49)*(J64:L66))</f>
        <v>0</v>
      </c>
      <c r="K51" s="2810" t="s">
        <v>2335</v>
      </c>
      <c r="L51" s="2239"/>
      <c r="O51" s="2256" t="s">
        <v>2365</v>
      </c>
      <c r="P51" s="2254" t="s">
        <v>2389</v>
      </c>
      <c r="Q51" s="2255">
        <f ca="1">C31</f>
        <v>0</v>
      </c>
      <c r="R51" s="2254" t="s">
        <v>2362</v>
      </c>
    </row>
    <row r="52" spans="1:18" s="1942" customFormat="1" ht="18" customHeight="1" thickBot="1">
      <c r="A52" s="1978"/>
      <c r="F52" s="1967"/>
      <c r="I52" s="2803" t="s">
        <v>2330</v>
      </c>
      <c r="J52" s="2807">
        <f>IF(J50="",J51,J50+J51-YEAR('数据-取费表'!B3))</f>
        <v>0</v>
      </c>
      <c r="K52" s="2799" t="s">
        <v>2336</v>
      </c>
      <c r="L52" s="2813">
        <f ca="1">C45</f>
        <v>0</v>
      </c>
      <c r="O52" s="2256" t="s">
        <v>2366</v>
      </c>
      <c r="P52" s="2254" t="s">
        <v>2367</v>
      </c>
      <c r="Q52" s="2257" t="e">
        <f ca="1">J59</f>
        <v>#VALUE!</v>
      </c>
      <c r="R52" s="2258"/>
    </row>
    <row r="53" spans="1:18" s="1942" customFormat="1" ht="18" customHeight="1" thickBot="1">
      <c r="A53" s="1978"/>
      <c r="F53" s="1967"/>
      <c r="I53" s="2804" t="s">
        <v>2403</v>
      </c>
      <c r="J53" s="2240"/>
      <c r="K53" s="2804" t="s">
        <v>2402</v>
      </c>
      <c r="L53" s="2240"/>
      <c r="O53" s="2256" t="s">
        <v>2368</v>
      </c>
      <c r="P53" s="2254" t="s">
        <v>2369</v>
      </c>
      <c r="Q53" s="2257">
        <f>J53</f>
        <v>0</v>
      </c>
      <c r="R53" s="2258"/>
    </row>
    <row r="54" spans="1:18" s="1942" customFormat="1" ht="29.25" thickBot="1">
      <c r="A54" s="1978"/>
      <c r="I54" s="2805" t="s">
        <v>2935</v>
      </c>
      <c r="J54" s="2858">
        <f ca="1">IF(M48="住宅",MAX(J52,L49-'数据-取费表'!B20),MIN(J52,L49-'数据-取费表'!B20))</f>
        <v>-3</v>
      </c>
      <c r="K54" s="3589"/>
      <c r="L54" s="3590"/>
      <c r="O54" s="2256" t="s">
        <v>2370</v>
      </c>
      <c r="P54" s="2254" t="s">
        <v>2371</v>
      </c>
      <c r="Q54" s="2255">
        <f ca="1">J54</f>
        <v>-3</v>
      </c>
      <c r="R54" s="2254" t="s">
        <v>2372</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2373</v>
      </c>
      <c r="P55" s="2254" t="s">
        <v>2390</v>
      </c>
      <c r="Q55" s="2255">
        <f ca="1">Q49+Q50</f>
        <v>0</v>
      </c>
      <c r="R55" s="2258" t="s">
        <v>2374</v>
      </c>
    </row>
    <row r="56" spans="1:18" s="1942" customFormat="1" ht="16.5" thickBot="1">
      <c r="A56" s="1978"/>
      <c r="B56" s="1979"/>
      <c r="C56" s="1979"/>
      <c r="I56" s="2816" t="s">
        <v>2337</v>
      </c>
      <c r="J56" s="2788" t="e">
        <f ca="1">ROUND(IF(J48="钢混",J58/J51,1-(1-2%)*(J51-J58)/J51),3)</f>
        <v>#VALUE!</v>
      </c>
      <c r="K56" s="2817" t="s">
        <v>2338</v>
      </c>
      <c r="L56" s="2241"/>
      <c r="O56" s="2259" t="s">
        <v>2393</v>
      </c>
      <c r="P56" s="1526"/>
      <c r="Q56" s="1534"/>
      <c r="R56" s="1526"/>
    </row>
    <row r="57" spans="1:18" s="1942" customFormat="1" ht="43.5" thickBot="1">
      <c r="A57" s="1978"/>
      <c r="B57" s="1979"/>
      <c r="C57" s="1979"/>
      <c r="I57" s="2818" t="s">
        <v>2339</v>
      </c>
      <c r="J57" s="2828" t="s">
        <v>1669</v>
      </c>
      <c r="K57" s="2799" t="s">
        <v>2344</v>
      </c>
      <c r="L57" s="1822">
        <f ca="1">IF(L49&lt;J52,"——",L49-J52)</f>
        <v>0</v>
      </c>
      <c r="O57" s="2250" t="s">
        <v>2357</v>
      </c>
      <c r="P57" s="2251" t="s">
        <v>2358</v>
      </c>
      <c r="Q57" s="2252" t="s">
        <v>2359</v>
      </c>
      <c r="R57" s="2251" t="s">
        <v>2360</v>
      </c>
    </row>
    <row r="58" spans="1:18" s="1942" customFormat="1" ht="29.25" thickBot="1">
      <c r="A58" s="1978"/>
      <c r="B58" s="1979"/>
      <c r="C58" s="1979"/>
      <c r="I58" s="2819" t="s">
        <v>2340</v>
      </c>
      <c r="J58" s="2820" t="str">
        <f ca="1">IF(OR(M48="住宅",J52&lt;L49,J57="是"),"——",J52-L49)</f>
        <v>——</v>
      </c>
      <c r="K58" s="2799" t="s">
        <v>2345</v>
      </c>
      <c r="L58" s="1822">
        <f ca="1">IF(L49&lt;J52,"——",IF(L56="比较法",L50,IF(L56="基准地价",L51,L52)))</f>
        <v>0</v>
      </c>
      <c r="O58" s="2253" t="s">
        <v>2361</v>
      </c>
      <c r="P58" s="2254" t="s">
        <v>2387</v>
      </c>
      <c r="Q58" s="2255">
        <f ca="1">C41+J31</f>
        <v>0</v>
      </c>
      <c r="R58" s="2254" t="s">
        <v>2362</v>
      </c>
    </row>
    <row r="59" spans="1:18" s="1942" customFormat="1" ht="29.25" thickBot="1">
      <c r="A59" s="1978"/>
      <c r="B59" s="1979"/>
      <c r="C59" s="1979"/>
      <c r="I59" s="2819" t="s">
        <v>2341</v>
      </c>
      <c r="J59" s="2789" t="e">
        <f ca="1">IF(J56&lt;0.4,0.4,J56)</f>
        <v>#VALUE!</v>
      </c>
      <c r="K59" s="2799" t="s">
        <v>2346</v>
      </c>
      <c r="L59" s="1822">
        <f ca="1">IF(ISERROR(POWER(1+L53,L48-L49)*(POWER(1+L53,L49)-1)/(POWER(1+L53,L48)-1)),0,POWER(1+L53,L48-L49)*(POWER(1+L53,L49)-1)/(POWER(1+L53,L48)-1))</f>
        <v>0</v>
      </c>
      <c r="O59" s="2253" t="s">
        <v>2363</v>
      </c>
      <c r="P59" s="2254" t="s">
        <v>2394</v>
      </c>
      <c r="Q59" s="2255" t="e">
        <f ca="1">L61</f>
        <v>#DIV/0!</v>
      </c>
      <c r="R59" s="2258" t="s">
        <v>2396</v>
      </c>
    </row>
    <row r="60" spans="1:18" s="1942" customFormat="1" ht="29.25" thickBot="1">
      <c r="A60" s="1978"/>
      <c r="B60" s="1979"/>
      <c r="C60" s="1979"/>
      <c r="I60" s="2819" t="s">
        <v>2342</v>
      </c>
      <c r="J60" s="2820" t="str">
        <f ca="1">IF(OR(M48="住宅",J52&lt;L49,J57="是"),"——",ROUND(C30*J59,0))</f>
        <v>——</v>
      </c>
      <c r="K60" s="2799" t="s">
        <v>2347</v>
      </c>
      <c r="L60" s="1822">
        <f ca="1">IF(ISERROR(POWER(1+L53,L48-J52)*(POWER(1+L53,J52)-1)/(POWER(1+L53,L48)-1)),0,POWER(1+L53,L48-J52)*(POWER(1+L53,J52)-1)/(POWER(1+L53,L48)-1))</f>
        <v>0</v>
      </c>
      <c r="O60" s="2256" t="s">
        <v>2365</v>
      </c>
      <c r="P60" s="2254" t="s">
        <v>2395</v>
      </c>
      <c r="Q60" s="2255">
        <f>IF(L56="比较法",L50,IF(L56="基准地价",L51,0))</f>
        <v>0</v>
      </c>
      <c r="R60" s="2254" t="s">
        <v>2362</v>
      </c>
    </row>
    <row r="61" spans="1:18" s="1942" customFormat="1" ht="15.75" thickBot="1">
      <c r="A61" s="1978"/>
      <c r="B61" s="1979"/>
      <c r="C61" s="1979"/>
      <c r="I61" s="2821" t="s">
        <v>2343</v>
      </c>
      <c r="J61" s="2822" t="str">
        <f ca="1">IF(OR(M48="住宅",J52&lt;L49,J57="是"),"0",ROUND(J60/(1+J53)^J54,0))</f>
        <v>0</v>
      </c>
      <c r="K61" s="2823" t="s">
        <v>2348</v>
      </c>
      <c r="L61" s="2822" t="e">
        <f ca="1">IF(OR(M48="住宅",L49&lt;J52),0,ROUND(L58*(L59/L60-1),0))</f>
        <v>#DIV/0!</v>
      </c>
      <c r="O61" s="2256" t="s">
        <v>2366</v>
      </c>
      <c r="P61" s="2254" t="s">
        <v>2375</v>
      </c>
      <c r="Q61" s="2257">
        <f>L53</f>
        <v>0</v>
      </c>
      <c r="R61" s="2258"/>
    </row>
    <row r="62" spans="1:18" s="1942" customFormat="1" ht="20.25" thickBot="1">
      <c r="A62" s="1978"/>
      <c r="B62" s="1979"/>
      <c r="C62" s="1979"/>
      <c r="K62" s="1968"/>
      <c r="O62" s="2256" t="s">
        <v>2368</v>
      </c>
      <c r="P62" s="2254" t="s">
        <v>2376</v>
      </c>
      <c r="Q62" s="2255">
        <f ca="1">L59</f>
        <v>0</v>
      </c>
      <c r="R62" s="2258" t="s">
        <v>2377</v>
      </c>
    </row>
    <row r="63" spans="1:18" s="1942" customFormat="1" ht="20.25" thickBot="1">
      <c r="A63" s="1978"/>
      <c r="B63" s="1979"/>
      <c r="C63" s="1979"/>
      <c r="I63" s="2824" t="s">
        <v>2349</v>
      </c>
      <c r="J63" s="2825" t="s">
        <v>2350</v>
      </c>
      <c r="K63" s="2825" t="s">
        <v>2351</v>
      </c>
      <c r="L63" s="2825" t="s">
        <v>2332</v>
      </c>
      <c r="M63" s="2826" t="s">
        <v>2903</v>
      </c>
      <c r="O63" s="2256" t="s">
        <v>2370</v>
      </c>
      <c r="P63" s="2254" t="s">
        <v>2378</v>
      </c>
      <c r="Q63" s="2255">
        <f ca="1">L60</f>
        <v>0</v>
      </c>
      <c r="R63" s="2258" t="s">
        <v>2379</v>
      </c>
    </row>
    <row r="64" spans="1:18" s="1942" customFormat="1" ht="15.75" thickBot="1">
      <c r="A64" s="1978"/>
      <c r="B64" s="1979"/>
      <c r="C64" s="1979"/>
      <c r="I64" s="2824" t="s">
        <v>2352</v>
      </c>
      <c r="J64" s="2825">
        <v>70</v>
      </c>
      <c r="K64" s="2825">
        <v>50</v>
      </c>
      <c r="L64" s="2825">
        <v>80</v>
      </c>
      <c r="M64" s="2827">
        <v>0.02</v>
      </c>
      <c r="O64" s="2253" t="s">
        <v>2373</v>
      </c>
      <c r="P64" s="2254" t="s">
        <v>2390</v>
      </c>
      <c r="Q64" s="2255" t="e">
        <f ca="1">Q58+Q59</f>
        <v>#DIV/0!</v>
      </c>
      <c r="R64" s="2258" t="s">
        <v>2374</v>
      </c>
    </row>
    <row r="65" spans="1:18" s="1942" customFormat="1" ht="16.5" thickBot="1">
      <c r="A65" s="1978"/>
      <c r="B65" s="1979"/>
      <c r="C65" s="1979"/>
      <c r="I65" s="2824" t="s">
        <v>2353</v>
      </c>
      <c r="J65" s="2825">
        <v>50</v>
      </c>
      <c r="K65" s="2825">
        <v>35</v>
      </c>
      <c r="L65" s="2825">
        <v>60</v>
      </c>
      <c r="M65" s="835">
        <v>0</v>
      </c>
      <c r="O65" s="2259" t="s">
        <v>2397</v>
      </c>
      <c r="P65" s="1526"/>
      <c r="Q65" s="1534"/>
      <c r="R65" s="1526"/>
    </row>
    <row r="66" spans="1:18" s="1942" customFormat="1" ht="15.75" thickBot="1">
      <c r="A66" s="1978"/>
      <c r="B66" s="1979"/>
      <c r="C66" s="1979"/>
      <c r="I66" s="2824" t="s">
        <v>2354</v>
      </c>
      <c r="J66" s="2825">
        <v>40</v>
      </c>
      <c r="K66" s="2825">
        <v>30</v>
      </c>
      <c r="L66" s="2825">
        <v>50</v>
      </c>
      <c r="M66" s="2827">
        <v>0.02</v>
      </c>
      <c r="O66" s="2250" t="s">
        <v>2357</v>
      </c>
      <c r="P66" s="2251" t="s">
        <v>2358</v>
      </c>
      <c r="Q66" s="2252" t="s">
        <v>2359</v>
      </c>
      <c r="R66" s="2251" t="s">
        <v>2360</v>
      </c>
    </row>
    <row r="67" spans="1:18" s="1942" customFormat="1" ht="15.75" thickBot="1">
      <c r="A67" s="1978"/>
      <c r="B67" s="1979"/>
      <c r="C67" s="1979"/>
      <c r="K67" s="1968"/>
      <c r="O67" s="2253" t="s">
        <v>2361</v>
      </c>
      <c r="P67" s="2254" t="s">
        <v>2387</v>
      </c>
      <c r="Q67" s="2255">
        <f ca="1">C41+J31</f>
        <v>0</v>
      </c>
      <c r="R67" s="2254" t="s">
        <v>2362</v>
      </c>
    </row>
    <row r="68" spans="1:18" s="1942" customFormat="1" ht="20.25" thickBot="1">
      <c r="A68" s="1978"/>
      <c r="B68" s="1979"/>
      <c r="C68" s="1979"/>
      <c r="K68" s="1968"/>
      <c r="O68" s="2253" t="s">
        <v>2363</v>
      </c>
      <c r="P68" s="2254" t="s">
        <v>2394</v>
      </c>
      <c r="Q68" s="2255" t="e">
        <f ca="1">L61</f>
        <v>#DIV/0!</v>
      </c>
      <c r="R68" s="2258" t="s">
        <v>2396</v>
      </c>
    </row>
    <row r="69" spans="1:18" s="1942" customFormat="1" ht="21.75" thickBot="1">
      <c r="A69" s="1978"/>
      <c r="B69" s="1979"/>
      <c r="C69" s="1979"/>
      <c r="K69" s="1968"/>
      <c r="O69" s="2256" t="s">
        <v>2365</v>
      </c>
      <c r="P69" s="2254" t="s">
        <v>2395</v>
      </c>
      <c r="Q69" s="2260">
        <f ca="1">L52</f>
        <v>0</v>
      </c>
      <c r="R69" s="2261" t="s">
        <v>2398</v>
      </c>
    </row>
    <row r="70" spans="1:18" s="1942" customFormat="1" ht="20.25" thickBot="1">
      <c r="A70" s="1978"/>
      <c r="B70" s="1979"/>
      <c r="C70" s="1979"/>
      <c r="K70" s="1968"/>
      <c r="O70" s="2256" t="s">
        <v>2366</v>
      </c>
      <c r="P70" s="2262" t="s">
        <v>2380</v>
      </c>
      <c r="Q70" s="2255">
        <f ca="1">ROUND(Q71-Q72*Q73,0)</f>
        <v>0</v>
      </c>
      <c r="R70" s="2258"/>
    </row>
    <row r="71" spans="1:18" s="1942" customFormat="1" ht="15.75" thickBot="1">
      <c r="A71" s="1978"/>
      <c r="B71" s="1979"/>
      <c r="C71" s="1979"/>
      <c r="K71" s="1968"/>
      <c r="O71" s="2256" t="s">
        <v>2381</v>
      </c>
      <c r="P71" s="2262" t="s">
        <v>2382</v>
      </c>
      <c r="Q71" s="2255">
        <f ca="1">C42</f>
        <v>0</v>
      </c>
      <c r="R71" s="2254" t="s">
        <v>2362</v>
      </c>
    </row>
    <row r="72" spans="1:18" s="1942" customFormat="1" ht="15.75" thickBot="1">
      <c r="A72" s="1978"/>
      <c r="B72" s="1979"/>
      <c r="C72" s="1979"/>
      <c r="K72" s="1968"/>
      <c r="O72" s="2256" t="s">
        <v>2383</v>
      </c>
      <c r="P72" s="2262" t="s">
        <v>2384</v>
      </c>
      <c r="Q72" s="2255">
        <f ca="1">C15</f>
        <v>0</v>
      </c>
      <c r="R72" s="2254" t="s">
        <v>2362</v>
      </c>
    </row>
    <row r="73" spans="1:18" s="1942" customFormat="1" ht="15.75" thickBot="1">
      <c r="A73" s="1978"/>
      <c r="B73" s="1979"/>
      <c r="C73" s="1979"/>
      <c r="K73" s="1968"/>
      <c r="O73" s="2256" t="s">
        <v>2385</v>
      </c>
      <c r="P73" s="2262" t="s">
        <v>2386</v>
      </c>
      <c r="Q73" s="2257">
        <f ca="1">F43</f>
        <v>0</v>
      </c>
      <c r="R73" s="2258"/>
    </row>
    <row r="74" spans="1:18" s="1942" customFormat="1" ht="15.75" thickBot="1">
      <c r="A74" s="1978"/>
      <c r="B74" s="1979"/>
      <c r="C74" s="1979"/>
      <c r="K74" s="1968"/>
      <c r="O74" s="2256" t="s">
        <v>2368</v>
      </c>
      <c r="P74" s="2254" t="s">
        <v>2375</v>
      </c>
      <c r="Q74" s="2257">
        <f>L53</f>
        <v>0</v>
      </c>
      <c r="R74" s="2258"/>
    </row>
    <row r="75" spans="1:18" s="1942" customFormat="1" ht="20.25" thickBot="1">
      <c r="A75" s="1978"/>
      <c r="B75" s="1979"/>
      <c r="C75" s="1979"/>
      <c r="K75" s="1968"/>
      <c r="O75" s="2256" t="s">
        <v>2370</v>
      </c>
      <c r="P75" s="2254" t="s">
        <v>2376</v>
      </c>
      <c r="Q75" s="2255">
        <f ca="1">L59</f>
        <v>0</v>
      </c>
      <c r="R75" s="2258" t="s">
        <v>2377</v>
      </c>
    </row>
    <row r="76" spans="1:18" s="1942" customFormat="1" ht="20.25" thickBot="1">
      <c r="A76" s="1978"/>
      <c r="B76" s="1979"/>
      <c r="C76" s="1979"/>
      <c r="K76" s="1968"/>
      <c r="O76" s="2256" t="s">
        <v>2399</v>
      </c>
      <c r="P76" s="2254" t="s">
        <v>2378</v>
      </c>
      <c r="Q76" s="2255">
        <f ca="1">L60</f>
        <v>0</v>
      </c>
      <c r="R76" s="2258" t="s">
        <v>2379</v>
      </c>
    </row>
    <row r="77" spans="1:18" s="1942" customFormat="1" ht="15.75" thickBot="1">
      <c r="A77" s="1978"/>
      <c r="B77" s="1979"/>
      <c r="C77" s="1979"/>
      <c r="K77" s="1968"/>
      <c r="O77" s="2253" t="s">
        <v>2373</v>
      </c>
      <c r="P77" s="2254" t="s">
        <v>2390</v>
      </c>
      <c r="Q77" s="2255" t="e">
        <f ca="1">Q67+Q68</f>
        <v>#DIV/0!</v>
      </c>
      <c r="R77" s="2258" t="s">
        <v>2374</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S52" sqref="S52"/>
    </sheetView>
  </sheetViews>
  <sheetFormatPr defaultRowHeight="13.5"/>
  <cols>
    <col min="1" max="1" width="10.5" customWidth="1"/>
    <col min="2" max="2" width="12.875" customWidth="1"/>
    <col min="3" max="3" width="8.75" customWidth="1"/>
  </cols>
  <sheetData>
    <row r="1" spans="1:9" ht="14.25">
      <c r="A1" s="3607" t="s">
        <v>2450</v>
      </c>
      <c r="B1" s="3608"/>
      <c r="C1" s="3609"/>
      <c r="D1" s="3610">
        <f>SUM(I10,I15,I20,I21,I23)</f>
        <v>0</v>
      </c>
      <c r="E1" s="3610"/>
      <c r="F1" s="3610"/>
      <c r="G1" s="3610"/>
      <c r="H1" s="3610"/>
      <c r="I1" s="3611"/>
    </row>
    <row r="2" spans="1:9">
      <c r="A2" s="3597" t="s">
        <v>2451</v>
      </c>
      <c r="B2" s="3598" t="s">
        <v>2452</v>
      </c>
      <c r="C2" s="3598"/>
      <c r="D2" s="2360" t="s">
        <v>2453</v>
      </c>
      <c r="E2" s="2360" t="s">
        <v>2454</v>
      </c>
      <c r="F2" s="2360" t="s">
        <v>2455</v>
      </c>
      <c r="G2" s="2360" t="s">
        <v>2456</v>
      </c>
      <c r="H2" s="2360" t="s">
        <v>2457</v>
      </c>
      <c r="I2" s="2361" t="s">
        <v>2458</v>
      </c>
    </row>
    <row r="3" spans="1:9">
      <c r="A3" s="3597"/>
      <c r="B3" s="3598" t="s">
        <v>2459</v>
      </c>
      <c r="C3" s="3598"/>
      <c r="D3" s="2362"/>
      <c r="E3" s="2360"/>
      <c r="F3" s="2363"/>
      <c r="G3" s="2363"/>
      <c r="H3" s="2364"/>
      <c r="I3" s="2365">
        <f>ROUND(D3*E3*F3*G3*H3/10000,0)</f>
        <v>0</v>
      </c>
    </row>
    <row r="4" spans="1:9">
      <c r="A4" s="3597"/>
      <c r="B4" s="3598" t="s">
        <v>2460</v>
      </c>
      <c r="C4" s="3598"/>
      <c r="D4" s="2362"/>
      <c r="E4" s="2360"/>
      <c r="F4" s="2363"/>
      <c r="G4" s="2363"/>
      <c r="H4" s="2364"/>
      <c r="I4" s="2365">
        <f t="shared" ref="I4:I9" si="0">ROUND(D4*E4*F4*G4*H4/10000,0)</f>
        <v>0</v>
      </c>
    </row>
    <row r="5" spans="1:9">
      <c r="A5" s="3597"/>
      <c r="B5" s="3598" t="s">
        <v>2461</v>
      </c>
      <c r="C5" s="3598"/>
      <c r="D5" s="2362"/>
      <c r="E5" s="2360"/>
      <c r="F5" s="2363"/>
      <c r="G5" s="2363"/>
      <c r="H5" s="2364"/>
      <c r="I5" s="2365">
        <f t="shared" si="0"/>
        <v>0</v>
      </c>
    </row>
    <row r="6" spans="1:9">
      <c r="A6" s="3597"/>
      <c r="B6" s="3598" t="s">
        <v>2462</v>
      </c>
      <c r="C6" s="3598"/>
      <c r="D6" s="2362"/>
      <c r="E6" s="2360"/>
      <c r="F6" s="2363"/>
      <c r="G6" s="2363"/>
      <c r="H6" s="2364"/>
      <c r="I6" s="2365">
        <f t="shared" si="0"/>
        <v>0</v>
      </c>
    </row>
    <row r="7" spans="1:9">
      <c r="A7" s="3597"/>
      <c r="B7" s="3598" t="s">
        <v>2463</v>
      </c>
      <c r="C7" s="3598"/>
      <c r="D7" s="2362"/>
      <c r="E7" s="2360"/>
      <c r="F7" s="2363"/>
      <c r="G7" s="2363"/>
      <c r="H7" s="2364"/>
      <c r="I7" s="2365">
        <f t="shared" si="0"/>
        <v>0</v>
      </c>
    </row>
    <row r="8" spans="1:9">
      <c r="A8" s="3597"/>
      <c r="B8" s="3598" t="s">
        <v>2464</v>
      </c>
      <c r="C8" s="3598"/>
      <c r="D8" s="2362"/>
      <c r="E8" s="2360"/>
      <c r="F8" s="2363"/>
      <c r="G8" s="2363"/>
      <c r="H8" s="2364"/>
      <c r="I8" s="2365">
        <f t="shared" si="0"/>
        <v>0</v>
      </c>
    </row>
    <row r="9" spans="1:9">
      <c r="A9" s="3597"/>
      <c r="B9" s="3598" t="s">
        <v>2465</v>
      </c>
      <c r="C9" s="3598"/>
      <c r="D9" s="2362"/>
      <c r="E9" s="2360"/>
      <c r="F9" s="2363"/>
      <c r="G9" s="2363"/>
      <c r="H9" s="2364"/>
      <c r="I9" s="2365">
        <f t="shared" si="0"/>
        <v>0</v>
      </c>
    </row>
    <row r="10" spans="1:9">
      <c r="A10" s="3597"/>
      <c r="B10" s="3599" t="s">
        <v>2466</v>
      </c>
      <c r="C10" s="3599"/>
      <c r="D10" s="2366">
        <v>527</v>
      </c>
      <c r="E10" s="2366" t="e">
        <f>ROUND(D1*10000/D10/H9,0)</f>
        <v>#DIV/0!</v>
      </c>
      <c r="F10" s="2367"/>
      <c r="G10" s="2367"/>
      <c r="H10" s="2368"/>
      <c r="I10" s="2369">
        <f>SUM(I3:I9)</f>
        <v>0</v>
      </c>
    </row>
    <row r="11" spans="1:9" ht="14.25">
      <c r="A11" s="3597" t="s">
        <v>2467</v>
      </c>
      <c r="B11" s="3598" t="s">
        <v>2468</v>
      </c>
      <c r="C11" s="3598"/>
      <c r="D11" s="2362" t="s">
        <v>2469</v>
      </c>
      <c r="E11" s="2362" t="s">
        <v>2470</v>
      </c>
      <c r="F11" s="2363" t="s">
        <v>2471</v>
      </c>
      <c r="G11" s="2363" t="s">
        <v>2472</v>
      </c>
      <c r="H11" s="2370" t="s">
        <v>2473</v>
      </c>
      <c r="I11" s="2361" t="s">
        <v>2474</v>
      </c>
    </row>
    <row r="12" spans="1:9">
      <c r="A12" s="3597"/>
      <c r="B12" s="3598" t="s">
        <v>2475</v>
      </c>
      <c r="C12" s="3598"/>
      <c r="D12" s="2362"/>
      <c r="E12" s="2362"/>
      <c r="F12" s="2363"/>
      <c r="G12" s="2364"/>
      <c r="H12" s="2371"/>
      <c r="I12" s="2361">
        <f>ROUND(D12*E12*F12*G12/10000,0)</f>
        <v>0</v>
      </c>
    </row>
    <row r="13" spans="1:9">
      <c r="A13" s="3597"/>
      <c r="B13" s="3598" t="s">
        <v>2476</v>
      </c>
      <c r="C13" s="3598"/>
      <c r="D13" s="2362"/>
      <c r="E13" s="2362"/>
      <c r="F13" s="2363"/>
      <c r="G13" s="2364"/>
      <c r="H13" s="2371"/>
      <c r="I13" s="2361">
        <f>ROUND(D13*E13*F13*G13/10000,0)</f>
        <v>0</v>
      </c>
    </row>
    <row r="14" spans="1:9">
      <c r="A14" s="3597"/>
      <c r="B14" s="3598" t="s">
        <v>2477</v>
      </c>
      <c r="C14" s="3598"/>
      <c r="D14" s="2362"/>
      <c r="E14" s="2362"/>
      <c r="F14" s="2363"/>
      <c r="G14" s="2364"/>
      <c r="H14" s="2371"/>
      <c r="I14" s="2361">
        <f>ROUND(D14*E14*F14*G14/10000,0)</f>
        <v>0</v>
      </c>
    </row>
    <row r="15" spans="1:9">
      <c r="A15" s="3597"/>
      <c r="B15" s="3599" t="s">
        <v>2466</v>
      </c>
      <c r="C15" s="3599"/>
      <c r="D15" s="2366"/>
      <c r="E15" s="2366">
        <f>SUM(E12:E14)</f>
        <v>0</v>
      </c>
      <c r="F15" s="2367"/>
      <c r="G15" s="2364"/>
      <c r="H15" s="2371"/>
      <c r="I15" s="2372">
        <f>SUM(I12:I14)</f>
        <v>0</v>
      </c>
    </row>
    <row r="16" spans="1:9" ht="24">
      <c r="A16" s="3597" t="s">
        <v>2478</v>
      </c>
      <c r="B16" s="3598" t="s">
        <v>2479</v>
      </c>
      <c r="C16" s="3598"/>
      <c r="D16" s="2362" t="s">
        <v>2480</v>
      </c>
      <c r="E16" s="2373" t="s">
        <v>2481</v>
      </c>
      <c r="F16" s="2363" t="s">
        <v>2482</v>
      </c>
      <c r="G16" s="2364" t="s">
        <v>2472</v>
      </c>
      <c r="H16" s="2370" t="s">
        <v>2473</v>
      </c>
      <c r="I16" s="2361" t="s">
        <v>2474</v>
      </c>
    </row>
    <row r="17" spans="1:9" ht="14.25">
      <c r="A17" s="3597"/>
      <c r="B17" s="3598" t="s">
        <v>2483</v>
      </c>
      <c r="C17" s="3598"/>
      <c r="D17" s="2362"/>
      <c r="E17" s="2362"/>
      <c r="F17" s="2363"/>
      <c r="G17" s="2364"/>
      <c r="H17" s="2374"/>
      <c r="I17" s="2375">
        <f>ROUND(D17*E17*F17*G17/10000,0)</f>
        <v>0</v>
      </c>
    </row>
    <row r="18" spans="1:9" ht="14.25">
      <c r="A18" s="3597"/>
      <c r="B18" s="3598" t="s">
        <v>2484</v>
      </c>
      <c r="C18" s="3598"/>
      <c r="D18" s="2362"/>
      <c r="E18" s="2362"/>
      <c r="F18" s="2363"/>
      <c r="G18" s="2364"/>
      <c r="H18" s="2374"/>
      <c r="I18" s="2375">
        <f>ROUND(D18*E18*F18*G18/10000,0)</f>
        <v>0</v>
      </c>
    </row>
    <row r="19" spans="1:9" ht="14.25">
      <c r="A19" s="3597"/>
      <c r="B19" s="3598" t="s">
        <v>2485</v>
      </c>
      <c r="C19" s="3598"/>
      <c r="D19" s="2362"/>
      <c r="E19" s="2362"/>
      <c r="F19" s="2363"/>
      <c r="G19" s="2364"/>
      <c r="H19" s="2374"/>
      <c r="I19" s="2375">
        <f>ROUND(D19*E19*F19*G19/10000,0)</f>
        <v>0</v>
      </c>
    </row>
    <row r="20" spans="1:9">
      <c r="A20" s="3597"/>
      <c r="B20" s="3599" t="s">
        <v>2466</v>
      </c>
      <c r="C20" s="3599"/>
      <c r="D20" s="2366">
        <f>SUM(D17:D19)</f>
        <v>0</v>
      </c>
      <c r="E20" s="2366"/>
      <c r="F20" s="2367"/>
      <c r="G20" s="2364"/>
      <c r="H20" s="2371"/>
      <c r="I20" s="2372">
        <f>SUM(I17:I19)</f>
        <v>0</v>
      </c>
    </row>
    <row r="21" spans="1:9">
      <c r="A21" s="3597" t="s">
        <v>2486</v>
      </c>
      <c r="B21" s="3600"/>
      <c r="C21" s="3600"/>
      <c r="D21" s="3600"/>
      <c r="E21" s="3600"/>
      <c r="F21" s="3600"/>
      <c r="G21" s="3600"/>
      <c r="H21" s="2376">
        <v>0.1</v>
      </c>
      <c r="I21" s="2369">
        <f>ROUND(I10*H21,0)</f>
        <v>0</v>
      </c>
    </row>
    <row r="22" spans="1:9" ht="14.25">
      <c r="A22" s="3601" t="s">
        <v>2487</v>
      </c>
      <c r="B22" s="3602"/>
      <c r="C22" s="3603"/>
      <c r="D22" s="2377" t="s">
        <v>2488</v>
      </c>
      <c r="E22" s="2377" t="s">
        <v>2489</v>
      </c>
      <c r="F22" s="2378" t="s">
        <v>2490</v>
      </c>
      <c r="G22" s="2378" t="s">
        <v>2491</v>
      </c>
      <c r="H22" s="2370" t="s">
        <v>2492</v>
      </c>
      <c r="I22" s="2361" t="s">
        <v>2493</v>
      </c>
    </row>
    <row r="23" spans="1:9" ht="14.25" thickBot="1">
      <c r="A23" s="3604"/>
      <c r="B23" s="3605"/>
      <c r="C23" s="3606"/>
      <c r="D23" s="2379"/>
      <c r="E23" s="2379"/>
      <c r="F23" s="2379"/>
      <c r="G23" s="2380"/>
      <c r="H23" s="2381"/>
      <c r="I23" s="2382">
        <f>ROUND(E23*D23*F23*(1-G23)/10000,0)</f>
        <v>0</v>
      </c>
    </row>
    <row r="26" spans="1:9">
      <c r="A26" s="2383" t="s">
        <v>2494</v>
      </c>
      <c r="B26" s="2383"/>
      <c r="C26" s="2383"/>
      <c r="D26" s="2383"/>
      <c r="E26" s="3594">
        <f>C27-C30-C31-C32</f>
        <v>0</v>
      </c>
      <c r="F26" s="3594"/>
      <c r="G26" s="3594"/>
      <c r="H26" s="2756" t="s">
        <v>2819</v>
      </c>
    </row>
    <row r="27" spans="1:9">
      <c r="A27" s="2384">
        <v>1</v>
      </c>
      <c r="B27" s="2385" t="s">
        <v>2495</v>
      </c>
      <c r="C27" s="2385"/>
      <c r="D27" s="2385"/>
      <c r="E27" s="3595"/>
      <c r="F27" s="3595"/>
      <c r="G27" s="3595"/>
    </row>
    <row r="28" spans="1:9">
      <c r="A28" s="2386" t="s">
        <v>2496</v>
      </c>
      <c r="B28" s="2385" t="s">
        <v>2497</v>
      </c>
      <c r="C28" s="2385"/>
      <c r="D28" s="2385"/>
      <c r="E28" s="3595"/>
      <c r="F28" s="3595"/>
      <c r="G28" s="3595"/>
    </row>
    <row r="29" spans="1:9">
      <c r="A29" s="2386" t="s">
        <v>2498</v>
      </c>
      <c r="B29" s="2385" t="s">
        <v>2439</v>
      </c>
      <c r="C29" s="2385"/>
      <c r="D29" s="2385"/>
      <c r="E29" s="2385" t="s">
        <v>2499</v>
      </c>
      <c r="F29" s="2385"/>
      <c r="G29" s="2385"/>
    </row>
    <row r="30" spans="1:9">
      <c r="A30" s="2384">
        <v>2</v>
      </c>
      <c r="B30" s="2385" t="s">
        <v>2500</v>
      </c>
      <c r="C30" s="2385">
        <f>C27*D30</f>
        <v>0</v>
      </c>
      <c r="D30" s="2387">
        <v>0.2</v>
      </c>
      <c r="E30" s="2385" t="s">
        <v>2501</v>
      </c>
      <c r="F30" s="2385"/>
      <c r="G30" s="2385"/>
    </row>
    <row r="31" spans="1:9">
      <c r="A31" s="2384">
        <v>3</v>
      </c>
      <c r="B31" s="2385" t="s">
        <v>2502</v>
      </c>
      <c r="C31" s="2385">
        <f>C25*D31</f>
        <v>0</v>
      </c>
      <c r="D31" s="2387">
        <v>0.15</v>
      </c>
      <c r="E31" s="2385" t="s">
        <v>2503</v>
      </c>
      <c r="F31" s="2385"/>
      <c r="G31" s="2385"/>
    </row>
    <row r="32" spans="1:9">
      <c r="A32" s="2384">
        <v>4</v>
      </c>
      <c r="B32" s="2385" t="s">
        <v>2504</v>
      </c>
      <c r="C32" s="2385">
        <f>C27*D32</f>
        <v>0</v>
      </c>
      <c r="D32" s="2387">
        <v>0.05</v>
      </c>
      <c r="E32" s="3596"/>
      <c r="F32" s="3596"/>
      <c r="G32" s="3596"/>
    </row>
    <row r="33" spans="1:7" hidden="1">
      <c r="A33" s="3591" t="s">
        <v>2505</v>
      </c>
      <c r="B33" s="3592"/>
      <c r="C33" s="3592"/>
      <c r="D33" s="3593"/>
      <c r="E33" s="3594"/>
      <c r="F33" s="3594"/>
      <c r="G33" s="3594"/>
    </row>
    <row r="34" spans="1:7" hidden="1">
      <c r="A34" s="2388">
        <v>1</v>
      </c>
      <c r="B34" s="2385" t="s">
        <v>2506</v>
      </c>
      <c r="C34" s="2385"/>
      <c r="D34" s="2385"/>
      <c r="E34" s="3595"/>
      <c r="F34" s="3595"/>
      <c r="G34" s="3595"/>
    </row>
    <row r="35" spans="1:7" hidden="1">
      <c r="A35" s="2388">
        <v>2</v>
      </c>
      <c r="B35" s="2385" t="s">
        <v>2507</v>
      </c>
      <c r="C35" s="2385"/>
      <c r="D35" s="2385"/>
      <c r="E35" s="3595"/>
      <c r="F35" s="3595"/>
      <c r="G35" s="3595"/>
    </row>
    <row r="36" spans="1:7" hidden="1">
      <c r="A36" s="2388">
        <v>3</v>
      </c>
      <c r="B36" s="2385" t="s">
        <v>2508</v>
      </c>
      <c r="C36" s="2385"/>
      <c r="D36" s="2385"/>
      <c r="E36" s="3595"/>
      <c r="F36" s="3595"/>
      <c r="G36" s="3595"/>
    </row>
    <row r="37" spans="1:7" hidden="1">
      <c r="A37" s="2388">
        <v>4</v>
      </c>
      <c r="B37" s="2385" t="s">
        <v>2509</v>
      </c>
      <c r="C37" s="2385"/>
      <c r="D37" s="2385"/>
      <c r="E37" s="3595"/>
      <c r="F37" s="3595"/>
      <c r="G37" s="3595"/>
    </row>
    <row r="38" spans="1:7" hidden="1">
      <c r="A38" s="3591" t="s">
        <v>2510</v>
      </c>
      <c r="B38" s="3592"/>
      <c r="C38" s="3592"/>
      <c r="D38" s="3593"/>
      <c r="E38" s="3594"/>
      <c r="F38" s="3594"/>
      <c r="G38" s="35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S52" sqref="S52"/>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0" t="s">
        <v>1676</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2992</v>
      </c>
    </row>
    <row r="7" spans="1:25" s="2064" customFormat="1" ht="13.5" customHeight="1">
      <c r="A7" s="2323">
        <v>1</v>
      </c>
      <c r="B7" s="739" t="s">
        <v>603</v>
      </c>
      <c r="C7" s="740">
        <f>C8+C9</f>
        <v>0</v>
      </c>
      <c r="D7" s="740"/>
      <c r="E7" s="741"/>
      <c r="F7" s="741"/>
      <c r="G7" s="2332"/>
    </row>
    <row r="8" spans="1:25" s="2064" customFormat="1" ht="13.5" customHeight="1">
      <c r="A8" s="2323" t="s">
        <v>2420</v>
      </c>
      <c r="B8" s="2326" t="s">
        <v>2422</v>
      </c>
      <c r="C8" s="3271">
        <f t="shared" ref="C8:C9" si="0">ROUND(D8*E8/10000,0)</f>
        <v>0</v>
      </c>
      <c r="D8" s="3271">
        <v>0</v>
      </c>
      <c r="E8" s="3272">
        <v>0</v>
      </c>
      <c r="F8" s="741"/>
      <c r="G8" s="742"/>
    </row>
    <row r="9" spans="1:25" s="2064" customFormat="1" ht="13.5" customHeight="1">
      <c r="A9" s="2323" t="s">
        <v>2421</v>
      </c>
      <c r="B9" s="2326" t="s">
        <v>2423</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2420</v>
      </c>
      <c r="B11" s="743" t="s">
        <v>604</v>
      </c>
      <c r="C11" s="744">
        <f>'数据-取费表'!B29</f>
        <v>0</v>
      </c>
      <c r="D11" s="745"/>
      <c r="E11" s="744"/>
      <c r="F11" s="746"/>
      <c r="G11" s="2331" t="s">
        <v>2431</v>
      </c>
    </row>
    <row r="12" spans="1:25" s="2064" customFormat="1" ht="13.5" customHeight="1">
      <c r="A12" s="2329" t="s">
        <v>2428</v>
      </c>
      <c r="B12" s="747" t="s">
        <v>605</v>
      </c>
      <c r="C12" s="748">
        <f>ROUND(D12*E12/10000,0)</f>
        <v>3473</v>
      </c>
      <c r="D12" s="3271">
        <f>'数据-汇总表'!E5</f>
        <v>204292.17</v>
      </c>
      <c r="E12" s="3271">
        <f>'数据-取费表'!B27</f>
        <v>170</v>
      </c>
      <c r="F12" s="746"/>
      <c r="G12" s="749"/>
    </row>
    <row r="13" spans="1:25" s="2064" customFormat="1" ht="13.5" customHeight="1">
      <c r="A13" s="2329" t="s">
        <v>2427</v>
      </c>
      <c r="B13" s="747" t="s">
        <v>606</v>
      </c>
      <c r="C13" s="748">
        <f>ROUND(D13*E13/10000,0)</f>
        <v>1196</v>
      </c>
      <c r="D13" s="3271">
        <f>'数据-汇总表'!E6</f>
        <v>70360.01999999999</v>
      </c>
      <c r="E13" s="3271">
        <f>'数据-取费表'!B28</f>
        <v>170</v>
      </c>
      <c r="F13" s="746"/>
      <c r="G13" s="749"/>
    </row>
    <row r="14" spans="1:25" s="2064" customFormat="1" ht="13.5" customHeight="1">
      <c r="A14" s="2323" t="s">
        <v>2421</v>
      </c>
      <c r="B14" s="2328" t="s">
        <v>2424</v>
      </c>
      <c r="C14" s="3273">
        <f t="shared" ref="C14:C15" si="1">ROUND(D14*E14/10000,0)</f>
        <v>0</v>
      </c>
      <c r="D14" s="3271">
        <v>0</v>
      </c>
      <c r="E14" s="3272">
        <v>0</v>
      </c>
      <c r="F14" s="2327"/>
      <c r="G14" s="2330" t="s">
        <v>2429</v>
      </c>
    </row>
    <row r="15" spans="1:25" s="2064" customFormat="1" ht="13.5" customHeight="1">
      <c r="A15" s="2323" t="s">
        <v>2426</v>
      </c>
      <c r="B15" s="2328" t="s">
        <v>2425</v>
      </c>
      <c r="C15" s="3273">
        <f t="shared" si="1"/>
        <v>0</v>
      </c>
      <c r="D15" s="3271">
        <v>0</v>
      </c>
      <c r="E15" s="3272">
        <v>0</v>
      </c>
      <c r="F15" s="2327"/>
      <c r="G15" s="2330" t="s">
        <v>2430</v>
      </c>
    </row>
    <row r="16" spans="1:25" s="2065" customFormat="1" ht="48">
      <c r="A16" s="2323">
        <v>3</v>
      </c>
      <c r="B16" s="739" t="s">
        <v>609</v>
      </c>
      <c r="C16" s="3273">
        <f t="shared" ref="C16" si="2">ROUND(D16*E16/10000,0)</f>
        <v>0</v>
      </c>
      <c r="D16" s="3271">
        <v>0</v>
      </c>
      <c r="E16" s="3272">
        <v>0</v>
      </c>
      <c r="F16" s="751"/>
      <c r="G16" s="749" t="s">
        <v>2432</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0.93799999999999994</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2" zoomScaleNormal="60" zoomScaleSheetLayoutView="100" workbookViewId="0">
      <selection activeCell="F75" sqref="F75"/>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3370</v>
      </c>
      <c r="E1" s="2009"/>
      <c r="F1" s="2524" t="s">
        <v>3031</v>
      </c>
      <c r="G1" s="1531" t="s">
        <v>715</v>
      </c>
      <c r="H1" s="500"/>
      <c r="I1" s="500"/>
      <c r="J1" s="500"/>
      <c r="K1" s="501"/>
      <c r="L1" s="3210"/>
      <c r="M1" s="3211"/>
      <c r="N1" s="3211"/>
      <c r="O1" s="3211"/>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273322</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13379</v>
      </c>
      <c r="C3" s="841" t="s">
        <v>716</v>
      </c>
      <c r="D3" s="840">
        <f>SUMIF('数据-汇总表'!$C19:$C33,D1,'数据-汇总表'!$E19:$E33)</f>
        <v>204292.17</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16" t="s">
        <v>516</v>
      </c>
      <c r="D4" s="3517"/>
      <c r="E4" s="3541" t="s">
        <v>517</v>
      </c>
      <c r="F4" s="3542"/>
      <c r="G4" s="3516" t="s">
        <v>518</v>
      </c>
      <c r="H4" s="3517"/>
      <c r="I4" s="3516" t="s">
        <v>519</v>
      </c>
      <c r="J4" s="3517"/>
      <c r="K4" s="842" t="s">
        <v>520</v>
      </c>
      <c r="L4" s="2015"/>
      <c r="M4" s="2016"/>
      <c r="N4" s="2016"/>
      <c r="O4" s="2016"/>
      <c r="P4" s="3518" t="s">
        <v>521</v>
      </c>
      <c r="Q4" s="3519"/>
      <c r="R4" s="3504" t="s">
        <v>517</v>
      </c>
      <c r="S4" s="3505"/>
      <c r="T4" s="3504" t="s">
        <v>518</v>
      </c>
      <c r="U4" s="3505"/>
      <c r="V4" s="3524" t="s">
        <v>519</v>
      </c>
      <c r="W4" s="3524"/>
      <c r="X4" s="1501"/>
      <c r="Y4" s="3504" t="s">
        <v>521</v>
      </c>
      <c r="Z4" s="3505"/>
      <c r="AA4" s="3499" t="s">
        <v>517</v>
      </c>
      <c r="AB4" s="3499" t="s">
        <v>518</v>
      </c>
      <c r="AC4" s="3499" t="s">
        <v>519</v>
      </c>
    </row>
    <row r="5" spans="1:29" ht="15">
      <c r="A5" s="509"/>
      <c r="B5" s="510"/>
      <c r="C5" s="3527" t="s">
        <v>2890</v>
      </c>
      <c r="D5" s="3528"/>
      <c r="E5" s="3612" t="s">
        <v>3538</v>
      </c>
      <c r="F5" s="3544"/>
      <c r="G5" s="3613" t="s">
        <v>3530</v>
      </c>
      <c r="H5" s="3528"/>
      <c r="I5" s="3613" t="s">
        <v>3540</v>
      </c>
      <c r="J5" s="3528"/>
      <c r="K5" s="843"/>
      <c r="L5" s="2015"/>
      <c r="M5" s="2016"/>
      <c r="N5" s="2016"/>
      <c r="O5" s="2016"/>
      <c r="P5" s="3520"/>
      <c r="Q5" s="3521"/>
      <c r="R5" s="3506"/>
      <c r="S5" s="3507"/>
      <c r="T5" s="3506"/>
      <c r="U5" s="3507"/>
      <c r="V5" s="3524"/>
      <c r="W5" s="3524"/>
      <c r="X5" s="1501"/>
      <c r="Y5" s="3506"/>
      <c r="Z5" s="3507"/>
      <c r="AA5" s="3500"/>
      <c r="AB5" s="3500"/>
      <c r="AC5" s="3500"/>
    </row>
    <row r="6" spans="1:29" ht="15.75" thickBot="1">
      <c r="A6" s="511"/>
      <c r="B6" s="512"/>
      <c r="C6" s="3525" t="s">
        <v>2894</v>
      </c>
      <c r="D6" s="3526"/>
      <c r="E6" s="3614" t="s">
        <v>3539</v>
      </c>
      <c r="F6" s="3546"/>
      <c r="G6" s="3615" t="s">
        <v>3537</v>
      </c>
      <c r="H6" s="3526"/>
      <c r="I6" s="3615" t="s">
        <v>3541</v>
      </c>
      <c r="J6" s="3526"/>
      <c r="K6" s="843" t="s">
        <v>522</v>
      </c>
      <c r="L6" s="2015"/>
      <c r="M6" s="2016"/>
      <c r="N6" s="2016"/>
      <c r="O6" s="2016"/>
      <c r="P6" s="3522"/>
      <c r="Q6" s="3523"/>
      <c r="R6" s="3506"/>
      <c r="S6" s="3507"/>
      <c r="T6" s="3508"/>
      <c r="U6" s="3509"/>
      <c r="V6" s="3524"/>
      <c r="W6" s="3524"/>
      <c r="X6" s="1501"/>
      <c r="Y6" s="3508"/>
      <c r="Z6" s="3509"/>
      <c r="AA6" s="3501"/>
      <c r="AB6" s="3501"/>
      <c r="AC6" s="3501"/>
    </row>
    <row r="7" spans="1:29" s="1202" customFormat="1" ht="15.75" thickBot="1">
      <c r="A7" s="2629"/>
      <c r="B7" s="2636" t="s">
        <v>523</v>
      </c>
      <c r="C7" s="513">
        <f>'数据-取费表'!B2</f>
        <v>44062</v>
      </c>
      <c r="D7" s="514">
        <v>100</v>
      </c>
      <c r="E7" s="515">
        <v>44044</v>
      </c>
      <c r="F7" s="516">
        <f>SUMIF(58:58,YEAR(E7)&amp;"-"&amp;MONTH(E7),59:59)</f>
        <v>100</v>
      </c>
      <c r="G7" s="517">
        <f>E7</f>
        <v>44044</v>
      </c>
      <c r="H7" s="514">
        <f>SUMIF(58:58,YEAR(G7)&amp;"-"&amp;MONTH(G7),59:59)</f>
        <v>100</v>
      </c>
      <c r="I7" s="517">
        <f>E7</f>
        <v>44044</v>
      </c>
      <c r="J7" s="514">
        <f>SUMIF(58:58,YEAR(I7)&amp;"-"&amp;MONTH(I7),59:59)</f>
        <v>100</v>
      </c>
      <c r="K7" s="844"/>
      <c r="L7" s="2017"/>
      <c r="M7" s="2018"/>
      <c r="N7" s="2018"/>
      <c r="O7" s="2018"/>
      <c r="P7" s="3502" t="s">
        <v>524</v>
      </c>
      <c r="Q7" s="3511"/>
      <c r="R7" s="1502" t="s">
        <v>13</v>
      </c>
      <c r="S7" s="1503">
        <f t="shared" ref="S7:S15" si="0">F7</f>
        <v>100</v>
      </c>
      <c r="T7" s="1502" t="s">
        <v>13</v>
      </c>
      <c r="U7" s="1503">
        <f t="shared" ref="U7:U15" si="1">H7</f>
        <v>100</v>
      </c>
      <c r="V7" s="1502" t="s">
        <v>13</v>
      </c>
      <c r="W7" s="1503">
        <f t="shared" ref="W7:W15" si="2">J7</f>
        <v>100</v>
      </c>
      <c r="X7" s="1504"/>
      <c r="Y7" s="3502" t="s">
        <v>524</v>
      </c>
      <c r="Z7" s="3503"/>
      <c r="AA7" s="1505">
        <f>D7/F7</f>
        <v>1</v>
      </c>
      <c r="AB7" s="1505">
        <f>D7/H7</f>
        <v>1</v>
      </c>
      <c r="AC7" s="1505">
        <f>D7/J7</f>
        <v>1</v>
      </c>
    </row>
    <row r="8" spans="1:29" s="1202" customFormat="1" ht="15.75" thickBot="1">
      <c r="A8" s="2630"/>
      <c r="B8" s="2637" t="s">
        <v>525</v>
      </c>
      <c r="C8" s="519" t="s">
        <v>570</v>
      </c>
      <c r="D8" s="514">
        <v>100</v>
      </c>
      <c r="E8" s="845" t="s">
        <v>3037</v>
      </c>
      <c r="F8" s="516">
        <f>SUMIF(61:61,E8,62:62)-SUMIF(61:61,C8,62:62)+100</f>
        <v>100</v>
      </c>
      <c r="G8" s="845" t="s">
        <v>3037</v>
      </c>
      <c r="H8" s="514">
        <f>SUMIF(61:61,G8,62:62)-SUMIF(61:61,C8,62:62)+100</f>
        <v>100</v>
      </c>
      <c r="I8" s="845" t="s">
        <v>3037</v>
      </c>
      <c r="J8" s="514">
        <f>SUMIF(61:61,I8,62:62)-SUMIF(61:61,C8,62:62)+100</f>
        <v>100</v>
      </c>
      <c r="K8" s="844"/>
      <c r="L8" s="2017"/>
      <c r="M8" s="2018"/>
      <c r="N8" s="2018"/>
      <c r="O8" s="2018"/>
      <c r="P8" s="3502" t="s">
        <v>527</v>
      </c>
      <c r="Q8" s="3503"/>
      <c r="R8" s="1502" t="s">
        <v>13</v>
      </c>
      <c r="S8" s="1503">
        <f t="shared" si="0"/>
        <v>100</v>
      </c>
      <c r="T8" s="1502" t="s">
        <v>13</v>
      </c>
      <c r="U8" s="1503">
        <f t="shared" si="1"/>
        <v>100</v>
      </c>
      <c r="V8" s="1502" t="s">
        <v>13</v>
      </c>
      <c r="W8" s="1503">
        <f t="shared" si="2"/>
        <v>100</v>
      </c>
      <c r="X8" s="1504"/>
      <c r="Y8" s="3502" t="s">
        <v>527</v>
      </c>
      <c r="Z8" s="3503"/>
      <c r="AA8" s="1505">
        <f t="shared" ref="AA8:AA46" si="3">D8/F8</f>
        <v>1</v>
      </c>
      <c r="AB8" s="1505">
        <f t="shared" ref="AB8:AB46" si="4">D8/H8</f>
        <v>1</v>
      </c>
      <c r="AC8" s="1505">
        <f t="shared" ref="AC8:AC46" si="5">D8/J8</f>
        <v>1</v>
      </c>
    </row>
    <row r="9" spans="1:29" s="1202" customFormat="1" ht="15">
      <c r="A9" s="2631"/>
      <c r="B9" s="2638" t="s">
        <v>2733</v>
      </c>
      <c r="C9" s="3296" t="s">
        <v>3384</v>
      </c>
      <c r="D9" s="252">
        <v>100</v>
      </c>
      <c r="E9" s="847" t="s">
        <v>914</v>
      </c>
      <c r="F9" s="848">
        <f>SUMIF(63:63,E9,64:64)-SUMIF(63:63,C9,64:64)+100</f>
        <v>100</v>
      </c>
      <c r="G9" s="847" t="s">
        <v>914</v>
      </c>
      <c r="H9" s="252">
        <f>SUMIF(63:63,G9,64:64)-SUMIF(63:63,C9,64:64)+100</f>
        <v>100</v>
      </c>
      <c r="I9" s="847" t="s">
        <v>914</v>
      </c>
      <c r="J9" s="252">
        <f>SUMIF(63:63,I9,64:64)-SUMIF(63:63,C9,64:64)+100</f>
        <v>100</v>
      </c>
      <c r="K9" s="844"/>
      <c r="L9" s="2017"/>
      <c r="M9" s="2018"/>
      <c r="N9" s="2018"/>
      <c r="O9" s="2019"/>
      <c r="P9" s="3510" t="s">
        <v>529</v>
      </c>
      <c r="Q9" s="1133" t="str">
        <f t="shared" ref="Q9:Q15" si="6">B9</f>
        <v>用途</v>
      </c>
      <c r="R9" s="1502" t="s">
        <v>8</v>
      </c>
      <c r="S9" s="1503">
        <f t="shared" si="0"/>
        <v>100</v>
      </c>
      <c r="T9" s="1502" t="s">
        <v>8</v>
      </c>
      <c r="U9" s="1503">
        <f t="shared" si="1"/>
        <v>100</v>
      </c>
      <c r="V9" s="1502" t="s">
        <v>8</v>
      </c>
      <c r="W9" s="1503">
        <f t="shared" si="2"/>
        <v>100</v>
      </c>
      <c r="X9" s="1504"/>
      <c r="Y9" s="3461" t="s">
        <v>530</v>
      </c>
      <c r="Z9" s="1132" t="str">
        <f t="shared" ref="Z9:Z15" si="7">Q9</f>
        <v>用途</v>
      </c>
      <c r="AA9" s="1505">
        <f t="shared" si="3"/>
        <v>1</v>
      </c>
      <c r="AB9" s="1505">
        <f t="shared" si="4"/>
        <v>1</v>
      </c>
      <c r="AC9" s="1505">
        <f t="shared" si="5"/>
        <v>1</v>
      </c>
    </row>
    <row r="10" spans="1:29" s="1291" customFormat="1" ht="27">
      <c r="A10" s="2632"/>
      <c r="B10" s="2637" t="s">
        <v>2734</v>
      </c>
      <c r="C10" s="850" t="s">
        <v>3385</v>
      </c>
      <c r="D10" s="253">
        <v>100</v>
      </c>
      <c r="E10" s="850" t="s">
        <v>3385</v>
      </c>
      <c r="F10" s="852">
        <f>SUMIF(65:65,E10,66:66)-SUMIF(65:65,C10,66:66)+100</f>
        <v>100</v>
      </c>
      <c r="G10" s="850" t="s">
        <v>3385</v>
      </c>
      <c r="H10" s="253">
        <f>SUMIF(65:65,G10,66:66)-SUMIF(65:65,C10,66:66)+100</f>
        <v>100</v>
      </c>
      <c r="I10" s="850" t="s">
        <v>3385</v>
      </c>
      <c r="J10" s="253">
        <f>SUMIF(65:65,I10,66:66)-SUMIF(65:65,C10,66:66)+100</f>
        <v>100</v>
      </c>
      <c r="K10" s="853">
        <v>2</v>
      </c>
      <c r="L10" s="2020"/>
      <c r="M10" s="2059"/>
      <c r="N10" s="2059"/>
      <c r="O10" s="2021"/>
      <c r="P10" s="3510"/>
      <c r="Q10" s="1133" t="str">
        <f t="shared" si="6"/>
        <v>土地使用年限（年）</v>
      </c>
      <c r="R10" s="1502" t="s">
        <v>8</v>
      </c>
      <c r="S10" s="1503">
        <f t="shared" si="0"/>
        <v>100</v>
      </c>
      <c r="T10" s="1502" t="s">
        <v>8</v>
      </c>
      <c r="U10" s="1503">
        <f t="shared" si="1"/>
        <v>100</v>
      </c>
      <c r="V10" s="1502" t="s">
        <v>8</v>
      </c>
      <c r="W10" s="1503">
        <f t="shared" si="2"/>
        <v>100</v>
      </c>
      <c r="X10" s="1504"/>
      <c r="Y10" s="3461"/>
      <c r="Z10" s="1132" t="str">
        <f t="shared" si="7"/>
        <v>土地使用年限（年）</v>
      </c>
      <c r="AA10" s="1505">
        <f t="shared" si="3"/>
        <v>1</v>
      </c>
      <c r="AB10" s="1505">
        <f t="shared" si="4"/>
        <v>1</v>
      </c>
      <c r="AC10" s="1505">
        <f t="shared" si="5"/>
        <v>1</v>
      </c>
    </row>
    <row r="11" spans="1:29" ht="15">
      <c r="A11" s="2633"/>
      <c r="B11" s="2637" t="s">
        <v>2735</v>
      </c>
      <c r="C11" s="527">
        <f>'比较法-住宅、综合'!C13</f>
        <v>4</v>
      </c>
      <c r="D11" s="253">
        <v>100</v>
      </c>
      <c r="E11" s="528">
        <v>4.1900000000000004</v>
      </c>
      <c r="F11" s="852">
        <f>LOOKUP(E11,68:68,69:69)-LOOKUP(C11,68:68,69:69)+100</f>
        <v>100</v>
      </c>
      <c r="G11" s="527">
        <v>4.28</v>
      </c>
      <c r="H11" s="253">
        <f>LOOKUP(G11,68:68,69:69)-LOOKUP(C11,68:68,69:69)+100</f>
        <v>100</v>
      </c>
      <c r="I11" s="527">
        <v>3</v>
      </c>
      <c r="J11" s="253">
        <f>LOOKUP(I11,68:68,69:69)-LOOKUP(C11,68:68,69:69)+100</f>
        <v>104</v>
      </c>
      <c r="K11" s="853">
        <v>4</v>
      </c>
      <c r="L11" s="2022"/>
      <c r="M11" s="2016"/>
      <c r="N11" s="2016"/>
      <c r="O11" s="2023"/>
      <c r="P11" s="3510"/>
      <c r="Q11" s="1133" t="str">
        <f t="shared" si="6"/>
        <v>容积率</v>
      </c>
      <c r="R11" s="1502" t="s">
        <v>11</v>
      </c>
      <c r="S11" s="1503">
        <f t="shared" si="0"/>
        <v>100</v>
      </c>
      <c r="T11" s="1502" t="s">
        <v>11</v>
      </c>
      <c r="U11" s="1503">
        <f t="shared" si="1"/>
        <v>100</v>
      </c>
      <c r="V11" s="1502" t="s">
        <v>11</v>
      </c>
      <c r="W11" s="1503">
        <f t="shared" si="2"/>
        <v>104</v>
      </c>
      <c r="X11" s="1504"/>
      <c r="Y11" s="3461"/>
      <c r="Z11" s="1132" t="str">
        <f t="shared" si="7"/>
        <v>容积率</v>
      </c>
      <c r="AA11" s="1505">
        <f t="shared" si="3"/>
        <v>1</v>
      </c>
      <c r="AB11" s="1505">
        <f t="shared" si="4"/>
        <v>1</v>
      </c>
      <c r="AC11" s="1505">
        <f t="shared" si="5"/>
        <v>0.96153846153846156</v>
      </c>
    </row>
    <row r="12" spans="1:29" s="1202" customFormat="1" ht="15">
      <c r="A12" s="2634"/>
      <c r="B12" s="2640"/>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10"/>
      <c r="Q12" s="1133">
        <f t="shared" si="6"/>
        <v>0</v>
      </c>
      <c r="R12" s="1502" t="s">
        <v>11</v>
      </c>
      <c r="S12" s="1503">
        <f t="shared" si="0"/>
        <v>100</v>
      </c>
      <c r="T12" s="1502" t="s">
        <v>11</v>
      </c>
      <c r="U12" s="1503">
        <f t="shared" si="1"/>
        <v>100</v>
      </c>
      <c r="V12" s="1502" t="s">
        <v>11</v>
      </c>
      <c r="W12" s="1503">
        <f t="shared" si="2"/>
        <v>100</v>
      </c>
      <c r="X12" s="1504"/>
      <c r="Y12" s="3461"/>
      <c r="Z12" s="1132">
        <f t="shared" si="7"/>
        <v>0</v>
      </c>
      <c r="AA12" s="1505">
        <f>D12/F12</f>
        <v>1</v>
      </c>
      <c r="AB12" s="1505">
        <f>D12/H12</f>
        <v>1</v>
      </c>
      <c r="AC12" s="1505">
        <f>D12/J12</f>
        <v>1</v>
      </c>
    </row>
    <row r="13" spans="1:29" ht="15">
      <c r="A13" s="2634"/>
      <c r="B13" s="2640"/>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10"/>
      <c r="Q13" s="1133">
        <f t="shared" si="6"/>
        <v>0</v>
      </c>
      <c r="R13" s="1502" t="s">
        <v>11</v>
      </c>
      <c r="S13" s="1503">
        <f t="shared" si="0"/>
        <v>100</v>
      </c>
      <c r="T13" s="1502" t="s">
        <v>11</v>
      </c>
      <c r="U13" s="1503">
        <f t="shared" si="1"/>
        <v>100</v>
      </c>
      <c r="V13" s="1502" t="s">
        <v>11</v>
      </c>
      <c r="W13" s="1503">
        <f t="shared" si="2"/>
        <v>100</v>
      </c>
      <c r="X13" s="1504"/>
      <c r="Y13" s="3461"/>
      <c r="Z13" s="1132">
        <f t="shared" si="7"/>
        <v>0</v>
      </c>
      <c r="AA13" s="1505">
        <f t="shared" si="3"/>
        <v>1</v>
      </c>
      <c r="AB13" s="1505">
        <f t="shared" si="4"/>
        <v>1</v>
      </c>
      <c r="AC13" s="1505">
        <f t="shared" si="5"/>
        <v>1</v>
      </c>
    </row>
    <row r="14" spans="1:29" ht="15.75" thickBot="1">
      <c r="A14" s="2635"/>
      <c r="B14" s="2641"/>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10"/>
      <c r="Q14" s="1133">
        <f t="shared" si="6"/>
        <v>0</v>
      </c>
      <c r="R14" s="1502" t="s">
        <v>11</v>
      </c>
      <c r="S14" s="1503">
        <f t="shared" si="0"/>
        <v>100</v>
      </c>
      <c r="T14" s="1502" t="s">
        <v>11</v>
      </c>
      <c r="U14" s="1503">
        <f t="shared" si="1"/>
        <v>100</v>
      </c>
      <c r="V14" s="1502" t="s">
        <v>11</v>
      </c>
      <c r="W14" s="1503">
        <f t="shared" si="2"/>
        <v>100</v>
      </c>
      <c r="X14" s="1504"/>
      <c r="Y14" s="3461"/>
      <c r="Z14" s="1132">
        <f t="shared" si="7"/>
        <v>0</v>
      </c>
      <c r="AA14" s="1505">
        <f t="shared" si="3"/>
        <v>1</v>
      </c>
      <c r="AB14" s="1505">
        <f t="shared" si="4"/>
        <v>1</v>
      </c>
      <c r="AC14" s="1505">
        <f t="shared" si="5"/>
        <v>1</v>
      </c>
    </row>
    <row r="15" spans="1:29" ht="99.75">
      <c r="A15" s="2627" t="s">
        <v>2731</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105</v>
      </c>
      <c r="I15" s="544"/>
      <c r="J15" s="543">
        <f>SUMIF(76:76,I16,77:77)-SUMIF(76:76,C16,77:77)+100</f>
        <v>110</v>
      </c>
      <c r="K15" s="857">
        <v>5</v>
      </c>
      <c r="L15" s="2024"/>
      <c r="M15" s="2016"/>
      <c r="N15" s="2016"/>
      <c r="O15" s="2023"/>
      <c r="P15" s="3512" t="s">
        <v>534</v>
      </c>
      <c r="Q15" s="1506" t="str">
        <f t="shared" si="6"/>
        <v>居住社区成熟度</v>
      </c>
      <c r="R15" s="1507" t="s">
        <v>11</v>
      </c>
      <c r="S15" s="1508">
        <f t="shared" si="0"/>
        <v>100</v>
      </c>
      <c r="T15" s="1507" t="s">
        <v>11</v>
      </c>
      <c r="U15" s="1508">
        <f t="shared" si="1"/>
        <v>105</v>
      </c>
      <c r="V15" s="1507" t="s">
        <v>11</v>
      </c>
      <c r="W15" s="1508">
        <f t="shared" si="2"/>
        <v>110</v>
      </c>
      <c r="X15" s="1501"/>
      <c r="Y15" s="3512" t="s">
        <v>534</v>
      </c>
      <c r="Z15" s="1509" t="str">
        <f t="shared" si="7"/>
        <v>居住社区成熟度</v>
      </c>
      <c r="AA15" s="1510">
        <f t="shared" si="3"/>
        <v>1</v>
      </c>
      <c r="AB15" s="1510">
        <f t="shared" si="4"/>
        <v>0.95238095238095233</v>
      </c>
      <c r="AC15" s="1510">
        <f t="shared" si="5"/>
        <v>0.90909090909090906</v>
      </c>
    </row>
    <row r="16" spans="1:29" ht="15">
      <c r="A16" s="526"/>
      <c r="B16" s="858"/>
      <c r="C16" s="570" t="s">
        <v>3527</v>
      </c>
      <c r="D16" s="549"/>
      <c r="E16" s="550" t="s">
        <v>3527</v>
      </c>
      <c r="F16" s="551"/>
      <c r="G16" s="552" t="s">
        <v>3528</v>
      </c>
      <c r="H16" s="553"/>
      <c r="I16" s="550" t="s">
        <v>3529</v>
      </c>
      <c r="J16" s="549"/>
      <c r="K16" s="859"/>
      <c r="L16" s="2024"/>
      <c r="M16" s="2016"/>
      <c r="N16" s="2016"/>
      <c r="O16" s="2023"/>
      <c r="P16" s="3513"/>
      <c r="Q16" s="1506"/>
      <c r="R16" s="1507"/>
      <c r="S16" s="1508"/>
      <c r="T16" s="1507"/>
      <c r="U16" s="1508"/>
      <c r="V16" s="1507"/>
      <c r="W16" s="1508"/>
      <c r="X16" s="1501"/>
      <c r="Y16" s="3513"/>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105</v>
      </c>
      <c r="G17" s="558"/>
      <c r="H17" s="559">
        <f>SUMIF(78:78,G18,79:79)-SUMIF(78:78,C18,79:79)+100</f>
        <v>100</v>
      </c>
      <c r="I17" s="556"/>
      <c r="J17" s="559">
        <f>SUMIF(78:78,I18,79:79)-SUMIF(78:78,C18,79:79)+100</f>
        <v>105</v>
      </c>
      <c r="K17" s="857">
        <v>5</v>
      </c>
      <c r="L17" s="2024"/>
      <c r="M17" s="2016"/>
      <c r="N17" s="2016"/>
      <c r="O17" s="2023"/>
      <c r="P17" s="3513"/>
      <c r="Q17" s="1506" t="str">
        <f>B17</f>
        <v>交通便捷度</v>
      </c>
      <c r="R17" s="1507" t="s">
        <v>11</v>
      </c>
      <c r="S17" s="1508">
        <f>F17</f>
        <v>105</v>
      </c>
      <c r="T17" s="1507" t="s">
        <v>11</v>
      </c>
      <c r="U17" s="1508">
        <f>H17</f>
        <v>100</v>
      </c>
      <c r="V17" s="1507" t="s">
        <v>11</v>
      </c>
      <c r="W17" s="1508">
        <f>J17</f>
        <v>105</v>
      </c>
      <c r="X17" s="1501"/>
      <c r="Y17" s="3513"/>
      <c r="Z17" s="1509" t="str">
        <f>Q17</f>
        <v>交通便捷度</v>
      </c>
      <c r="AA17" s="1510">
        <f t="shared" si="3"/>
        <v>0.95238095238095233</v>
      </c>
      <c r="AB17" s="1510">
        <f t="shared" si="4"/>
        <v>1</v>
      </c>
      <c r="AC17" s="1510">
        <f t="shared" si="5"/>
        <v>0.95238095238095233</v>
      </c>
    </row>
    <row r="18" spans="1:29" ht="15">
      <c r="A18" s="526"/>
      <c r="B18" s="589"/>
      <c r="C18" s="862" t="s">
        <v>3527</v>
      </c>
      <c r="D18" s="553"/>
      <c r="E18" s="562" t="s">
        <v>3528</v>
      </c>
      <c r="F18" s="557"/>
      <c r="G18" s="563" t="s">
        <v>3527</v>
      </c>
      <c r="H18" s="549"/>
      <c r="I18" s="562" t="s">
        <v>3528</v>
      </c>
      <c r="J18" s="549"/>
      <c r="K18" s="859"/>
      <c r="L18" s="2024"/>
      <c r="M18" s="2016"/>
      <c r="N18" s="2016"/>
      <c r="O18" s="2023"/>
      <c r="P18" s="3513"/>
      <c r="Q18" s="1506"/>
      <c r="R18" s="1507"/>
      <c r="S18" s="1508"/>
      <c r="T18" s="1507"/>
      <c r="U18" s="1508"/>
      <c r="V18" s="1507"/>
      <c r="W18" s="1508"/>
      <c r="X18" s="1501"/>
      <c r="Y18" s="3513"/>
      <c r="Z18" s="1509"/>
      <c r="AA18" s="1510">
        <v>1</v>
      </c>
      <c r="AB18" s="1510">
        <v>1</v>
      </c>
      <c r="AC18" s="1510">
        <v>1</v>
      </c>
    </row>
    <row r="19" spans="1:29" ht="42.75">
      <c r="A19" s="526"/>
      <c r="B19" s="2444" t="s">
        <v>2525</v>
      </c>
      <c r="C19" s="861" t="str">
        <f>估价对象房地状况!C7</f>
        <v>估价对象所在区域公共配套设施齐备情况</v>
      </c>
      <c r="D19" s="559">
        <v>100</v>
      </c>
      <c r="E19" s="564"/>
      <c r="F19" s="565">
        <f>SUMIF(80:80,E20,81:81)-SUMIF(80:80,C20,81:81)+100</f>
        <v>100</v>
      </c>
      <c r="G19" s="566"/>
      <c r="H19" s="553">
        <f>SUMIF(80:80,G20,81:81)-SUMIF(80:80,C20,81:81)+100</f>
        <v>105</v>
      </c>
      <c r="I19" s="564"/>
      <c r="J19" s="553">
        <f>SUMIF(80:80,I20,81:81)-SUMIF(80:80,C20,81:81)+100</f>
        <v>105</v>
      </c>
      <c r="K19" s="857">
        <v>5</v>
      </c>
      <c r="L19" s="2024"/>
      <c r="M19" s="2016"/>
      <c r="N19" s="2016"/>
      <c r="O19" s="2023"/>
      <c r="P19" s="3513"/>
      <c r="Q19" s="1506" t="str">
        <f>B19</f>
        <v>公共配套设施</v>
      </c>
      <c r="R19" s="1507" t="s">
        <v>11</v>
      </c>
      <c r="S19" s="1508">
        <f>F19</f>
        <v>100</v>
      </c>
      <c r="T19" s="1507" t="s">
        <v>11</v>
      </c>
      <c r="U19" s="1508">
        <f>H19</f>
        <v>105</v>
      </c>
      <c r="V19" s="1507" t="s">
        <v>11</v>
      </c>
      <c r="W19" s="1508">
        <f>J19</f>
        <v>105</v>
      </c>
      <c r="X19" s="1501"/>
      <c r="Y19" s="3513"/>
      <c r="Z19" s="1509" t="str">
        <f>Q19</f>
        <v>公共配套设施</v>
      </c>
      <c r="AA19" s="1510">
        <f t="shared" si="3"/>
        <v>1</v>
      </c>
      <c r="AB19" s="1510">
        <f t="shared" si="4"/>
        <v>0.95238095238095233</v>
      </c>
      <c r="AC19" s="1510">
        <f t="shared" si="5"/>
        <v>0.95238095238095233</v>
      </c>
    </row>
    <row r="20" spans="1:29" ht="15">
      <c r="A20" s="526"/>
      <c r="B20" s="589"/>
      <c r="C20" s="570" t="s">
        <v>3527</v>
      </c>
      <c r="D20" s="549"/>
      <c r="E20" s="550" t="s">
        <v>3527</v>
      </c>
      <c r="F20" s="551"/>
      <c r="G20" s="552" t="s">
        <v>3528</v>
      </c>
      <c r="H20" s="549"/>
      <c r="I20" s="550" t="s">
        <v>3528</v>
      </c>
      <c r="J20" s="549"/>
      <c r="K20" s="859"/>
      <c r="L20" s="2024"/>
      <c r="M20" s="2016"/>
      <c r="N20" s="2016"/>
      <c r="O20" s="2023"/>
      <c r="P20" s="3513"/>
      <c r="Q20" s="1506"/>
      <c r="R20" s="1507"/>
      <c r="S20" s="1508"/>
      <c r="T20" s="1507"/>
      <c r="U20" s="1508"/>
      <c r="V20" s="1507"/>
      <c r="W20" s="1508"/>
      <c r="X20" s="1501"/>
      <c r="Y20" s="3513"/>
      <c r="Z20" s="1509"/>
      <c r="AA20" s="1510">
        <v>1</v>
      </c>
      <c r="AB20" s="1510">
        <v>1</v>
      </c>
      <c r="AC20" s="1510">
        <v>1</v>
      </c>
    </row>
    <row r="21" spans="1:29" ht="28.5">
      <c r="A21" s="526"/>
      <c r="B21" s="2437" t="s">
        <v>2537</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2</v>
      </c>
      <c r="L21" s="2024"/>
      <c r="M21" s="2016"/>
      <c r="N21" s="2016"/>
      <c r="O21" s="2023"/>
      <c r="P21" s="3513"/>
      <c r="Q21" s="2429" t="str">
        <f>B21</f>
        <v>基础设施水平</v>
      </c>
      <c r="R21" s="1507" t="s">
        <v>11</v>
      </c>
      <c r="S21" s="1508">
        <f>F21</f>
        <v>100</v>
      </c>
      <c r="T21" s="1507" t="s">
        <v>11</v>
      </c>
      <c r="U21" s="1508">
        <f>H21</f>
        <v>100</v>
      </c>
      <c r="V21" s="1507" t="s">
        <v>11</v>
      </c>
      <c r="W21" s="1508">
        <f>J21</f>
        <v>100</v>
      </c>
      <c r="X21" s="2431"/>
      <c r="Y21" s="3513"/>
      <c r="Z21" s="2430" t="str">
        <f>Q21</f>
        <v>基础设施水平</v>
      </c>
      <c r="AA21" s="1510">
        <f t="shared" ref="AA21" si="8">D21/F21</f>
        <v>1</v>
      </c>
      <c r="AB21" s="1510">
        <f t="shared" ref="AB21" si="9">D21/H21</f>
        <v>1</v>
      </c>
      <c r="AC21" s="1510">
        <f t="shared" ref="AC21" si="10">D21/J21</f>
        <v>1</v>
      </c>
    </row>
    <row r="22" spans="1:29" ht="15">
      <c r="A22" s="526"/>
      <c r="B22" s="910"/>
      <c r="C22" s="862" t="s">
        <v>3391</v>
      </c>
      <c r="D22" s="549"/>
      <c r="E22" s="862" t="s">
        <v>3391</v>
      </c>
      <c r="F22" s="551"/>
      <c r="G22" s="862" t="s">
        <v>3391</v>
      </c>
      <c r="H22" s="549"/>
      <c r="I22" s="862" t="s">
        <v>3391</v>
      </c>
      <c r="J22" s="549"/>
      <c r="K22" s="2443"/>
      <c r="L22" s="2024"/>
      <c r="M22" s="2016"/>
      <c r="N22" s="2016"/>
      <c r="O22" s="2023"/>
      <c r="P22" s="3513"/>
      <c r="Q22" s="2429"/>
      <c r="R22" s="1507"/>
      <c r="S22" s="1508"/>
      <c r="T22" s="1507"/>
      <c r="U22" s="1508"/>
      <c r="V22" s="1507"/>
      <c r="W22" s="1508"/>
      <c r="X22" s="2431"/>
      <c r="Y22" s="3513"/>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106</v>
      </c>
      <c r="G23" s="558"/>
      <c r="H23" s="553">
        <f>SUMIF(84:84,G24,85:85)-SUMIF(84:84,C24,85:85)+100</f>
        <v>103</v>
      </c>
      <c r="I23" s="556"/>
      <c r="J23" s="553">
        <f>SUMIF(84:84,I24,85:85)-SUMIF(84:84,C24,85:85)+100</f>
        <v>103</v>
      </c>
      <c r="K23" s="857">
        <v>3</v>
      </c>
      <c r="L23" s="2024"/>
      <c r="M23" s="2016"/>
      <c r="N23" s="2016"/>
      <c r="O23" s="2023"/>
      <c r="P23" s="3513"/>
      <c r="Q23" s="1506" t="str">
        <f>B23</f>
        <v>自然及人文环境</v>
      </c>
      <c r="R23" s="1507" t="s">
        <v>11</v>
      </c>
      <c r="S23" s="1508">
        <f>F23</f>
        <v>106</v>
      </c>
      <c r="T23" s="1507" t="s">
        <v>11</v>
      </c>
      <c r="U23" s="1508">
        <f>H23</f>
        <v>103</v>
      </c>
      <c r="V23" s="1507" t="s">
        <v>11</v>
      </c>
      <c r="W23" s="1508">
        <f>J23</f>
        <v>103</v>
      </c>
      <c r="X23" s="1501"/>
      <c r="Y23" s="3513"/>
      <c r="Z23" s="1509" t="str">
        <f>Q23</f>
        <v>自然及人文环境</v>
      </c>
      <c r="AA23" s="1510">
        <f t="shared" si="3"/>
        <v>0.94339622641509435</v>
      </c>
      <c r="AB23" s="1510">
        <f t="shared" si="4"/>
        <v>0.970873786407767</v>
      </c>
      <c r="AC23" s="1510">
        <f t="shared" si="5"/>
        <v>0.970873786407767</v>
      </c>
    </row>
    <row r="24" spans="1:29" ht="15">
      <c r="A24" s="526"/>
      <c r="B24" s="589"/>
      <c r="C24" s="570" t="s">
        <v>3542</v>
      </c>
      <c r="D24" s="549"/>
      <c r="E24" s="550" t="s">
        <v>3528</v>
      </c>
      <c r="F24" s="551"/>
      <c r="G24" s="552" t="s">
        <v>3527</v>
      </c>
      <c r="H24" s="549"/>
      <c r="I24" s="550" t="s">
        <v>3527</v>
      </c>
      <c r="J24" s="549"/>
      <c r="K24" s="859"/>
      <c r="L24" s="2024"/>
      <c r="M24" s="2016"/>
      <c r="N24" s="2016"/>
      <c r="O24" s="2023"/>
      <c r="P24" s="3513"/>
      <c r="Q24" s="1506"/>
      <c r="R24" s="1507"/>
      <c r="S24" s="1508"/>
      <c r="T24" s="1507"/>
      <c r="U24" s="1508"/>
      <c r="V24" s="1507"/>
      <c r="W24" s="1508"/>
      <c r="X24" s="1501"/>
      <c r="Y24" s="3513"/>
      <c r="Z24" s="1509"/>
      <c r="AA24" s="1510">
        <v>1</v>
      </c>
      <c r="AB24" s="1510">
        <v>1</v>
      </c>
      <c r="AC24" s="1510">
        <v>1</v>
      </c>
    </row>
    <row r="25" spans="1:29" ht="15">
      <c r="A25" s="526"/>
      <c r="B25" s="1809" t="s">
        <v>2242</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13"/>
      <c r="Q25" s="1506" t="str">
        <f t="shared" ref="Q25:Q46" si="11">B25</f>
        <v>楼层-1</v>
      </c>
      <c r="R25" s="1507" t="s">
        <v>11</v>
      </c>
      <c r="S25" s="1508">
        <f>F25</f>
        <v>100</v>
      </c>
      <c r="T25" s="1507" t="s">
        <v>11</v>
      </c>
      <c r="U25" s="1508">
        <f>H25</f>
        <v>100</v>
      </c>
      <c r="V25" s="1507" t="s">
        <v>11</v>
      </c>
      <c r="W25" s="1508">
        <f>J25</f>
        <v>100</v>
      </c>
      <c r="X25" s="1501"/>
      <c r="Y25" s="3513"/>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13"/>
      <c r="Q26" s="1506" t="str">
        <f t="shared" si="11"/>
        <v>朝向</v>
      </c>
      <c r="R26" s="1507" t="s">
        <v>11</v>
      </c>
      <c r="S26" s="1508">
        <f>F26</f>
        <v>100</v>
      </c>
      <c r="T26" s="1507" t="s">
        <v>11</v>
      </c>
      <c r="U26" s="1508">
        <f>H26</f>
        <v>100</v>
      </c>
      <c r="V26" s="1507" t="s">
        <v>11</v>
      </c>
      <c r="W26" s="1508">
        <f>J26</f>
        <v>100</v>
      </c>
      <c r="X26" s="1501"/>
      <c r="Y26" s="3513"/>
      <c r="Z26" s="1509" t="str">
        <f>Q26</f>
        <v>朝向</v>
      </c>
      <c r="AA26" s="1510">
        <f t="shared" si="3"/>
        <v>1</v>
      </c>
      <c r="AB26" s="1510">
        <f t="shared" si="4"/>
        <v>1</v>
      </c>
      <c r="AC26" s="1510">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13"/>
      <c r="Q27" s="1133" t="str">
        <f t="shared" si="11"/>
        <v>道路级别</v>
      </c>
      <c r="R27" s="1502" t="s">
        <v>11</v>
      </c>
      <c r="S27" s="1503">
        <f>F27</f>
        <v>100</v>
      </c>
      <c r="T27" s="1502" t="s">
        <v>11</v>
      </c>
      <c r="U27" s="1503">
        <f>H27</f>
        <v>100</v>
      </c>
      <c r="V27" s="1502" t="s">
        <v>11</v>
      </c>
      <c r="W27" s="1503">
        <f>J27</f>
        <v>100</v>
      </c>
      <c r="X27" s="1504"/>
      <c r="Y27" s="3513"/>
      <c r="Z27" s="1132" t="str">
        <f>Q27</f>
        <v>道路级别</v>
      </c>
      <c r="AA27" s="1510">
        <f>D27/F27</f>
        <v>1</v>
      </c>
      <c r="AB27" s="1510">
        <f>D27/H27</f>
        <v>1</v>
      </c>
      <c r="AC27" s="1510">
        <f>D27/J27</f>
        <v>1</v>
      </c>
    </row>
    <row r="28" spans="1:29" ht="15">
      <c r="A28" s="526"/>
      <c r="B28" s="866"/>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13"/>
      <c r="Q28" s="1506">
        <f t="shared" si="11"/>
        <v>0</v>
      </c>
      <c r="R28" s="1507" t="s">
        <v>11</v>
      </c>
      <c r="S28" s="1508">
        <f t="shared" ref="S28:S46" si="12">F28</f>
        <v>100</v>
      </c>
      <c r="T28" s="1507" t="s">
        <v>11</v>
      </c>
      <c r="U28" s="1508">
        <f t="shared" ref="U28:U46" si="13">H28</f>
        <v>100</v>
      </c>
      <c r="V28" s="1507" t="s">
        <v>11</v>
      </c>
      <c r="W28" s="1508">
        <f t="shared" ref="W28:W46" si="14">J28</f>
        <v>100</v>
      </c>
      <c r="X28" s="1501"/>
      <c r="Y28" s="3513"/>
      <c r="Z28" s="1509">
        <f t="shared" ref="Z28:Z46" si="15">Q28</f>
        <v>0</v>
      </c>
      <c r="AA28" s="1510">
        <f t="shared" si="3"/>
        <v>1</v>
      </c>
      <c r="AB28" s="1510">
        <f t="shared" si="4"/>
        <v>1</v>
      </c>
      <c r="AC28" s="1510">
        <f t="shared" si="5"/>
        <v>1</v>
      </c>
    </row>
    <row r="29" spans="1:29" ht="15">
      <c r="A29" s="526"/>
      <c r="B29" s="866"/>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13"/>
      <c r="Q29" s="1506">
        <f t="shared" si="11"/>
        <v>0</v>
      </c>
      <c r="R29" s="1507" t="s">
        <v>11</v>
      </c>
      <c r="S29" s="1508">
        <f t="shared" si="12"/>
        <v>100</v>
      </c>
      <c r="T29" s="1507" t="s">
        <v>11</v>
      </c>
      <c r="U29" s="1508">
        <f t="shared" si="13"/>
        <v>100</v>
      </c>
      <c r="V29" s="1507" t="s">
        <v>11</v>
      </c>
      <c r="W29" s="1508">
        <f t="shared" si="14"/>
        <v>100</v>
      </c>
      <c r="X29" s="1501"/>
      <c r="Y29" s="3513"/>
      <c r="Z29" s="1509">
        <f t="shared" si="15"/>
        <v>0</v>
      </c>
      <c r="AA29" s="1510">
        <f t="shared" si="3"/>
        <v>1</v>
      </c>
      <c r="AB29" s="1510">
        <f t="shared" si="4"/>
        <v>1</v>
      </c>
      <c r="AC29" s="1510">
        <f t="shared" si="5"/>
        <v>1</v>
      </c>
    </row>
    <row r="30" spans="1:29" ht="15">
      <c r="A30" s="526"/>
      <c r="B30" s="866"/>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13"/>
      <c r="Q30" s="1506">
        <f t="shared" si="11"/>
        <v>0</v>
      </c>
      <c r="R30" s="1507" t="s">
        <v>11</v>
      </c>
      <c r="S30" s="1508">
        <f t="shared" si="12"/>
        <v>100</v>
      </c>
      <c r="T30" s="1507" t="s">
        <v>11</v>
      </c>
      <c r="U30" s="1508">
        <f t="shared" si="13"/>
        <v>100</v>
      </c>
      <c r="V30" s="1507" t="s">
        <v>11</v>
      </c>
      <c r="W30" s="1508">
        <f t="shared" si="14"/>
        <v>100</v>
      </c>
      <c r="X30" s="1501"/>
      <c r="Y30" s="3513"/>
      <c r="Z30" s="1509">
        <f t="shared" si="15"/>
        <v>0</v>
      </c>
      <c r="AA30" s="1510">
        <f t="shared" si="3"/>
        <v>1</v>
      </c>
      <c r="AB30" s="1510">
        <f t="shared" si="4"/>
        <v>1</v>
      </c>
      <c r="AC30" s="1510">
        <f t="shared" si="5"/>
        <v>1</v>
      </c>
    </row>
    <row r="31" spans="1:29" ht="15.75" thickBot="1">
      <c r="A31" s="537"/>
      <c r="B31" s="866"/>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13"/>
      <c r="Q31" s="1506">
        <f t="shared" si="11"/>
        <v>0</v>
      </c>
      <c r="R31" s="1507" t="s">
        <v>11</v>
      </c>
      <c r="S31" s="1508">
        <f t="shared" si="12"/>
        <v>100</v>
      </c>
      <c r="T31" s="1507" t="s">
        <v>11</v>
      </c>
      <c r="U31" s="1508">
        <f t="shared" si="13"/>
        <v>100</v>
      </c>
      <c r="V31" s="1507" t="s">
        <v>11</v>
      </c>
      <c r="W31" s="1508">
        <f t="shared" si="14"/>
        <v>100</v>
      </c>
      <c r="X31" s="1501"/>
      <c r="Y31" s="3513"/>
      <c r="Z31" s="1509">
        <f t="shared" si="15"/>
        <v>0</v>
      </c>
      <c r="AA31" s="1510">
        <f t="shared" si="3"/>
        <v>1</v>
      </c>
      <c r="AB31" s="1510">
        <f t="shared" si="4"/>
        <v>1</v>
      </c>
      <c r="AC31" s="1510">
        <f t="shared" si="5"/>
        <v>1</v>
      </c>
    </row>
    <row r="32" spans="1:29" ht="15">
      <c r="A32" s="2624" t="s">
        <v>2732</v>
      </c>
      <c r="B32" s="170" t="s">
        <v>719</v>
      </c>
      <c r="C32" s="867" t="s">
        <v>3382</v>
      </c>
      <c r="D32" s="591">
        <v>100</v>
      </c>
      <c r="E32" s="867" t="s">
        <v>3382</v>
      </c>
      <c r="F32" s="569">
        <f>SUMIF(100:100,E32,101:101)-SUMIF(100:100,C32,101:101)+100</f>
        <v>100</v>
      </c>
      <c r="G32" s="867" t="s">
        <v>3382</v>
      </c>
      <c r="H32" s="591">
        <f>SUMIF(100:100,G32,101:101)-SUMIF(100:100,C32,101:101)+100</f>
        <v>100</v>
      </c>
      <c r="I32" s="867" t="s">
        <v>3382</v>
      </c>
      <c r="J32" s="534">
        <f>SUMIF(100:100,I32,101:101)-SUMIF(100:100,C32,101:101)+100</f>
        <v>100</v>
      </c>
      <c r="K32" s="853"/>
      <c r="L32" s="2024"/>
      <c r="M32" s="2016"/>
      <c r="N32" s="2016"/>
      <c r="O32" s="2023"/>
      <c r="P32" s="3514" t="s">
        <v>544</v>
      </c>
      <c r="Q32" s="1506" t="str">
        <f t="shared" si="11"/>
        <v>建筑类型</v>
      </c>
      <c r="R32" s="1507" t="s">
        <v>11</v>
      </c>
      <c r="S32" s="1508">
        <f t="shared" si="12"/>
        <v>100</v>
      </c>
      <c r="T32" s="1507" t="s">
        <v>11</v>
      </c>
      <c r="U32" s="1508">
        <f t="shared" si="13"/>
        <v>100</v>
      </c>
      <c r="V32" s="1507" t="s">
        <v>11</v>
      </c>
      <c r="W32" s="1508">
        <f t="shared" si="14"/>
        <v>100</v>
      </c>
      <c r="X32" s="1501"/>
      <c r="Y32" s="3515" t="s">
        <v>544</v>
      </c>
      <c r="Z32" s="1509" t="str">
        <f t="shared" si="15"/>
        <v>建筑类型</v>
      </c>
      <c r="AA32" s="1510">
        <f t="shared" si="3"/>
        <v>1</v>
      </c>
      <c r="AB32" s="1510">
        <f t="shared" si="4"/>
        <v>1</v>
      </c>
      <c r="AC32" s="1510">
        <f t="shared" si="5"/>
        <v>1</v>
      </c>
    </row>
    <row r="33" spans="1:29" s="1292" customFormat="1" ht="15">
      <c r="A33" s="597"/>
      <c r="B33" s="521" t="s">
        <v>720</v>
      </c>
      <c r="C33" s="868"/>
      <c r="D33" s="253">
        <v>100</v>
      </c>
      <c r="E33" s="868"/>
      <c r="F33" s="852">
        <f>LOOKUP(E33,103:103,104:104)-LOOKUP(C33,103:103,104:104)+100</f>
        <v>100</v>
      </c>
      <c r="G33" s="868"/>
      <c r="H33" s="253">
        <f>LOOKUP(G33,103:103,104:104)-LOOKUP(C33,103:103,104:104)+100</f>
        <v>100</v>
      </c>
      <c r="I33" s="868"/>
      <c r="J33" s="253">
        <f>LOOKUP(I33,103:103,104:104)-LOOKUP(C33,103:103,104:104)+100</f>
        <v>100</v>
      </c>
      <c r="K33" s="854"/>
      <c r="L33" s="2022"/>
      <c r="M33" s="2052"/>
      <c r="N33" s="2052"/>
      <c r="O33" s="2025"/>
      <c r="P33" s="3515"/>
      <c r="Q33" s="1535" t="str">
        <f t="shared" si="11"/>
        <v>项目建筑规模</v>
      </c>
      <c r="R33" s="1511" t="s">
        <v>11</v>
      </c>
      <c r="S33" s="1512">
        <f t="shared" si="12"/>
        <v>100</v>
      </c>
      <c r="T33" s="1511" t="s">
        <v>11</v>
      </c>
      <c r="U33" s="1512">
        <f t="shared" si="13"/>
        <v>100</v>
      </c>
      <c r="V33" s="1511" t="s">
        <v>11</v>
      </c>
      <c r="W33" s="1512">
        <f t="shared" si="14"/>
        <v>100</v>
      </c>
      <c r="X33" s="1513"/>
      <c r="Y33" s="3515"/>
      <c r="Z33" s="1514" t="str">
        <f t="shared" si="15"/>
        <v>项目建筑规模</v>
      </c>
      <c r="AA33" s="1510">
        <f t="shared" si="3"/>
        <v>1</v>
      </c>
      <c r="AB33" s="1510">
        <f t="shared" si="4"/>
        <v>1</v>
      </c>
      <c r="AC33" s="1510">
        <f t="shared" si="5"/>
        <v>1</v>
      </c>
    </row>
    <row r="34" spans="1:29" ht="15">
      <c r="A34" s="588"/>
      <c r="B34" s="521" t="s">
        <v>721</v>
      </c>
      <c r="C34" s="869" t="s">
        <v>3030</v>
      </c>
      <c r="D34" s="534">
        <v>100</v>
      </c>
      <c r="E34" s="869" t="s">
        <v>3030</v>
      </c>
      <c r="F34" s="569">
        <f>SUMIF(105:105,E34,106:106)-SUMIF(105:105,C34,106:106)+100</f>
        <v>100</v>
      </c>
      <c r="G34" s="869" t="s">
        <v>3030</v>
      </c>
      <c r="H34" s="534">
        <f>SUMIF(105:105,G34,106:106)-SUMIF(105:105,C34,106:106)+100</f>
        <v>100</v>
      </c>
      <c r="I34" s="869" t="s">
        <v>3030</v>
      </c>
      <c r="J34" s="534">
        <f>SUMIF(105:105,I34,106:106)-SUMIF(105:105,C34,106:106)+100</f>
        <v>100</v>
      </c>
      <c r="K34" s="853"/>
      <c r="L34" s="2024"/>
      <c r="M34" s="2016"/>
      <c r="N34" s="2016"/>
      <c r="O34" s="2023"/>
      <c r="P34" s="3515"/>
      <c r="Q34" s="1506" t="str">
        <f t="shared" si="11"/>
        <v>建筑结构</v>
      </c>
      <c r="R34" s="1507" t="s">
        <v>11</v>
      </c>
      <c r="S34" s="1508">
        <f t="shared" si="12"/>
        <v>100</v>
      </c>
      <c r="T34" s="1507" t="s">
        <v>11</v>
      </c>
      <c r="U34" s="1508">
        <f t="shared" si="13"/>
        <v>100</v>
      </c>
      <c r="V34" s="1507" t="s">
        <v>11</v>
      </c>
      <c r="W34" s="1508">
        <f t="shared" si="14"/>
        <v>100</v>
      </c>
      <c r="X34" s="1501"/>
      <c r="Y34" s="3515"/>
      <c r="Z34" s="1509" t="str">
        <f t="shared" si="15"/>
        <v>建筑结构</v>
      </c>
      <c r="AA34" s="1510">
        <f t="shared" si="3"/>
        <v>1</v>
      </c>
      <c r="AB34" s="1510">
        <f t="shared" si="4"/>
        <v>1</v>
      </c>
      <c r="AC34" s="1510">
        <f t="shared" si="5"/>
        <v>1</v>
      </c>
    </row>
    <row r="35" spans="1:29" ht="15">
      <c r="A35" s="588"/>
      <c r="B35" s="521" t="s">
        <v>722</v>
      </c>
      <c r="C35" s="593" t="s">
        <v>3533</v>
      </c>
      <c r="D35" s="534">
        <v>100</v>
      </c>
      <c r="E35" s="593" t="s">
        <v>3533</v>
      </c>
      <c r="F35" s="569">
        <f>SUMIF(107:107,E35,108:108)-SUMIF(107:107,C35,108:108)+100</f>
        <v>100</v>
      </c>
      <c r="G35" s="593" t="s">
        <v>3533</v>
      </c>
      <c r="H35" s="534">
        <f>SUMIF(107:107,G35,108:108)-SUMIF(107:107,C35,108:108)+100</f>
        <v>100</v>
      </c>
      <c r="I35" s="593" t="s">
        <v>3533</v>
      </c>
      <c r="J35" s="534">
        <f>SUMIF(107:107,I35,108:108)-SUMIF(107:107,C35,108:108)+100</f>
        <v>100</v>
      </c>
      <c r="K35" s="853"/>
      <c r="L35" s="2024"/>
      <c r="M35" s="2016"/>
      <c r="N35" s="2016"/>
      <c r="O35" s="2023"/>
      <c r="P35" s="3515"/>
      <c r="Q35" s="1506" t="str">
        <f t="shared" si="11"/>
        <v>建筑品质</v>
      </c>
      <c r="R35" s="1507" t="s">
        <v>11</v>
      </c>
      <c r="S35" s="1508">
        <f t="shared" si="12"/>
        <v>100</v>
      </c>
      <c r="T35" s="1507" t="s">
        <v>11</v>
      </c>
      <c r="U35" s="1508">
        <f t="shared" si="13"/>
        <v>100</v>
      </c>
      <c r="V35" s="1507" t="s">
        <v>11</v>
      </c>
      <c r="W35" s="1508">
        <f t="shared" si="14"/>
        <v>100</v>
      </c>
      <c r="X35" s="1501"/>
      <c r="Y35" s="3515"/>
      <c r="Z35" s="1509" t="str">
        <f t="shared" si="15"/>
        <v>建筑品质</v>
      </c>
      <c r="AA35" s="1510">
        <f t="shared" si="3"/>
        <v>1</v>
      </c>
      <c r="AB35" s="1510">
        <f t="shared" si="4"/>
        <v>1</v>
      </c>
      <c r="AC35" s="1510">
        <f t="shared" si="5"/>
        <v>1</v>
      </c>
    </row>
    <row r="36" spans="1:29" ht="15">
      <c r="A36" s="588"/>
      <c r="B36" s="521" t="s">
        <v>723</v>
      </c>
      <c r="C36" s="593" t="s">
        <v>3534</v>
      </c>
      <c r="D36" s="534">
        <v>100</v>
      </c>
      <c r="E36" s="593" t="s">
        <v>3534</v>
      </c>
      <c r="F36" s="569">
        <f>SUMIF(109:109,E36,110:110)-SUMIF(109:109,C36,110:110)+100</f>
        <v>100</v>
      </c>
      <c r="G36" s="593" t="s">
        <v>3534</v>
      </c>
      <c r="H36" s="534">
        <f>SUMIF(109:109,G36,110:110)-SUMIF(109:109,C36,110:110)+100</f>
        <v>100</v>
      </c>
      <c r="I36" s="593" t="s">
        <v>3534</v>
      </c>
      <c r="J36" s="534">
        <f>SUMIF(109:109,I36,110:110)-SUMIF(109:109,C36,110:110)+100</f>
        <v>100</v>
      </c>
      <c r="K36" s="853"/>
      <c r="L36" s="2024"/>
      <c r="M36" s="2016"/>
      <c r="N36" s="2016"/>
      <c r="O36" s="2023"/>
      <c r="P36" s="3515"/>
      <c r="Q36" s="1506" t="str">
        <f t="shared" si="11"/>
        <v>公共部分装修</v>
      </c>
      <c r="R36" s="1507" t="s">
        <v>11</v>
      </c>
      <c r="S36" s="1508">
        <f t="shared" si="12"/>
        <v>100</v>
      </c>
      <c r="T36" s="1507" t="s">
        <v>11</v>
      </c>
      <c r="U36" s="1508">
        <f t="shared" si="13"/>
        <v>100</v>
      </c>
      <c r="V36" s="1507" t="s">
        <v>11</v>
      </c>
      <c r="W36" s="1508">
        <f t="shared" si="14"/>
        <v>100</v>
      </c>
      <c r="X36" s="1501"/>
      <c r="Y36" s="3515"/>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c r="L37" s="2017"/>
      <c r="M37" s="2018"/>
      <c r="N37" s="2018"/>
      <c r="O37" s="2019"/>
      <c r="P37" s="3515"/>
      <c r="Q37" s="1133" t="str">
        <f t="shared" si="11"/>
        <v>成新度</v>
      </c>
      <c r="R37" s="1502" t="s">
        <v>11</v>
      </c>
      <c r="S37" s="1503">
        <f t="shared" si="12"/>
        <v>100</v>
      </c>
      <c r="T37" s="1502" t="s">
        <v>11</v>
      </c>
      <c r="U37" s="1503">
        <f t="shared" si="13"/>
        <v>100</v>
      </c>
      <c r="V37" s="1502" t="s">
        <v>11</v>
      </c>
      <c r="W37" s="1503">
        <f t="shared" si="14"/>
        <v>100</v>
      </c>
      <c r="X37" s="1504"/>
      <c r="Y37" s="3515"/>
      <c r="Z37" s="1132" t="str">
        <f t="shared" si="15"/>
        <v>成新度</v>
      </c>
      <c r="AA37" s="1505">
        <f t="shared" si="3"/>
        <v>1</v>
      </c>
      <c r="AB37" s="1505">
        <f t="shared" si="4"/>
        <v>1</v>
      </c>
      <c r="AC37" s="1505">
        <f t="shared" si="5"/>
        <v>1</v>
      </c>
    </row>
    <row r="38" spans="1:29" ht="15">
      <c r="A38" s="588"/>
      <c r="B38" s="521" t="s">
        <v>725</v>
      </c>
      <c r="C38" s="593" t="s">
        <v>3535</v>
      </c>
      <c r="D38" s="534">
        <v>100</v>
      </c>
      <c r="E38" s="593" t="s">
        <v>3535</v>
      </c>
      <c r="F38" s="569">
        <f>SUMIF(114:114,E38,115:115)-SUMIF(114:114,C38,115:115)+100</f>
        <v>100</v>
      </c>
      <c r="G38" s="593" t="s">
        <v>3535</v>
      </c>
      <c r="H38" s="534">
        <f>SUMIF(114:114,G38,115:115)-SUMIF(114:114,C38,115:115)+100</f>
        <v>100</v>
      </c>
      <c r="I38" s="593" t="s">
        <v>3535</v>
      </c>
      <c r="J38" s="534">
        <f>SUMIF(114:114,I38,115:115)-SUMIF(114:114,C38,115:115)+100</f>
        <v>100</v>
      </c>
      <c r="K38" s="853"/>
      <c r="L38" s="2024"/>
      <c r="M38" s="2016"/>
      <c r="N38" s="2016"/>
      <c r="O38" s="2023"/>
      <c r="P38" s="3515" t="s">
        <v>544</v>
      </c>
      <c r="Q38" s="1506" t="str">
        <f t="shared" si="11"/>
        <v>物业管理</v>
      </c>
      <c r="R38" s="1507" t="s">
        <v>11</v>
      </c>
      <c r="S38" s="1508">
        <f t="shared" si="12"/>
        <v>100</v>
      </c>
      <c r="T38" s="1507" t="s">
        <v>11</v>
      </c>
      <c r="U38" s="1508">
        <f t="shared" si="13"/>
        <v>100</v>
      </c>
      <c r="V38" s="1507" t="s">
        <v>11</v>
      </c>
      <c r="W38" s="1508">
        <f t="shared" si="14"/>
        <v>100</v>
      </c>
      <c r="X38" s="1501"/>
      <c r="Y38" s="3515" t="s">
        <v>544</v>
      </c>
      <c r="Z38" s="1509" t="str">
        <f t="shared" si="15"/>
        <v>物业管理</v>
      </c>
      <c r="AA38" s="1510">
        <f t="shared" si="3"/>
        <v>1</v>
      </c>
      <c r="AB38" s="1510">
        <f t="shared" si="4"/>
        <v>1</v>
      </c>
      <c r="AC38" s="1510">
        <f t="shared" si="5"/>
        <v>1</v>
      </c>
    </row>
    <row r="39" spans="1:29" ht="15">
      <c r="A39" s="588"/>
      <c r="B39" s="1809" t="s">
        <v>2543</v>
      </c>
      <c r="C39" s="593" t="s">
        <v>3391</v>
      </c>
      <c r="D39" s="534">
        <v>100</v>
      </c>
      <c r="E39" s="593" t="s">
        <v>3391</v>
      </c>
      <c r="F39" s="569">
        <f>SUMIF(116:116,E39,117:117)-SUMIF(116:116,C39,117:117)+100</f>
        <v>100</v>
      </c>
      <c r="G39" s="593" t="s">
        <v>3391</v>
      </c>
      <c r="H39" s="534">
        <f>SUMIF(116:116,G39,117:117)-SUMIF(116:116,C39,117:117)+100</f>
        <v>100</v>
      </c>
      <c r="I39" s="593" t="s">
        <v>3391</v>
      </c>
      <c r="J39" s="534">
        <f>SUMIF(116:116,I39,117:117)-SUMIF(116:116,C39,117:117)+100</f>
        <v>100</v>
      </c>
      <c r="K39" s="853"/>
      <c r="L39" s="2024"/>
      <c r="M39" s="2016"/>
      <c r="N39" s="2016"/>
      <c r="O39" s="2023"/>
      <c r="P39" s="3515"/>
      <c r="Q39" s="1506" t="str">
        <f t="shared" si="11"/>
        <v>市政基础设施</v>
      </c>
      <c r="R39" s="1507" t="s">
        <v>11</v>
      </c>
      <c r="S39" s="1508">
        <f t="shared" si="12"/>
        <v>100</v>
      </c>
      <c r="T39" s="1507" t="s">
        <v>11</v>
      </c>
      <c r="U39" s="1508">
        <f t="shared" si="13"/>
        <v>100</v>
      </c>
      <c r="V39" s="1507" t="s">
        <v>11</v>
      </c>
      <c r="W39" s="1508">
        <f t="shared" si="14"/>
        <v>100</v>
      </c>
      <c r="X39" s="1501"/>
      <c r="Y39" s="3515"/>
      <c r="Z39" s="1509" t="str">
        <f t="shared" si="15"/>
        <v>市政基础设施</v>
      </c>
      <c r="AA39" s="1510">
        <f t="shared" si="3"/>
        <v>1</v>
      </c>
      <c r="AB39" s="1510">
        <f t="shared" si="4"/>
        <v>1</v>
      </c>
      <c r="AC39" s="1510">
        <f t="shared" si="5"/>
        <v>1</v>
      </c>
    </row>
    <row r="40" spans="1:29" ht="15">
      <c r="A40" s="588"/>
      <c r="B40" s="521" t="s">
        <v>726</v>
      </c>
      <c r="C40" s="593" t="s">
        <v>3536</v>
      </c>
      <c r="D40" s="534">
        <v>100</v>
      </c>
      <c r="E40" s="593" t="s">
        <v>3536</v>
      </c>
      <c r="F40" s="569">
        <f>SUMIF(118:118,E40,119:119)-SUMIF(118:118,C40,119:119)+100</f>
        <v>100</v>
      </c>
      <c r="G40" s="593" t="s">
        <v>3536</v>
      </c>
      <c r="H40" s="534">
        <f>SUMIF(118:118,G40,119:119)-SUMIF(118:118,C40,119:119)+100</f>
        <v>100</v>
      </c>
      <c r="I40" s="593" t="s">
        <v>3536</v>
      </c>
      <c r="J40" s="534">
        <f>SUMIF(118:118,I40,119:119)-SUMIF(118:118,C40,119:119)+100</f>
        <v>100</v>
      </c>
      <c r="K40" s="853"/>
      <c r="L40" s="2024"/>
      <c r="M40" s="2016"/>
      <c r="N40" s="2016"/>
      <c r="O40" s="2023"/>
      <c r="P40" s="3515"/>
      <c r="Q40" s="1506" t="str">
        <f t="shared" si="11"/>
        <v>房型</v>
      </c>
      <c r="R40" s="1507" t="s">
        <v>11</v>
      </c>
      <c r="S40" s="1508">
        <f t="shared" si="12"/>
        <v>100</v>
      </c>
      <c r="T40" s="1507" t="s">
        <v>11</v>
      </c>
      <c r="U40" s="1508">
        <f t="shared" si="13"/>
        <v>100</v>
      </c>
      <c r="V40" s="1507" t="s">
        <v>11</v>
      </c>
      <c r="W40" s="1508">
        <f t="shared" si="14"/>
        <v>100</v>
      </c>
      <c r="X40" s="1501"/>
      <c r="Y40" s="3515"/>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15"/>
      <c r="Q41" s="1535" t="str">
        <f t="shared" si="11"/>
        <v>单套/主力户型建筑面积</v>
      </c>
      <c r="R41" s="1511" t="s">
        <v>11</v>
      </c>
      <c r="S41" s="1512">
        <f t="shared" si="12"/>
        <v>100</v>
      </c>
      <c r="T41" s="1511" t="s">
        <v>11</v>
      </c>
      <c r="U41" s="1512">
        <f t="shared" si="13"/>
        <v>100</v>
      </c>
      <c r="V41" s="1511" t="s">
        <v>11</v>
      </c>
      <c r="W41" s="1512">
        <f t="shared" si="14"/>
        <v>100</v>
      </c>
      <c r="X41" s="1513"/>
      <c r="Y41" s="3515"/>
      <c r="Z41" s="1514" t="str">
        <f t="shared" si="15"/>
        <v>单套/主力户型建筑面积</v>
      </c>
      <c r="AA41" s="1510">
        <f t="shared" si="3"/>
        <v>1</v>
      </c>
      <c r="AB41" s="1510">
        <f t="shared" si="4"/>
        <v>1</v>
      </c>
      <c r="AC41" s="1510">
        <f t="shared" si="5"/>
        <v>1</v>
      </c>
    </row>
    <row r="42" spans="1:29" ht="15">
      <c r="A42" s="588"/>
      <c r="B42" s="521" t="s">
        <v>728</v>
      </c>
      <c r="C42" s="593" t="s">
        <v>3394</v>
      </c>
      <c r="D42" s="534">
        <v>100</v>
      </c>
      <c r="E42" s="863" t="s">
        <v>3397</v>
      </c>
      <c r="F42" s="569">
        <f>SUMIF(122:122,E42,123:123)-SUMIF(122:122,C42,123:123)+100</f>
        <v>92</v>
      </c>
      <c r="G42" s="593" t="s">
        <v>3394</v>
      </c>
      <c r="H42" s="534">
        <f>SUMIF(122:122,G42,123:123)-SUMIF(122:122,C42,123:123)+100</f>
        <v>100</v>
      </c>
      <c r="I42" s="863" t="s">
        <v>3397</v>
      </c>
      <c r="J42" s="534">
        <f>SUMIF(122:122,I42,123:123)-SUMIF(122:122,C42,123:123)+100</f>
        <v>92</v>
      </c>
      <c r="K42" s="853">
        <v>4</v>
      </c>
      <c r="L42" s="2024"/>
      <c r="M42" s="2016"/>
      <c r="N42" s="2016"/>
      <c r="O42" s="2023"/>
      <c r="P42" s="3515"/>
      <c r="Q42" s="1506" t="str">
        <f t="shared" si="11"/>
        <v>内部装修</v>
      </c>
      <c r="R42" s="1507" t="s">
        <v>11</v>
      </c>
      <c r="S42" s="1508">
        <f t="shared" si="12"/>
        <v>92</v>
      </c>
      <c r="T42" s="1507" t="s">
        <v>11</v>
      </c>
      <c r="U42" s="1508">
        <f t="shared" si="13"/>
        <v>100</v>
      </c>
      <c r="V42" s="1507" t="s">
        <v>11</v>
      </c>
      <c r="W42" s="1508">
        <f t="shared" si="14"/>
        <v>92</v>
      </c>
      <c r="X42" s="1501"/>
      <c r="Y42" s="3515"/>
      <c r="Z42" s="1509" t="str">
        <f t="shared" si="15"/>
        <v>内部装修</v>
      </c>
      <c r="AA42" s="1510">
        <f t="shared" si="3"/>
        <v>1.0869565217391304</v>
      </c>
      <c r="AB42" s="1510">
        <f t="shared" si="4"/>
        <v>1</v>
      </c>
      <c r="AC42" s="1510">
        <f t="shared" si="5"/>
        <v>1.0869565217391304</v>
      </c>
    </row>
    <row r="43" spans="1:29" ht="27">
      <c r="A43" s="588"/>
      <c r="B43" s="521" t="s">
        <v>729</v>
      </c>
      <c r="C43" s="593" t="s">
        <v>3528</v>
      </c>
      <c r="D43" s="534">
        <v>100</v>
      </c>
      <c r="E43" s="593" t="s">
        <v>3528</v>
      </c>
      <c r="F43" s="569">
        <f>SUMIF(124:124,E43,125:125)-SUMIF(124:124,C43,125:125)+100</f>
        <v>100</v>
      </c>
      <c r="G43" s="593" t="s">
        <v>3528</v>
      </c>
      <c r="H43" s="534">
        <f>SUMIF(124:124,G43,125:125)-SUMIF(124:124,C43,125:125)+100</f>
        <v>100</v>
      </c>
      <c r="I43" s="593" t="s">
        <v>3528</v>
      </c>
      <c r="J43" s="534">
        <f>SUMIF(124:124,I43,125:125)-SUMIF(124:124,C43,125:125)+100</f>
        <v>100</v>
      </c>
      <c r="K43" s="853"/>
      <c r="L43" s="2024"/>
      <c r="M43" s="2016"/>
      <c r="N43" s="2016"/>
      <c r="O43" s="2023"/>
      <c r="P43" s="3515"/>
      <c r="Q43" s="1506" t="str">
        <f t="shared" si="11"/>
        <v>内部装修维护情况</v>
      </c>
      <c r="R43" s="1507" t="s">
        <v>11</v>
      </c>
      <c r="S43" s="1508">
        <f t="shared" si="12"/>
        <v>100</v>
      </c>
      <c r="T43" s="1507" t="s">
        <v>11</v>
      </c>
      <c r="U43" s="1508">
        <f t="shared" si="13"/>
        <v>100</v>
      </c>
      <c r="V43" s="1507" t="s">
        <v>11</v>
      </c>
      <c r="W43" s="1508">
        <f t="shared" si="14"/>
        <v>100</v>
      </c>
      <c r="X43" s="1501"/>
      <c r="Y43" s="3515"/>
      <c r="Z43" s="1509" t="str">
        <f t="shared" si="15"/>
        <v>内部装修维护情况</v>
      </c>
      <c r="AA43" s="1510">
        <f t="shared" si="3"/>
        <v>1</v>
      </c>
      <c r="AB43" s="1510">
        <f t="shared" si="4"/>
        <v>1</v>
      </c>
      <c r="AC43" s="1510">
        <f t="shared" si="5"/>
        <v>1</v>
      </c>
    </row>
    <row r="44" spans="1:29" s="1202" customFormat="1" ht="15">
      <c r="A44" s="594"/>
      <c r="B44" s="866"/>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7"/>
      <c r="M44" s="2018"/>
      <c r="N44" s="2018"/>
      <c r="O44" s="2019"/>
      <c r="P44" s="3515"/>
      <c r="Q44" s="1133">
        <f t="shared" si="11"/>
        <v>0</v>
      </c>
      <c r="R44" s="1502" t="s">
        <v>11</v>
      </c>
      <c r="S44" s="1503">
        <f t="shared" si="12"/>
        <v>100</v>
      </c>
      <c r="T44" s="1502" t="s">
        <v>11</v>
      </c>
      <c r="U44" s="1503">
        <f t="shared" si="13"/>
        <v>100</v>
      </c>
      <c r="V44" s="1502" t="s">
        <v>11</v>
      </c>
      <c r="W44" s="1503">
        <f t="shared" si="14"/>
        <v>100</v>
      </c>
      <c r="X44" s="1504"/>
      <c r="Y44" s="3515"/>
      <c r="Z44" s="1132">
        <f t="shared" si="15"/>
        <v>0</v>
      </c>
      <c r="AA44" s="1505">
        <f t="shared" si="3"/>
        <v>1</v>
      </c>
      <c r="AB44" s="1505">
        <f t="shared" si="4"/>
        <v>1</v>
      </c>
      <c r="AC44" s="1505">
        <f t="shared" si="5"/>
        <v>1</v>
      </c>
    </row>
    <row r="45" spans="1:29" ht="15">
      <c r="A45" s="588"/>
      <c r="B45" s="866"/>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15"/>
      <c r="Q45" s="1506">
        <f t="shared" si="11"/>
        <v>0</v>
      </c>
      <c r="R45" s="1507" t="s">
        <v>11</v>
      </c>
      <c r="S45" s="1508">
        <f t="shared" si="12"/>
        <v>100</v>
      </c>
      <c r="T45" s="1507" t="s">
        <v>11</v>
      </c>
      <c r="U45" s="1508">
        <f t="shared" si="13"/>
        <v>100</v>
      </c>
      <c r="V45" s="1507" t="s">
        <v>11</v>
      </c>
      <c r="W45" s="1508">
        <f t="shared" si="14"/>
        <v>100</v>
      </c>
      <c r="X45" s="1501"/>
      <c r="Y45" s="3515"/>
      <c r="Z45" s="1509">
        <f t="shared" si="15"/>
        <v>0</v>
      </c>
      <c r="AA45" s="1510">
        <f t="shared" si="3"/>
        <v>1</v>
      </c>
      <c r="AB45" s="1510">
        <f t="shared" si="4"/>
        <v>1</v>
      </c>
      <c r="AC45" s="1510">
        <f t="shared" si="5"/>
        <v>1</v>
      </c>
    </row>
    <row r="46" spans="1:29" ht="15.75" thickBot="1">
      <c r="A46" s="874"/>
      <c r="B46" s="538"/>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18"/>
      <c r="Q46" s="1506">
        <f t="shared" si="11"/>
        <v>0</v>
      </c>
      <c r="R46" s="1507" t="s">
        <v>10</v>
      </c>
      <c r="S46" s="1508">
        <f t="shared" si="12"/>
        <v>100</v>
      </c>
      <c r="T46" s="1507" t="s">
        <v>10</v>
      </c>
      <c r="U46" s="1508">
        <f t="shared" si="13"/>
        <v>100</v>
      </c>
      <c r="V46" s="1507" t="s">
        <v>10</v>
      </c>
      <c r="W46" s="1508">
        <f t="shared" si="14"/>
        <v>100</v>
      </c>
      <c r="X46" s="1501"/>
      <c r="Y46" s="3618"/>
      <c r="Z46" s="1509">
        <f t="shared" si="15"/>
        <v>0</v>
      </c>
      <c r="AA46" s="1510">
        <f t="shared" si="3"/>
        <v>1</v>
      </c>
      <c r="AB46" s="1510">
        <f t="shared" si="4"/>
        <v>1</v>
      </c>
      <c r="AC46" s="1510">
        <f t="shared" si="5"/>
        <v>1</v>
      </c>
    </row>
    <row r="47" spans="1:29" ht="15">
      <c r="A47" s="601" t="s">
        <v>730</v>
      </c>
      <c r="B47" s="875"/>
      <c r="C47" s="2470" t="s">
        <v>9</v>
      </c>
      <c r="D47" s="2471"/>
      <c r="E47" s="2472">
        <v>14768</v>
      </c>
      <c r="F47" s="2473"/>
      <c r="G47" s="2474">
        <v>14949</v>
      </c>
      <c r="H47" s="2475"/>
      <c r="I47" s="2472">
        <v>15000</v>
      </c>
      <c r="J47" s="2475"/>
      <c r="K47" s="1536"/>
      <c r="L47" s="2026"/>
      <c r="M47" s="2027"/>
      <c r="N47" s="2016"/>
      <c r="O47" s="2027"/>
      <c r="P47" s="3510" t="str">
        <f>A47</f>
        <v>成交单价（元/平方米）</v>
      </c>
      <c r="Q47" s="3510"/>
      <c r="R47" s="3617">
        <f>E47</f>
        <v>14768</v>
      </c>
      <c r="S47" s="3617"/>
      <c r="T47" s="3617">
        <f>G47</f>
        <v>14949</v>
      </c>
      <c r="U47" s="3617"/>
      <c r="V47" s="3617">
        <f>I47</f>
        <v>15000</v>
      </c>
      <c r="W47" s="3617"/>
      <c r="X47" s="1496"/>
      <c r="Y47" s="1515"/>
      <c r="Z47" s="1496"/>
      <c r="AA47" s="1496"/>
      <c r="AB47" s="1496"/>
      <c r="AC47" s="1496"/>
    </row>
    <row r="48" spans="1:29" ht="15.75" thickBot="1">
      <c r="A48" s="609" t="s">
        <v>2737</v>
      </c>
      <c r="B48" s="876"/>
      <c r="C48" s="2476">
        <f>R49</f>
        <v>13379</v>
      </c>
      <c r="D48" s="3014" t="s">
        <v>2965</v>
      </c>
      <c r="E48" s="2477">
        <f>R48</f>
        <v>14422</v>
      </c>
      <c r="F48" s="3015"/>
      <c r="G48" s="2476">
        <f>T48</f>
        <v>13164</v>
      </c>
      <c r="H48" s="3015" t="s">
        <v>3523</v>
      </c>
      <c r="I48" s="2477">
        <f>V48</f>
        <v>12551</v>
      </c>
      <c r="J48" s="3015"/>
      <c r="K48" s="3023" t="e">
        <f>F48+H48+J48</f>
        <v>#VALUE!</v>
      </c>
      <c r="L48" s="2026"/>
      <c r="M48" s="2027"/>
      <c r="N48" s="2027"/>
      <c r="O48" s="2027"/>
      <c r="P48" s="3510" t="str">
        <f>A48</f>
        <v>比较价格（元/平方米）</v>
      </c>
      <c r="Q48" s="3510"/>
      <c r="R48" s="3617">
        <f>IF(F1="售价",ROUND(PRODUCT(R47,AA7:AA46),0),ROUND(PRODUCT(R47,AA7:AA46),1))</f>
        <v>14422</v>
      </c>
      <c r="S48" s="3617"/>
      <c r="T48" s="3617">
        <f>IF(F1="售价",ROUND(PRODUCT(T47,AB7:AB46),0),ROUND(PRODUCT(T47,AB7:AB46),1))</f>
        <v>13164</v>
      </c>
      <c r="U48" s="3617"/>
      <c r="V48" s="3617">
        <f>IF(F1="售价",ROUND(PRODUCT(V47,AC7:AC46),0),ROUND(PRODUCT(V47,AC7:AC46),1))</f>
        <v>12551</v>
      </c>
      <c r="W48" s="3617"/>
      <c r="X48" s="1496"/>
      <c r="Y48" s="1496"/>
      <c r="Z48" s="1496"/>
      <c r="AA48" s="1496"/>
      <c r="AB48" s="1496"/>
      <c r="AC48" s="1496"/>
    </row>
    <row r="49" spans="1:29" ht="15.75" thickBot="1">
      <c r="A49" s="613" t="s">
        <v>2896</v>
      </c>
      <c r="B49" s="614"/>
      <c r="C49" s="2478">
        <f>R49</f>
        <v>13379</v>
      </c>
      <c r="D49" s="2478"/>
      <c r="E49" s="2478"/>
      <c r="F49" s="2478"/>
      <c r="G49" s="2478"/>
      <c r="H49" s="2478"/>
      <c r="I49" s="2478"/>
      <c r="J49" s="2478"/>
      <c r="K49" s="1537"/>
      <c r="L49" s="2026"/>
      <c r="M49" s="2027"/>
      <c r="N49" s="2027"/>
      <c r="O49" s="2027"/>
      <c r="P49" s="3531" t="str">
        <f>A49</f>
        <v>估价对象XX用房的比较价格（楼面单价，元/平方米）</v>
      </c>
      <c r="Q49" s="3532"/>
      <c r="R49" s="3616">
        <f>IF(F1="售价",ROUND(IF(D48="简单平均",AVERAGE(R48:V48),R48*F48+T48*H48+V48*J48),0),ROUND(IF(D48="简单平均",AVERAGE(R48:V48),R48*F48+T48*H48+V48*J48),1))</f>
        <v>13379</v>
      </c>
      <c r="S49" s="3616"/>
      <c r="T49" s="3616"/>
      <c r="U49" s="3616"/>
      <c r="V49" s="3616"/>
      <c r="W49" s="3616"/>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t="s">
        <v>3532</v>
      </c>
      <c r="F51" s="3214"/>
      <c r="G51" s="3214" t="s">
        <v>3531</v>
      </c>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f>IF(E47&lt;E48,E48/E47-1,E47/E48-1)</f>
        <v>2.3991124670642128E-2</v>
      </c>
      <c r="F52" s="619" t="str">
        <f>IF(OR(E52&gt;=0.3,E52&lt;=-0.3),"超过30%","")</f>
        <v/>
      </c>
      <c r="G52" s="618">
        <f>IF(G47&lt;G48,G48/G47-1,G47/G48-1)</f>
        <v>0.13559708295350958</v>
      </c>
      <c r="H52" s="619" t="str">
        <f>IF(OR(G52&gt;=0.3,G52&lt;=-0.3),"超过30%","")</f>
        <v/>
      </c>
      <c r="I52" s="618">
        <f>IF(I47&lt;I48,I48/I47-1,I47/I48-1)</f>
        <v>0.19512389451039769</v>
      </c>
      <c r="J52" s="619" t="str">
        <f>IF(OR(I52&gt;=0.3,I52&lt;=-0.3),"超过30%","")</f>
        <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f>IF(E48&lt;G48,G48/E48-1,E48/G48-1)</f>
        <v>9.55636584624735E-2</v>
      </c>
      <c r="F53" s="619" t="str">
        <f>IF(OR(E53&gt;=0.2,E53&lt;=-0.2),"超过20%","")</f>
        <v/>
      </c>
      <c r="G53" s="618">
        <f>IF(G48&lt;I48,I48/G48-1,G48/I48-1)</f>
        <v>4.8840729822325013E-2</v>
      </c>
      <c r="H53" s="619" t="str">
        <f>IF(OR(G53&gt;=0.2,G53&lt;=-0.2),"超过20%","")</f>
        <v/>
      </c>
      <c r="I53" s="618">
        <f>IF(I48&lt;E48,E48/I48-1,I48/E48-1)</f>
        <v>0.14907178710859692</v>
      </c>
      <c r="J53" s="619" t="str">
        <f>IF(OR(I53&gt;=0.2,I53&lt;=-0.2),"超过20%","")</f>
        <v/>
      </c>
      <c r="K53" s="3217"/>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5"/>
      <c r="B54" s="3215"/>
      <c r="C54" s="616" t="s">
        <v>553</v>
      </c>
      <c r="D54" s="620"/>
      <c r="E54" s="618">
        <f>IF(E47&lt;G47,G47/E47-1,E47/G47-1)</f>
        <v>1.2256229685807085E-2</v>
      </c>
      <c r="F54" s="619" t="str">
        <f>IF(OR(E54&gt;=0.3,E54&lt;=-0.3),"超过30%","")</f>
        <v/>
      </c>
      <c r="G54" s="618">
        <f>IF(G47&lt;I47,I47/G47-1,G47/I47-1)</f>
        <v>3.411599438089441E-3</v>
      </c>
      <c r="H54" s="619" t="str">
        <f>IF(OR(G54&gt;=0.3,G54&lt;=-0.3),"超过30%","")</f>
        <v/>
      </c>
      <c r="I54" s="618">
        <f>IF(I47&lt;E47,E47/I47-1,I47/E47-1)</f>
        <v>1.5709642470205898E-2</v>
      </c>
      <c r="J54" s="619" t="str">
        <f>IF(OR(I54&gt;=0.3,I54&lt;=-0.3),"超过30%","")</f>
        <v/>
      </c>
      <c r="K54" s="3218"/>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2020-8</v>
      </c>
      <c r="D58" s="2521">
        <f>EDATE(C58,-1)</f>
        <v>44013</v>
      </c>
      <c r="E58" s="2521">
        <f t="shared" ref="E58:O58" si="16">EDATE(D58,-1)</f>
        <v>43983</v>
      </c>
      <c r="F58" s="2521">
        <f t="shared" si="16"/>
        <v>43952</v>
      </c>
      <c r="G58" s="2521">
        <f t="shared" si="16"/>
        <v>43922</v>
      </c>
      <c r="H58" s="2521">
        <f t="shared" si="16"/>
        <v>43891</v>
      </c>
      <c r="I58" s="2521">
        <f t="shared" si="16"/>
        <v>43862</v>
      </c>
      <c r="J58" s="2521">
        <f t="shared" si="16"/>
        <v>43831</v>
      </c>
      <c r="K58" s="2521">
        <f t="shared" si="16"/>
        <v>43800</v>
      </c>
      <c r="L58" s="2521">
        <f t="shared" si="16"/>
        <v>43770</v>
      </c>
      <c r="M58" s="2521">
        <f t="shared" si="16"/>
        <v>43739</v>
      </c>
      <c r="N58" s="2521">
        <f t="shared" si="16"/>
        <v>43709</v>
      </c>
      <c r="O58" s="2521">
        <f t="shared" si="16"/>
        <v>43678</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v>100</v>
      </c>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2（含）-3</v>
      </c>
      <c r="D67" s="674" t="str">
        <f t="shared" ref="D67:L67" si="18">D68&amp;"（含）"&amp;"-"&amp;E68</f>
        <v>3（含）-4</v>
      </c>
      <c r="E67" s="674" t="str">
        <f t="shared" si="18"/>
        <v>4（含）-5</v>
      </c>
      <c r="F67" s="674" t="str">
        <f t="shared" si="18"/>
        <v>5（含）-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2</v>
      </c>
      <c r="D68" s="535">
        <v>3</v>
      </c>
      <c r="E68" s="535">
        <v>4</v>
      </c>
      <c r="F68" s="535">
        <v>5</v>
      </c>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96</v>
      </c>
      <c r="E69" s="671">
        <f t="shared" si="19"/>
        <v>92</v>
      </c>
      <c r="F69" s="671">
        <f t="shared" si="19"/>
        <v>88</v>
      </c>
      <c r="G69" s="671">
        <f t="shared" si="19"/>
        <v>84</v>
      </c>
      <c r="H69" s="671">
        <f t="shared" si="19"/>
        <v>80</v>
      </c>
      <c r="I69" s="671">
        <f t="shared" si="19"/>
        <v>76</v>
      </c>
      <c r="J69" s="671">
        <f t="shared" si="19"/>
        <v>72</v>
      </c>
      <c r="K69" s="671">
        <f t="shared" si="19"/>
        <v>68</v>
      </c>
      <c r="L69" s="671">
        <f t="shared" si="19"/>
        <v>64</v>
      </c>
      <c r="M69" s="672">
        <f t="shared" si="19"/>
        <v>60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0</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0</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0</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95</v>
      </c>
      <c r="E77" s="671">
        <f>D77-$K15</f>
        <v>90</v>
      </c>
      <c r="F77" s="671">
        <f>E77-$K15</f>
        <v>85</v>
      </c>
      <c r="G77" s="671">
        <f>F77-$K15</f>
        <v>80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95</v>
      </c>
      <c r="E79" s="671">
        <f>D79-$K17</f>
        <v>90</v>
      </c>
      <c r="F79" s="671">
        <f>E79-$K17</f>
        <v>85</v>
      </c>
      <c r="G79" s="671">
        <f>F79-$K17</f>
        <v>80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2536</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95</v>
      </c>
      <c r="E81" s="671">
        <f>D81-$K19</f>
        <v>90</v>
      </c>
      <c r="F81" s="671">
        <f>E81-$K19</f>
        <v>85</v>
      </c>
      <c r="G81" s="671">
        <f>F81-$K19</f>
        <v>80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2537</v>
      </c>
      <c r="C82" s="2442" t="s">
        <v>2538</v>
      </c>
      <c r="D82" s="2442" t="s">
        <v>2539</v>
      </c>
      <c r="E82" s="2442" t="s">
        <v>2540</v>
      </c>
      <c r="F82" s="2442" t="s">
        <v>2541</v>
      </c>
      <c r="G82" s="2442" t="s">
        <v>2542</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98</v>
      </c>
      <c r="E83" s="671">
        <f>D83-$K21</f>
        <v>96</v>
      </c>
      <c r="F83" s="671">
        <f>E83-$K21</f>
        <v>94</v>
      </c>
      <c r="G83" s="671">
        <f>F83-$K21</f>
        <v>92</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97</v>
      </c>
      <c r="E85" s="671">
        <f>D85-$K23</f>
        <v>94</v>
      </c>
      <c r="F85" s="671">
        <f>E85-$K23</f>
        <v>91</v>
      </c>
      <c r="G85" s="671">
        <f>F85-$K23</f>
        <v>88</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2243</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0</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0</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0</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0</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297" t="s">
        <v>3386</v>
      </c>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0(含)-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v>0</v>
      </c>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3298" t="s">
        <v>3387</v>
      </c>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3299" t="s">
        <v>3388</v>
      </c>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3298" t="s">
        <v>3389</v>
      </c>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3298" t="s">
        <v>3390</v>
      </c>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2535</v>
      </c>
      <c r="C116" s="3298" t="s">
        <v>3392</v>
      </c>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3299" t="s">
        <v>3393</v>
      </c>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298" t="s">
        <v>3395</v>
      </c>
      <c r="D122" s="3298" t="s">
        <v>3396</v>
      </c>
      <c r="E122" s="3298" t="s">
        <v>3398</v>
      </c>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96</v>
      </c>
      <c r="E123" s="671">
        <f t="shared" si="29"/>
        <v>92</v>
      </c>
      <c r="F123" s="671">
        <f t="shared" si="29"/>
        <v>88</v>
      </c>
      <c r="G123" s="671">
        <f t="shared" si="29"/>
        <v>84</v>
      </c>
      <c r="H123" s="671">
        <f t="shared" si="29"/>
        <v>80</v>
      </c>
      <c r="I123" s="671">
        <f t="shared" si="29"/>
        <v>76</v>
      </c>
      <c r="J123" s="671">
        <f t="shared" si="29"/>
        <v>72</v>
      </c>
      <c r="K123" s="671">
        <f t="shared" si="29"/>
        <v>68</v>
      </c>
      <c r="L123" s="671">
        <f t="shared" si="29"/>
        <v>64</v>
      </c>
      <c r="M123" s="671">
        <f t="shared" si="29"/>
        <v>60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0</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0</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0</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2244</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2245</v>
      </c>
      <c r="C137" s="1833"/>
      <c r="D137" s="1833"/>
      <c r="E137" s="1833"/>
      <c r="F137" s="1833"/>
      <c r="G137" s="1834"/>
      <c r="H137" s="1835"/>
      <c r="I137" s="1836" t="s">
        <v>2246</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2247</v>
      </c>
      <c r="D138" s="1839" t="s">
        <v>2248</v>
      </c>
      <c r="E138" s="1840" t="s">
        <v>2249</v>
      </c>
      <c r="F138" s="1841" t="s">
        <v>2250</v>
      </c>
      <c r="G138" s="1839" t="s">
        <v>2251</v>
      </c>
      <c r="H138" s="1842" t="s">
        <v>2252</v>
      </c>
      <c r="I138" s="1843"/>
      <c r="J138" s="1839" t="s">
        <v>2253</v>
      </c>
      <c r="K138" s="1842" t="s">
        <v>2254</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2255</v>
      </c>
      <c r="E139" s="1813">
        <v>100</v>
      </c>
      <c r="F139" s="1814">
        <v>102.5</v>
      </c>
      <c r="G139" s="1844" t="s">
        <v>2256</v>
      </c>
      <c r="H139" s="1815">
        <v>105</v>
      </c>
      <c r="I139" s="1845" t="s">
        <v>2257</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2258</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2259</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2260</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2261</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2262</v>
      </c>
      <c r="E144" s="1819">
        <v>102</v>
      </c>
      <c r="F144" s="1825">
        <v>100</v>
      </c>
      <c r="G144" s="1848" t="s">
        <v>2262</v>
      </c>
      <c r="H144" s="1821">
        <v>105</v>
      </c>
      <c r="I144" s="1847" t="s">
        <v>2261</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2263</v>
      </c>
      <c r="C145" s="1826">
        <f>ROUND(MAX(C139:C144)/MIN(C139:C144)-1,3)</f>
        <v>7.2999999999999995E-2</v>
      </c>
      <c r="D145" s="1850"/>
      <c r="E145" s="1850"/>
      <c r="F145" s="1851" t="s">
        <v>2264</v>
      </c>
      <c r="G145" s="1852"/>
      <c r="H145" s="1853"/>
      <c r="I145" s="1854" t="s">
        <v>2261</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2272</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2273</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21" priority="18" stopIfTrue="1" operator="containsText" text="超过">
      <formula>NOT(ISERROR(SEARCH("超过",F52)))</formula>
    </cfRule>
  </conditionalFormatting>
  <conditionalFormatting sqref="J54">
    <cfRule type="containsText" dxfId="120" priority="17" stopIfTrue="1" operator="containsText" text="超过">
      <formula>NOT(ISERROR(SEARCH("超过",J54)))</formula>
    </cfRule>
  </conditionalFormatting>
  <conditionalFormatting sqref="H54">
    <cfRule type="containsText" dxfId="119" priority="16" stopIfTrue="1" operator="containsText" text="超过">
      <formula>NOT(ISERROR(SEARCH("超过",H54)))</formula>
    </cfRule>
  </conditionalFormatting>
  <conditionalFormatting sqref="F54">
    <cfRule type="containsText" dxfId="118" priority="15" stopIfTrue="1" operator="containsText" text="超过">
      <formula>NOT(ISERROR(SEARCH("超过",F54)))</formula>
    </cfRule>
  </conditionalFormatting>
  <conditionalFormatting sqref="F53 H53 J53">
    <cfRule type="containsText" dxfId="117" priority="14" stopIfTrue="1" operator="containsText" text="超过">
      <formula>NOT(ISERROR(SEARCH("超过",F53)))</formula>
    </cfRule>
  </conditionalFormatting>
  <conditionalFormatting sqref="E52">
    <cfRule type="expression" dxfId="116" priority="13" stopIfTrue="1">
      <formula>$F$52="超过30%"</formula>
    </cfRule>
  </conditionalFormatting>
  <conditionalFormatting sqref="G54">
    <cfRule type="expression" dxfId="115" priority="11" stopIfTrue="1">
      <formula>$H$54="超过30%"</formula>
    </cfRule>
  </conditionalFormatting>
  <conditionalFormatting sqref="E53">
    <cfRule type="expression" dxfId="114" priority="10" stopIfTrue="1">
      <formula>$F$53="超过20%"</formula>
    </cfRule>
  </conditionalFormatting>
  <conditionalFormatting sqref="E54">
    <cfRule type="expression" dxfId="113" priority="9" stopIfTrue="1">
      <formula>$F$54="超过30%"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I52">
    <cfRule type="expression" dxfId="110" priority="6" stopIfTrue="1">
      <formula>$J$52="超过30%"</formula>
    </cfRule>
  </conditionalFormatting>
  <conditionalFormatting sqref="I53">
    <cfRule type="expression" dxfId="109" priority="5" stopIfTrue="1">
      <formula>$J$53="超过20%"</formula>
    </cfRule>
  </conditionalFormatting>
  <conditionalFormatting sqref="I54">
    <cfRule type="expression" dxfId="108" priority="4" stopIfTrue="1">
      <formula>$J$54="超过30%"</formula>
    </cfRule>
  </conditionalFormatting>
  <conditionalFormatting sqref="F48">
    <cfRule type="expression" dxfId="107" priority="3">
      <formula>$D$48="简单平均"</formula>
    </cfRule>
  </conditionalFormatting>
  <conditionalFormatting sqref="H48">
    <cfRule type="expression" dxfId="106" priority="2">
      <formula>$D$48="简单平均"</formula>
    </cfRule>
  </conditionalFormatting>
  <conditionalFormatting sqref="J48">
    <cfRule type="expression" dxfId="105" priority="1">
      <formula>$D$48="简单平均"</formula>
    </cfRule>
  </conditionalFormatting>
  <dataValidations disablePrompts="1"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S52" sqref="S52"/>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16" t="s">
        <v>516</v>
      </c>
      <c r="D4" s="3517"/>
      <c r="E4" s="3541" t="s">
        <v>517</v>
      </c>
      <c r="F4" s="3542"/>
      <c r="G4" s="3516" t="s">
        <v>518</v>
      </c>
      <c r="H4" s="3517"/>
      <c r="I4" s="3516" t="s">
        <v>519</v>
      </c>
      <c r="J4" s="3517"/>
      <c r="K4" s="508" t="s">
        <v>520</v>
      </c>
      <c r="L4" s="2015"/>
      <c r="M4" s="2016"/>
      <c r="N4" s="2016"/>
      <c r="O4" s="2016"/>
      <c r="P4" s="3518" t="s">
        <v>521</v>
      </c>
      <c r="Q4" s="3519"/>
      <c r="R4" s="3504" t="s">
        <v>517</v>
      </c>
      <c r="S4" s="3505"/>
      <c r="T4" s="3504" t="s">
        <v>518</v>
      </c>
      <c r="U4" s="3505"/>
      <c r="V4" s="3524" t="s">
        <v>519</v>
      </c>
      <c r="W4" s="3524"/>
      <c r="X4" s="1501"/>
      <c r="Y4" s="3504" t="s">
        <v>521</v>
      </c>
      <c r="Z4" s="3505"/>
      <c r="AA4" s="3499" t="s">
        <v>517</v>
      </c>
      <c r="AB4" s="3524" t="s">
        <v>518</v>
      </c>
      <c r="AC4" s="3499" t="s">
        <v>519</v>
      </c>
    </row>
    <row r="5" spans="1:29" ht="15">
      <c r="A5" s="509"/>
      <c r="B5" s="510"/>
      <c r="C5" s="3527" t="s">
        <v>2890</v>
      </c>
      <c r="D5" s="3528"/>
      <c r="E5" s="3543" t="s">
        <v>2891</v>
      </c>
      <c r="F5" s="3544"/>
      <c r="G5" s="3527" t="s">
        <v>2892</v>
      </c>
      <c r="H5" s="3528"/>
      <c r="I5" s="3527" t="s">
        <v>2893</v>
      </c>
      <c r="J5" s="3528"/>
      <c r="K5" s="508"/>
      <c r="L5" s="2015"/>
      <c r="M5" s="2016"/>
      <c r="N5" s="2016"/>
      <c r="O5" s="2016"/>
      <c r="P5" s="3520"/>
      <c r="Q5" s="3521"/>
      <c r="R5" s="3506"/>
      <c r="S5" s="3507"/>
      <c r="T5" s="3506"/>
      <c r="U5" s="3507"/>
      <c r="V5" s="3524"/>
      <c r="W5" s="3524"/>
      <c r="X5" s="1501"/>
      <c r="Y5" s="3506"/>
      <c r="Z5" s="3507"/>
      <c r="AA5" s="3500"/>
      <c r="AB5" s="3524"/>
      <c r="AC5" s="3500"/>
    </row>
    <row r="6" spans="1:29" ht="15.75" thickBot="1">
      <c r="A6" s="511"/>
      <c r="B6" s="512"/>
      <c r="C6" s="3525" t="s">
        <v>2894</v>
      </c>
      <c r="D6" s="3526"/>
      <c r="E6" s="3545" t="s">
        <v>2894</v>
      </c>
      <c r="F6" s="3546"/>
      <c r="G6" s="3525" t="s">
        <v>2894</v>
      </c>
      <c r="H6" s="3526"/>
      <c r="I6" s="3525" t="s">
        <v>2894</v>
      </c>
      <c r="J6" s="3526"/>
      <c r="K6" s="508" t="s">
        <v>522</v>
      </c>
      <c r="L6" s="2015"/>
      <c r="M6" s="2016"/>
      <c r="N6" s="2016"/>
      <c r="O6" s="2016"/>
      <c r="P6" s="3522"/>
      <c r="Q6" s="3523"/>
      <c r="R6" s="3506"/>
      <c r="S6" s="3507"/>
      <c r="T6" s="3508"/>
      <c r="U6" s="3509"/>
      <c r="V6" s="3524"/>
      <c r="W6" s="3524"/>
      <c r="X6" s="1501"/>
      <c r="Y6" s="3508"/>
      <c r="Z6" s="3509"/>
      <c r="AA6" s="3501"/>
      <c r="AB6" s="3524"/>
      <c r="AC6" s="3501"/>
    </row>
    <row r="7" spans="1:29" s="1202" customFormat="1" ht="15.75" thickBot="1">
      <c r="A7" s="2629"/>
      <c r="B7" s="2636" t="s">
        <v>523</v>
      </c>
      <c r="C7" s="513">
        <f>'数据-取费表'!B2</f>
        <v>44062</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02" t="s">
        <v>524</v>
      </c>
      <c r="Q7" s="3511"/>
      <c r="R7" s="1502" t="s">
        <v>8</v>
      </c>
      <c r="S7" s="1503">
        <f t="shared" ref="S7:S15" si="0">F7</f>
        <v>0</v>
      </c>
      <c r="T7" s="1502" t="s">
        <v>8</v>
      </c>
      <c r="U7" s="1503">
        <f t="shared" ref="U7:U15" si="1">H7</f>
        <v>0</v>
      </c>
      <c r="V7" s="1502" t="s">
        <v>8</v>
      </c>
      <c r="W7" s="1503">
        <f t="shared" ref="W7:W15" si="2">J7</f>
        <v>0</v>
      </c>
      <c r="X7" s="1504"/>
      <c r="Y7" s="3502" t="s">
        <v>524</v>
      </c>
      <c r="Z7" s="3503"/>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02" t="s">
        <v>527</v>
      </c>
      <c r="Q8" s="3503"/>
      <c r="R8" s="1502" t="s">
        <v>8</v>
      </c>
      <c r="S8" s="1503">
        <f t="shared" si="0"/>
        <v>0</v>
      </c>
      <c r="T8" s="1502" t="s">
        <v>8</v>
      </c>
      <c r="U8" s="1503">
        <f t="shared" si="1"/>
        <v>0</v>
      </c>
      <c r="V8" s="1502" t="s">
        <v>8</v>
      </c>
      <c r="W8" s="1503">
        <f t="shared" si="2"/>
        <v>0</v>
      </c>
      <c r="X8" s="1504"/>
      <c r="Y8" s="3502" t="s">
        <v>527</v>
      </c>
      <c r="Z8" s="3503"/>
      <c r="AA8" s="1505" t="e">
        <f t="shared" ref="AA8:AA46" si="3">D8/F8</f>
        <v>#DIV/0!</v>
      </c>
      <c r="AB8" s="1505" t="e">
        <f t="shared" ref="AB8:AB46" si="4">D8/H8</f>
        <v>#DIV/0!</v>
      </c>
      <c r="AC8" s="1505" t="e">
        <f t="shared" ref="AC8:AC46" si="5">D8/J8</f>
        <v>#DIV/0!</v>
      </c>
    </row>
    <row r="9" spans="1:29" s="1202" customFormat="1" ht="15">
      <c r="A9" s="2631"/>
      <c r="B9" s="2638" t="s">
        <v>2733</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10" t="s">
        <v>529</v>
      </c>
      <c r="Q9" s="1133" t="str">
        <f t="shared" ref="Q9:Q15" si="6">B9</f>
        <v>用途</v>
      </c>
      <c r="R9" s="1502" t="s">
        <v>8</v>
      </c>
      <c r="S9" s="1503">
        <f t="shared" si="0"/>
        <v>100</v>
      </c>
      <c r="T9" s="1502" t="s">
        <v>8</v>
      </c>
      <c r="U9" s="1503">
        <f t="shared" si="1"/>
        <v>100</v>
      </c>
      <c r="V9" s="1502" t="s">
        <v>8</v>
      </c>
      <c r="W9" s="1503">
        <f t="shared" si="2"/>
        <v>100</v>
      </c>
      <c r="X9" s="1504"/>
      <c r="Y9" s="3461" t="s">
        <v>530</v>
      </c>
      <c r="Z9" s="1132" t="str">
        <f t="shared" ref="Z9:Z15" si="7">Q9</f>
        <v>用途</v>
      </c>
      <c r="AA9" s="1505">
        <f t="shared" si="3"/>
        <v>1</v>
      </c>
      <c r="AB9" s="1505">
        <f t="shared" si="4"/>
        <v>1</v>
      </c>
      <c r="AC9" s="1505">
        <f t="shared" si="5"/>
        <v>1</v>
      </c>
    </row>
    <row r="10" spans="1:29" s="1291" customFormat="1" ht="27">
      <c r="A10" s="2632"/>
      <c r="B10" s="2637" t="s">
        <v>2734</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10"/>
      <c r="Q10" s="1133" t="str">
        <f t="shared" si="6"/>
        <v>土地使用年限（年）</v>
      </c>
      <c r="R10" s="1502" t="s">
        <v>8</v>
      </c>
      <c r="S10" s="1503">
        <f t="shared" si="0"/>
        <v>100</v>
      </c>
      <c r="T10" s="1502" t="s">
        <v>8</v>
      </c>
      <c r="U10" s="1503">
        <f t="shared" si="1"/>
        <v>100</v>
      </c>
      <c r="V10" s="1502" t="s">
        <v>8</v>
      </c>
      <c r="W10" s="1503">
        <f t="shared" si="2"/>
        <v>100</v>
      </c>
      <c r="X10" s="1504"/>
      <c r="Y10" s="3461"/>
      <c r="Z10" s="1132" t="str">
        <f t="shared" si="7"/>
        <v>土地使用年限（年）</v>
      </c>
      <c r="AA10" s="1505">
        <f t="shared" si="3"/>
        <v>1</v>
      </c>
      <c r="AB10" s="1505">
        <f t="shared" si="4"/>
        <v>1</v>
      </c>
      <c r="AC10" s="1505">
        <f t="shared" si="5"/>
        <v>1</v>
      </c>
    </row>
    <row r="11" spans="1:29" ht="15">
      <c r="A11" s="2633"/>
      <c r="B11" s="2637" t="s">
        <v>2735</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10"/>
      <c r="Q11" s="1133" t="str">
        <f t="shared" si="6"/>
        <v>容积率</v>
      </c>
      <c r="R11" s="1502" t="s">
        <v>8</v>
      </c>
      <c r="S11" s="1503" t="e">
        <f t="shared" si="0"/>
        <v>#N/A</v>
      </c>
      <c r="T11" s="1502" t="s">
        <v>8</v>
      </c>
      <c r="U11" s="1503" t="e">
        <f t="shared" si="1"/>
        <v>#N/A</v>
      </c>
      <c r="V11" s="1502" t="s">
        <v>8</v>
      </c>
      <c r="W11" s="1503" t="e">
        <f t="shared" si="2"/>
        <v>#N/A</v>
      </c>
      <c r="X11" s="1504"/>
      <c r="Y11" s="3461"/>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510"/>
      <c r="Q12" s="1133">
        <f t="shared" si="6"/>
        <v>111</v>
      </c>
      <c r="R12" s="1502" t="s">
        <v>8</v>
      </c>
      <c r="S12" s="1503">
        <f t="shared" si="0"/>
        <v>100</v>
      </c>
      <c r="T12" s="1502" t="s">
        <v>8</v>
      </c>
      <c r="U12" s="1503">
        <f t="shared" si="1"/>
        <v>100</v>
      </c>
      <c r="V12" s="1502" t="s">
        <v>8</v>
      </c>
      <c r="W12" s="1503">
        <f t="shared" si="2"/>
        <v>100</v>
      </c>
      <c r="X12" s="1504"/>
      <c r="Y12" s="3461"/>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510"/>
      <c r="Q13" s="1133">
        <f t="shared" si="6"/>
        <v>111</v>
      </c>
      <c r="R13" s="1502" t="s">
        <v>8</v>
      </c>
      <c r="S13" s="1503">
        <f t="shared" si="0"/>
        <v>100</v>
      </c>
      <c r="T13" s="1502" t="s">
        <v>8</v>
      </c>
      <c r="U13" s="1503">
        <f t="shared" si="1"/>
        <v>100</v>
      </c>
      <c r="V13" s="1502" t="s">
        <v>8</v>
      </c>
      <c r="W13" s="1503">
        <f t="shared" si="2"/>
        <v>100</v>
      </c>
      <c r="X13" s="1504"/>
      <c r="Y13" s="3461"/>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510"/>
      <c r="Q14" s="1133">
        <f t="shared" si="6"/>
        <v>111</v>
      </c>
      <c r="R14" s="1502" t="s">
        <v>8</v>
      </c>
      <c r="S14" s="1503">
        <f t="shared" si="0"/>
        <v>100</v>
      </c>
      <c r="T14" s="1502" t="s">
        <v>8</v>
      </c>
      <c r="U14" s="1503">
        <f t="shared" si="1"/>
        <v>100</v>
      </c>
      <c r="V14" s="1502" t="s">
        <v>8</v>
      </c>
      <c r="W14" s="1503">
        <f t="shared" si="2"/>
        <v>100</v>
      </c>
      <c r="X14" s="1504"/>
      <c r="Y14" s="3461"/>
      <c r="Z14" s="1132">
        <f t="shared" si="7"/>
        <v>111</v>
      </c>
      <c r="AA14" s="1505">
        <f t="shared" si="3"/>
        <v>1</v>
      </c>
      <c r="AB14" s="1505">
        <f t="shared" si="4"/>
        <v>1</v>
      </c>
      <c r="AC14" s="1505">
        <f t="shared" si="5"/>
        <v>1</v>
      </c>
    </row>
    <row r="15" spans="1:29" ht="71.25">
      <c r="A15" s="2627" t="s">
        <v>2731</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512" t="s">
        <v>534</v>
      </c>
      <c r="Q15" s="1506" t="str">
        <f t="shared" si="6"/>
        <v>商业繁华度</v>
      </c>
      <c r="R15" s="1507" t="s">
        <v>8</v>
      </c>
      <c r="S15" s="1508">
        <f t="shared" si="0"/>
        <v>100</v>
      </c>
      <c r="T15" s="1507" t="s">
        <v>8</v>
      </c>
      <c r="U15" s="1508">
        <f t="shared" si="1"/>
        <v>100</v>
      </c>
      <c r="V15" s="1507" t="s">
        <v>8</v>
      </c>
      <c r="W15" s="1508">
        <f t="shared" si="2"/>
        <v>100</v>
      </c>
      <c r="X15" s="1501"/>
      <c r="Y15" s="3512"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13"/>
      <c r="Q16" s="1506"/>
      <c r="R16" s="1507"/>
      <c r="S16" s="1508"/>
      <c r="T16" s="1507"/>
      <c r="U16" s="1508"/>
      <c r="V16" s="1507"/>
      <c r="W16" s="1508"/>
      <c r="X16" s="1501"/>
      <c r="Y16" s="3513"/>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513"/>
      <c r="Q17" s="1506" t="str">
        <f>B17</f>
        <v>交通便捷度</v>
      </c>
      <c r="R17" s="1507" t="s">
        <v>8</v>
      </c>
      <c r="S17" s="1508">
        <f>F17</f>
        <v>100</v>
      </c>
      <c r="T17" s="1507" t="s">
        <v>8</v>
      </c>
      <c r="U17" s="1508">
        <f>H17</f>
        <v>100</v>
      </c>
      <c r="V17" s="1507" t="s">
        <v>8</v>
      </c>
      <c r="W17" s="1508">
        <f>J17</f>
        <v>100</v>
      </c>
      <c r="X17" s="1501"/>
      <c r="Y17" s="3513"/>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13"/>
      <c r="Q18" s="1506"/>
      <c r="R18" s="1507"/>
      <c r="S18" s="1508"/>
      <c r="T18" s="1507"/>
      <c r="U18" s="1508"/>
      <c r="V18" s="1507"/>
      <c r="W18" s="1508"/>
      <c r="X18" s="1501"/>
      <c r="Y18" s="3513"/>
      <c r="Z18" s="1509"/>
      <c r="AA18" s="1510">
        <v>1</v>
      </c>
      <c r="AB18" s="1510">
        <v>1</v>
      </c>
      <c r="AC18" s="1510">
        <v>1</v>
      </c>
    </row>
    <row r="19" spans="1:29" ht="42.75">
      <c r="A19" s="526"/>
      <c r="B19" s="2444" t="s">
        <v>2525</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513"/>
      <c r="Q19" s="1506" t="str">
        <f>B19</f>
        <v>公共配套设施</v>
      </c>
      <c r="R19" s="1507" t="s">
        <v>8</v>
      </c>
      <c r="S19" s="1508">
        <f>F19</f>
        <v>100</v>
      </c>
      <c r="T19" s="1507" t="s">
        <v>8</v>
      </c>
      <c r="U19" s="1508">
        <f>H19</f>
        <v>100</v>
      </c>
      <c r="V19" s="1507" t="s">
        <v>8</v>
      </c>
      <c r="W19" s="1508">
        <f>J19</f>
        <v>100</v>
      </c>
      <c r="X19" s="1501"/>
      <c r="Y19" s="3513"/>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513"/>
      <c r="Q20" s="1506"/>
      <c r="R20" s="1507"/>
      <c r="S20" s="1508"/>
      <c r="T20" s="1507"/>
      <c r="U20" s="1508"/>
      <c r="V20" s="1507"/>
      <c r="W20" s="1508"/>
      <c r="X20" s="1501"/>
      <c r="Y20" s="3513"/>
      <c r="Z20" s="1509"/>
      <c r="AA20" s="1510">
        <v>1</v>
      </c>
      <c r="AB20" s="1510">
        <v>1</v>
      </c>
      <c r="AC20" s="1510">
        <v>1</v>
      </c>
    </row>
    <row r="21" spans="1:29" ht="28.5">
      <c r="A21" s="526"/>
      <c r="B21" s="2437" t="s">
        <v>2537</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513"/>
      <c r="Q21" s="2429" t="str">
        <f>B21</f>
        <v>基础设施水平</v>
      </c>
      <c r="R21" s="1507" t="s">
        <v>8</v>
      </c>
      <c r="S21" s="1508">
        <f>F21</f>
        <v>100</v>
      </c>
      <c r="T21" s="1507" t="s">
        <v>8</v>
      </c>
      <c r="U21" s="1508">
        <f>H21</f>
        <v>100</v>
      </c>
      <c r="V21" s="1507" t="s">
        <v>8</v>
      </c>
      <c r="W21" s="1508">
        <f>J21</f>
        <v>100</v>
      </c>
      <c r="X21" s="2431"/>
      <c r="Y21" s="3513"/>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513"/>
      <c r="Q22" s="2429"/>
      <c r="R22" s="1507"/>
      <c r="S22" s="1508"/>
      <c r="T22" s="1507"/>
      <c r="U22" s="1508"/>
      <c r="V22" s="1507"/>
      <c r="W22" s="1508"/>
      <c r="X22" s="2431"/>
      <c r="Y22" s="3513"/>
      <c r="Z22" s="2430"/>
      <c r="AA22" s="1510">
        <v>1</v>
      </c>
      <c r="AB22" s="1510">
        <v>1</v>
      </c>
      <c r="AC22" s="1510">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513"/>
      <c r="Q23" s="1506" t="str">
        <f>B23</f>
        <v>自然及人文环境</v>
      </c>
      <c r="R23" s="1507" t="s">
        <v>8</v>
      </c>
      <c r="S23" s="1508">
        <f>F23</f>
        <v>100</v>
      </c>
      <c r="T23" s="1507" t="s">
        <v>8</v>
      </c>
      <c r="U23" s="1508">
        <f>H23</f>
        <v>100</v>
      </c>
      <c r="V23" s="1507" t="s">
        <v>8</v>
      </c>
      <c r="W23" s="1508">
        <f>J23</f>
        <v>100</v>
      </c>
      <c r="X23" s="1501"/>
      <c r="Y23" s="3513"/>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513"/>
      <c r="Q24" s="1506"/>
      <c r="R24" s="1507"/>
      <c r="S24" s="1508"/>
      <c r="T24" s="1507"/>
      <c r="U24" s="1508"/>
      <c r="V24" s="1507"/>
      <c r="W24" s="1508"/>
      <c r="X24" s="1501"/>
      <c r="Y24" s="3513"/>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13"/>
      <c r="Q25" s="1506" t="str">
        <f t="shared" ref="Q25:Q46" si="11">B25</f>
        <v>临街状况</v>
      </c>
      <c r="R25" s="1507" t="s">
        <v>8</v>
      </c>
      <c r="S25" s="1508">
        <f>F25</f>
        <v>100</v>
      </c>
      <c r="T25" s="1507" t="s">
        <v>8</v>
      </c>
      <c r="U25" s="1508">
        <f>H25</f>
        <v>100</v>
      </c>
      <c r="V25" s="1507" t="s">
        <v>8</v>
      </c>
      <c r="W25" s="1508">
        <f>J25</f>
        <v>100</v>
      </c>
      <c r="X25" s="1501"/>
      <c r="Y25" s="3513"/>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13"/>
      <c r="Q26" s="1506" t="str">
        <f t="shared" si="11"/>
        <v>平面位置/可视性</v>
      </c>
      <c r="R26" s="1507" t="s">
        <v>8</v>
      </c>
      <c r="S26" s="1508">
        <f>F26</f>
        <v>100</v>
      </c>
      <c r="T26" s="1507" t="s">
        <v>8</v>
      </c>
      <c r="U26" s="1508">
        <f>H26</f>
        <v>100</v>
      </c>
      <c r="V26" s="1507" t="s">
        <v>8</v>
      </c>
      <c r="W26" s="1508">
        <f>J26</f>
        <v>100</v>
      </c>
      <c r="X26" s="1501"/>
      <c r="Y26" s="3513"/>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513"/>
      <c r="Q27" s="1133" t="str">
        <f t="shared" si="11"/>
        <v>人流量</v>
      </c>
      <c r="R27" s="1502" t="s">
        <v>8</v>
      </c>
      <c r="S27" s="1503">
        <f>F27</f>
        <v>100</v>
      </c>
      <c r="T27" s="1502" t="s">
        <v>8</v>
      </c>
      <c r="U27" s="1503">
        <f>H27</f>
        <v>100</v>
      </c>
      <c r="V27" s="1502" t="s">
        <v>8</v>
      </c>
      <c r="W27" s="1503">
        <f>J27</f>
        <v>100</v>
      </c>
      <c r="X27" s="1504"/>
      <c r="Y27" s="3513"/>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13"/>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13"/>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13"/>
      <c r="Q29" s="1506">
        <f t="shared" si="11"/>
        <v>111</v>
      </c>
      <c r="R29" s="1507" t="s">
        <v>8</v>
      </c>
      <c r="S29" s="1508">
        <f t="shared" si="12"/>
        <v>100</v>
      </c>
      <c r="T29" s="1507" t="s">
        <v>8</v>
      </c>
      <c r="U29" s="1508">
        <f t="shared" si="13"/>
        <v>100</v>
      </c>
      <c r="V29" s="1507" t="s">
        <v>8</v>
      </c>
      <c r="W29" s="1508">
        <f t="shared" si="14"/>
        <v>100</v>
      </c>
      <c r="X29" s="1501"/>
      <c r="Y29" s="3513"/>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13"/>
      <c r="Q30" s="1506">
        <f t="shared" si="11"/>
        <v>111</v>
      </c>
      <c r="R30" s="1507" t="s">
        <v>8</v>
      </c>
      <c r="S30" s="1508">
        <f t="shared" si="12"/>
        <v>100</v>
      </c>
      <c r="T30" s="1507" t="s">
        <v>8</v>
      </c>
      <c r="U30" s="1508">
        <f t="shared" si="13"/>
        <v>100</v>
      </c>
      <c r="V30" s="1507" t="s">
        <v>8</v>
      </c>
      <c r="W30" s="1508">
        <f t="shared" si="14"/>
        <v>100</v>
      </c>
      <c r="X30" s="1501"/>
      <c r="Y30" s="3513"/>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13"/>
      <c r="Q31" s="1506">
        <f t="shared" si="11"/>
        <v>111</v>
      </c>
      <c r="R31" s="1507" t="s">
        <v>8</v>
      </c>
      <c r="S31" s="1508">
        <f t="shared" si="12"/>
        <v>100</v>
      </c>
      <c r="T31" s="1507" t="s">
        <v>8</v>
      </c>
      <c r="U31" s="1508">
        <f t="shared" si="13"/>
        <v>100</v>
      </c>
      <c r="V31" s="1507" t="s">
        <v>8</v>
      </c>
      <c r="W31" s="1508">
        <f t="shared" si="14"/>
        <v>100</v>
      </c>
      <c r="X31" s="1501"/>
      <c r="Y31" s="3513"/>
      <c r="Z31" s="1509">
        <f t="shared" si="15"/>
        <v>111</v>
      </c>
      <c r="AA31" s="1510">
        <f t="shared" si="3"/>
        <v>1</v>
      </c>
      <c r="AB31" s="1510">
        <f t="shared" si="4"/>
        <v>1</v>
      </c>
      <c r="AC31" s="1510">
        <f t="shared" si="5"/>
        <v>1</v>
      </c>
    </row>
    <row r="32" spans="1:29" ht="15">
      <c r="A32" s="2624" t="s">
        <v>2732</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14" t="s">
        <v>544</v>
      </c>
      <c r="Q32" s="1506" t="str">
        <f t="shared" si="11"/>
        <v>商业类型</v>
      </c>
      <c r="R32" s="1507" t="s">
        <v>8</v>
      </c>
      <c r="S32" s="1508">
        <f t="shared" si="12"/>
        <v>100</v>
      </c>
      <c r="T32" s="1507" t="s">
        <v>8</v>
      </c>
      <c r="U32" s="1508">
        <f t="shared" si="13"/>
        <v>100</v>
      </c>
      <c r="V32" s="1507" t="s">
        <v>8</v>
      </c>
      <c r="W32" s="1508">
        <f t="shared" si="14"/>
        <v>100</v>
      </c>
      <c r="X32" s="1501"/>
      <c r="Y32" s="3515"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15"/>
      <c r="Q33" s="1535" t="str">
        <f t="shared" si="11"/>
        <v>项目建筑规模</v>
      </c>
      <c r="R33" s="1511" t="s">
        <v>8</v>
      </c>
      <c r="S33" s="1512" t="e">
        <f t="shared" si="12"/>
        <v>#N/A</v>
      </c>
      <c r="T33" s="1511" t="s">
        <v>8</v>
      </c>
      <c r="U33" s="1512" t="e">
        <f t="shared" si="13"/>
        <v>#N/A</v>
      </c>
      <c r="V33" s="1511" t="s">
        <v>8</v>
      </c>
      <c r="W33" s="1512" t="e">
        <f t="shared" si="14"/>
        <v>#N/A</v>
      </c>
      <c r="X33" s="1513"/>
      <c r="Y33" s="3515"/>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515"/>
      <c r="Q34" s="1506" t="str">
        <f t="shared" si="11"/>
        <v>建筑结构</v>
      </c>
      <c r="R34" s="1507" t="s">
        <v>8</v>
      </c>
      <c r="S34" s="1508">
        <f t="shared" si="12"/>
        <v>100</v>
      </c>
      <c r="T34" s="1507" t="s">
        <v>8</v>
      </c>
      <c r="U34" s="1508">
        <f t="shared" si="13"/>
        <v>100</v>
      </c>
      <c r="V34" s="1507" t="s">
        <v>8</v>
      </c>
      <c r="W34" s="1508">
        <f t="shared" si="14"/>
        <v>100</v>
      </c>
      <c r="X34" s="1501"/>
      <c r="Y34" s="3515"/>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15"/>
      <c r="Q35" s="1506" t="str">
        <f t="shared" si="11"/>
        <v>公共部分装修</v>
      </c>
      <c r="R35" s="1507" t="s">
        <v>8</v>
      </c>
      <c r="S35" s="1508">
        <f t="shared" si="12"/>
        <v>100</v>
      </c>
      <c r="T35" s="1507" t="s">
        <v>8</v>
      </c>
      <c r="U35" s="1508">
        <f t="shared" si="13"/>
        <v>100</v>
      </c>
      <c r="V35" s="1507" t="s">
        <v>8</v>
      </c>
      <c r="W35" s="1508">
        <f t="shared" si="14"/>
        <v>100</v>
      </c>
      <c r="X35" s="1501"/>
      <c r="Y35" s="3515"/>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515"/>
      <c r="Q36" s="1506" t="str">
        <f t="shared" si="11"/>
        <v>成新度</v>
      </c>
      <c r="R36" s="1507" t="s">
        <v>8</v>
      </c>
      <c r="S36" s="1508" t="e">
        <f t="shared" si="12"/>
        <v>#N/A</v>
      </c>
      <c r="T36" s="1507" t="s">
        <v>8</v>
      </c>
      <c r="U36" s="1508" t="e">
        <f t="shared" si="13"/>
        <v>#N/A</v>
      </c>
      <c r="V36" s="1507" t="s">
        <v>8</v>
      </c>
      <c r="W36" s="1508" t="e">
        <f t="shared" si="14"/>
        <v>#N/A</v>
      </c>
      <c r="X36" s="1501"/>
      <c r="Y36" s="3515"/>
      <c r="Z36" s="1509" t="str">
        <f t="shared" si="15"/>
        <v>成新度</v>
      </c>
      <c r="AA36" s="1510" t="e">
        <f t="shared" si="3"/>
        <v>#N/A</v>
      </c>
      <c r="AB36" s="1510" t="e">
        <f t="shared" si="4"/>
        <v>#N/A</v>
      </c>
      <c r="AC36" s="1510" t="e">
        <f t="shared" si="5"/>
        <v>#N/A</v>
      </c>
    </row>
    <row r="37" spans="1:29" s="1202" customFormat="1" ht="15">
      <c r="A37" s="594"/>
      <c r="B37" s="1809" t="s">
        <v>2544</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15"/>
      <c r="Q37" s="1133" t="str">
        <f t="shared" si="11"/>
        <v>市政基础设施</v>
      </c>
      <c r="R37" s="1502" t="s">
        <v>8</v>
      </c>
      <c r="S37" s="1503">
        <f t="shared" si="12"/>
        <v>100</v>
      </c>
      <c r="T37" s="1502" t="s">
        <v>8</v>
      </c>
      <c r="U37" s="1503">
        <f t="shared" si="13"/>
        <v>100</v>
      </c>
      <c r="V37" s="1502" t="s">
        <v>8</v>
      </c>
      <c r="W37" s="1503">
        <f t="shared" si="14"/>
        <v>100</v>
      </c>
      <c r="X37" s="1504"/>
      <c r="Y37" s="3515"/>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15" t="s">
        <v>760</v>
      </c>
      <c r="Q38" s="1506" t="str">
        <f t="shared" si="11"/>
        <v>业态</v>
      </c>
      <c r="R38" s="1507" t="s">
        <v>8</v>
      </c>
      <c r="S38" s="1508">
        <f t="shared" si="12"/>
        <v>100</v>
      </c>
      <c r="T38" s="1507" t="s">
        <v>8</v>
      </c>
      <c r="U38" s="1508">
        <f t="shared" si="13"/>
        <v>100</v>
      </c>
      <c r="V38" s="1507" t="s">
        <v>8</v>
      </c>
      <c r="W38" s="1508">
        <f t="shared" si="14"/>
        <v>100</v>
      </c>
      <c r="X38" s="1501"/>
      <c r="Y38" s="3515"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15"/>
      <c r="Q39" s="1506" t="str">
        <f t="shared" si="11"/>
        <v>层高</v>
      </c>
      <c r="R39" s="1507" t="s">
        <v>8</v>
      </c>
      <c r="S39" s="1508">
        <f t="shared" si="12"/>
        <v>100</v>
      </c>
      <c r="T39" s="1507" t="s">
        <v>8</v>
      </c>
      <c r="U39" s="1508">
        <f t="shared" si="13"/>
        <v>100</v>
      </c>
      <c r="V39" s="1507" t="s">
        <v>8</v>
      </c>
      <c r="W39" s="1508">
        <f t="shared" si="14"/>
        <v>100</v>
      </c>
      <c r="X39" s="1501"/>
      <c r="Y39" s="3515"/>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515"/>
      <c r="Q40" s="1506" t="str">
        <f t="shared" si="11"/>
        <v>单套建筑面积</v>
      </c>
      <c r="R40" s="1507" t="s">
        <v>8</v>
      </c>
      <c r="S40" s="1508">
        <f t="shared" si="12"/>
        <v>100</v>
      </c>
      <c r="T40" s="1507" t="s">
        <v>8</v>
      </c>
      <c r="U40" s="1508">
        <f t="shared" si="13"/>
        <v>100</v>
      </c>
      <c r="V40" s="1507" t="s">
        <v>8</v>
      </c>
      <c r="W40" s="1508">
        <f t="shared" si="14"/>
        <v>100</v>
      </c>
      <c r="X40" s="1501"/>
      <c r="Y40" s="3515"/>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15"/>
      <c r="Q41" s="1535" t="str">
        <f t="shared" si="11"/>
        <v>进深比</v>
      </c>
      <c r="R41" s="1511" t="s">
        <v>8</v>
      </c>
      <c r="S41" s="1512">
        <f t="shared" si="12"/>
        <v>100</v>
      </c>
      <c r="T41" s="1511" t="s">
        <v>8</v>
      </c>
      <c r="U41" s="1512">
        <f t="shared" si="13"/>
        <v>100</v>
      </c>
      <c r="V41" s="1511" t="s">
        <v>8</v>
      </c>
      <c r="W41" s="1512">
        <f t="shared" si="14"/>
        <v>100</v>
      </c>
      <c r="X41" s="1513"/>
      <c r="Y41" s="3515"/>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15"/>
      <c r="Q42" s="1506" t="str">
        <f t="shared" si="11"/>
        <v>内部装修</v>
      </c>
      <c r="R42" s="1507" t="s">
        <v>8</v>
      </c>
      <c r="S42" s="1508">
        <f t="shared" si="12"/>
        <v>100</v>
      </c>
      <c r="T42" s="1507" t="s">
        <v>8</v>
      </c>
      <c r="U42" s="1508">
        <f t="shared" si="13"/>
        <v>100</v>
      </c>
      <c r="V42" s="1507" t="s">
        <v>8</v>
      </c>
      <c r="W42" s="1508">
        <f t="shared" si="14"/>
        <v>100</v>
      </c>
      <c r="X42" s="1501"/>
      <c r="Y42" s="3515"/>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15"/>
      <c r="Q43" s="1506" t="str">
        <f t="shared" si="11"/>
        <v>内部装修维护情况</v>
      </c>
      <c r="R43" s="1507" t="s">
        <v>8</v>
      </c>
      <c r="S43" s="1508">
        <f t="shared" si="12"/>
        <v>100</v>
      </c>
      <c r="T43" s="1507" t="s">
        <v>8</v>
      </c>
      <c r="U43" s="1508">
        <f t="shared" si="13"/>
        <v>100</v>
      </c>
      <c r="V43" s="1507" t="s">
        <v>8</v>
      </c>
      <c r="W43" s="1508">
        <f t="shared" si="14"/>
        <v>100</v>
      </c>
      <c r="X43" s="1501"/>
      <c r="Y43" s="3515"/>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15"/>
      <c r="Q44" s="1133">
        <f t="shared" si="11"/>
        <v>111</v>
      </c>
      <c r="R44" s="1502" t="s">
        <v>8</v>
      </c>
      <c r="S44" s="1503">
        <f t="shared" si="12"/>
        <v>100</v>
      </c>
      <c r="T44" s="1502" t="s">
        <v>8</v>
      </c>
      <c r="U44" s="1503">
        <f t="shared" si="13"/>
        <v>100</v>
      </c>
      <c r="V44" s="1502" t="s">
        <v>8</v>
      </c>
      <c r="W44" s="1503">
        <f t="shared" si="14"/>
        <v>100</v>
      </c>
      <c r="X44" s="1504"/>
      <c r="Y44" s="3515"/>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15"/>
      <c r="Q45" s="1506">
        <f t="shared" si="11"/>
        <v>111</v>
      </c>
      <c r="R45" s="1507" t="s">
        <v>8</v>
      </c>
      <c r="S45" s="1508">
        <f t="shared" si="12"/>
        <v>100</v>
      </c>
      <c r="T45" s="1507" t="s">
        <v>8</v>
      </c>
      <c r="U45" s="1508">
        <f t="shared" si="13"/>
        <v>100</v>
      </c>
      <c r="V45" s="1507" t="s">
        <v>8</v>
      </c>
      <c r="W45" s="1508">
        <f t="shared" si="14"/>
        <v>100</v>
      </c>
      <c r="X45" s="1501"/>
      <c r="Y45" s="3515"/>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18"/>
      <c r="Q46" s="1506">
        <f t="shared" si="11"/>
        <v>111</v>
      </c>
      <c r="R46" s="1507" t="s">
        <v>8</v>
      </c>
      <c r="S46" s="1508">
        <f t="shared" si="12"/>
        <v>100</v>
      </c>
      <c r="T46" s="1507" t="s">
        <v>8</v>
      </c>
      <c r="U46" s="1508">
        <f t="shared" si="13"/>
        <v>100</v>
      </c>
      <c r="V46" s="1507" t="s">
        <v>8</v>
      </c>
      <c r="W46" s="1508">
        <f t="shared" si="14"/>
        <v>100</v>
      </c>
      <c r="X46" s="1501"/>
      <c r="Y46" s="3618"/>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510" t="str">
        <f>A47</f>
        <v>成交单价（元/平方米）</v>
      </c>
      <c r="Q47" s="3510"/>
      <c r="R47" s="3617">
        <f>E47</f>
        <v>0</v>
      </c>
      <c r="S47" s="3617"/>
      <c r="T47" s="3617">
        <f>G47</f>
        <v>0</v>
      </c>
      <c r="U47" s="3617"/>
      <c r="V47" s="3617">
        <f>I47</f>
        <v>0</v>
      </c>
      <c r="W47" s="3617"/>
      <c r="X47" s="1496"/>
      <c r="Y47" s="1515"/>
      <c r="Z47" s="1496"/>
      <c r="AA47" s="1496"/>
      <c r="AB47" s="1496"/>
      <c r="AC47" s="1496"/>
    </row>
    <row r="48" spans="1:29" ht="15.75" thickBot="1">
      <c r="A48" s="609" t="s">
        <v>2737</v>
      </c>
      <c r="B48" s="876"/>
      <c r="C48" s="2476" t="e">
        <f>R49</f>
        <v>#DIV/0!</v>
      </c>
      <c r="D48" s="3014" t="s">
        <v>2965</v>
      </c>
      <c r="E48" s="2477" t="e">
        <f>R48</f>
        <v>#DIV/0!</v>
      </c>
      <c r="F48" s="3015"/>
      <c r="G48" s="2476" t="e">
        <f>T48</f>
        <v>#DIV/0!</v>
      </c>
      <c r="H48" s="3015"/>
      <c r="I48" s="2477" t="e">
        <f>V48</f>
        <v>#DIV/0!</v>
      </c>
      <c r="J48" s="3015"/>
      <c r="K48" s="3023">
        <f>F48+H48+J48</f>
        <v>0</v>
      </c>
      <c r="L48" s="2026"/>
      <c r="M48" s="2027"/>
      <c r="N48" s="2016"/>
      <c r="O48" s="2027"/>
      <c r="P48" s="3510" t="str">
        <f>A48</f>
        <v>比较价格（元/平方米）</v>
      </c>
      <c r="Q48" s="3510"/>
      <c r="R48" s="3617" t="e">
        <f>IF(F1="售价",ROUND(PRODUCT(R47,AA7:AA46),0),ROUND(PRODUCT(R47,AA7:AA46),1))</f>
        <v>#DIV/0!</v>
      </c>
      <c r="S48" s="3617"/>
      <c r="T48" s="3617" t="e">
        <f>IF(F1="售价",ROUND(PRODUCT(T47,AB7:AB46),0),ROUND(PRODUCT(T47,AB7:AB46),1))</f>
        <v>#DIV/0!</v>
      </c>
      <c r="U48" s="3617"/>
      <c r="V48" s="3617" t="e">
        <f>IF(F1="售价",ROUND(PRODUCT(V47,AC7:AC46),0),ROUND(PRODUCT(V47,AC7:AC46),1))</f>
        <v>#DIV/0!</v>
      </c>
      <c r="W48" s="3617"/>
      <c r="X48" s="1496"/>
      <c r="Y48" s="1496"/>
      <c r="Z48" s="1496"/>
      <c r="AA48" s="1496"/>
      <c r="AB48" s="1496"/>
      <c r="AC48" s="1496"/>
    </row>
    <row r="49" spans="1:29" ht="15.75" thickBot="1">
      <c r="A49" s="613" t="s">
        <v>2896</v>
      </c>
      <c r="B49" s="614"/>
      <c r="C49" s="2478" t="e">
        <f>R49</f>
        <v>#DIV/0!</v>
      </c>
      <c r="D49" s="2478"/>
      <c r="E49" s="2478"/>
      <c r="F49" s="2478"/>
      <c r="G49" s="2478"/>
      <c r="H49" s="2478"/>
      <c r="I49" s="2478"/>
      <c r="J49" s="2478"/>
      <c r="K49" s="1541"/>
      <c r="L49" s="2026"/>
      <c r="M49" s="2027"/>
      <c r="N49" s="2016"/>
      <c r="O49" s="2027"/>
      <c r="P49" s="3531" t="str">
        <f>A49</f>
        <v>估价对象XX用房的比较价格（楼面单价，元/平方米）</v>
      </c>
      <c r="Q49" s="3532"/>
      <c r="R49" s="3616" t="e">
        <f>IF(F1="售价",ROUND(IF(D48="简单平均",AVERAGE(R48:V48),R48*F48+T48*H48+V48*J48),0),ROUND(IF(D48="简单平均",AVERAGE(R48:V48),R48*F48+T48*H48+V48*J48),1))</f>
        <v>#DIV/0!</v>
      </c>
      <c r="S49" s="3616"/>
      <c r="T49" s="3616"/>
      <c r="U49" s="3616"/>
      <c r="V49" s="3616"/>
      <c r="W49" s="3616"/>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2020-8</v>
      </c>
      <c r="D58" s="2521">
        <f>EDATE(C58,-1)</f>
        <v>44013</v>
      </c>
      <c r="E58" s="2521">
        <f t="shared" ref="E58:O58" si="16">EDATE(D58,-1)</f>
        <v>43983</v>
      </c>
      <c r="F58" s="2521">
        <f t="shared" si="16"/>
        <v>43952</v>
      </c>
      <c r="G58" s="2521">
        <f t="shared" si="16"/>
        <v>43922</v>
      </c>
      <c r="H58" s="2521">
        <f t="shared" si="16"/>
        <v>43891</v>
      </c>
      <c r="I58" s="2521">
        <f t="shared" si="16"/>
        <v>43862</v>
      </c>
      <c r="J58" s="2521">
        <f t="shared" si="16"/>
        <v>43831</v>
      </c>
      <c r="K58" s="2521">
        <f t="shared" si="16"/>
        <v>43800</v>
      </c>
      <c r="L58" s="2521">
        <f t="shared" si="16"/>
        <v>43770</v>
      </c>
      <c r="M58" s="2521">
        <f t="shared" si="16"/>
        <v>43739</v>
      </c>
      <c r="N58" s="2521">
        <f t="shared" si="16"/>
        <v>43709</v>
      </c>
      <c r="O58" s="2521">
        <f t="shared" si="16"/>
        <v>43678</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2536</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2537</v>
      </c>
      <c r="C82" s="2442" t="s">
        <v>2538</v>
      </c>
      <c r="D82" s="2442" t="s">
        <v>2539</v>
      </c>
      <c r="E82" s="2442" t="s">
        <v>2540</v>
      </c>
      <c r="F82" s="2442" t="s">
        <v>2541</v>
      </c>
      <c r="G82" s="2442" t="s">
        <v>2542</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2535</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104" priority="20" stopIfTrue="1" operator="containsText" text="超过">
      <formula>NOT(ISERROR(SEARCH("超过",F52)))</formula>
    </cfRule>
  </conditionalFormatting>
  <conditionalFormatting sqref="H54">
    <cfRule type="containsText" dxfId="103" priority="18" stopIfTrue="1" operator="containsText" text="超过">
      <formula>NOT(ISERROR(SEARCH("超过",H54)))</formula>
    </cfRule>
  </conditionalFormatting>
  <conditionalFormatting sqref="F54">
    <cfRule type="containsText" dxfId="102" priority="17" stopIfTrue="1" operator="containsText" text="超过">
      <formula>NOT(ISERROR(SEARCH("超过",F54)))</formula>
    </cfRule>
  </conditionalFormatting>
  <conditionalFormatting sqref="F53 H53">
    <cfRule type="containsText" dxfId="101" priority="16" stopIfTrue="1" operator="containsText" text="超过">
      <formula>NOT(ISERROR(SEARCH("超过",F53)))</formula>
    </cfRule>
  </conditionalFormatting>
  <conditionalFormatting sqref="E52">
    <cfRule type="expression" dxfId="100" priority="15" stopIfTrue="1">
      <formula>$F$52="超过30%"</formula>
    </cfRule>
  </conditionalFormatting>
  <conditionalFormatting sqref="E53">
    <cfRule type="expression" dxfId="99" priority="14" stopIfTrue="1">
      <formula>$F$53="超过20%"</formula>
    </cfRule>
  </conditionalFormatting>
  <conditionalFormatting sqref="E54">
    <cfRule type="expression" dxfId="98" priority="13" stopIfTrue="1">
      <formula>$F$54="超过30%"</formula>
    </cfRule>
  </conditionalFormatting>
  <conditionalFormatting sqref="G54">
    <cfRule type="expression" dxfId="97" priority="12" stopIfTrue="1">
      <formula>$H$54="超过30%"</formula>
    </cfRule>
  </conditionalFormatting>
  <conditionalFormatting sqref="G52">
    <cfRule type="expression" dxfId="96" priority="11" stopIfTrue="1">
      <formula>$H$52="超过30%"</formula>
    </cfRule>
  </conditionalFormatting>
  <conditionalFormatting sqref="G53">
    <cfRule type="expression" dxfId="95" priority="10" stopIfTrue="1">
      <formula>$H$53="超过20%"</formula>
    </cfRule>
  </conditionalFormatting>
  <conditionalFormatting sqref="J52">
    <cfRule type="containsText" dxfId="94" priority="9" stopIfTrue="1" operator="containsText" text="超过">
      <formula>NOT(ISERROR(SEARCH("超过",J52)))</formula>
    </cfRule>
  </conditionalFormatting>
  <conditionalFormatting sqref="J54">
    <cfRule type="containsText" dxfId="93" priority="8" stopIfTrue="1" operator="containsText" text="超过">
      <formula>NOT(ISERROR(SEARCH("超过",J54)))</formula>
    </cfRule>
  </conditionalFormatting>
  <conditionalFormatting sqref="J53">
    <cfRule type="containsText" dxfId="92" priority="7" stopIfTrue="1" operator="containsText" text="超过">
      <formula>NOT(ISERROR(SEARCH("超过",J53)))</formula>
    </cfRule>
  </conditionalFormatting>
  <conditionalFormatting sqref="I52">
    <cfRule type="expression" dxfId="91" priority="6" stopIfTrue="1">
      <formula>$J$52="超过30%"</formula>
    </cfRule>
  </conditionalFormatting>
  <conditionalFormatting sqref="I53">
    <cfRule type="expression" dxfId="90" priority="5" stopIfTrue="1">
      <formula>$J$53="超过20%"</formula>
    </cfRule>
  </conditionalFormatting>
  <conditionalFormatting sqref="I54">
    <cfRule type="expression" dxfId="89" priority="4" stopIfTrue="1">
      <formula>$J$54="超过30%"</formula>
    </cfRule>
  </conditionalFormatting>
  <conditionalFormatting sqref="F48">
    <cfRule type="expression" dxfId="88" priority="3">
      <formula>$D$48="简单平均"</formula>
    </cfRule>
  </conditionalFormatting>
  <conditionalFormatting sqref="H48">
    <cfRule type="expression" dxfId="87" priority="2">
      <formula>$D$48="简单平均"</formula>
    </cfRule>
  </conditionalFormatting>
  <conditionalFormatting sqref="J48">
    <cfRule type="expression" dxfId="86" priority="1">
      <formula>$D$48="简单平均"</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S52" sqref="S52"/>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16" t="s">
        <v>516</v>
      </c>
      <c r="D4" s="3517"/>
      <c r="E4" s="3541" t="s">
        <v>517</v>
      </c>
      <c r="F4" s="3542"/>
      <c r="G4" s="3516" t="s">
        <v>518</v>
      </c>
      <c r="H4" s="3517"/>
      <c r="I4" s="3516" t="s">
        <v>519</v>
      </c>
      <c r="J4" s="3517"/>
      <c r="K4" s="508" t="s">
        <v>520</v>
      </c>
      <c r="L4" s="2015"/>
      <c r="M4" s="2016"/>
      <c r="N4" s="2016"/>
      <c r="O4" s="2016"/>
      <c r="P4" s="3619" t="s">
        <v>521</v>
      </c>
      <c r="Q4" s="3519"/>
      <c r="R4" s="3504" t="s">
        <v>517</v>
      </c>
      <c r="S4" s="3505"/>
      <c r="T4" s="3504" t="s">
        <v>518</v>
      </c>
      <c r="U4" s="3505"/>
      <c r="V4" s="3524" t="s">
        <v>519</v>
      </c>
      <c r="W4" s="3524"/>
      <c r="X4" s="1501"/>
      <c r="Y4" s="3504" t="s">
        <v>521</v>
      </c>
      <c r="Z4" s="3505"/>
      <c r="AA4" s="3499" t="s">
        <v>517</v>
      </c>
      <c r="AB4" s="3499" t="s">
        <v>518</v>
      </c>
      <c r="AC4" s="3499" t="s">
        <v>519</v>
      </c>
    </row>
    <row r="5" spans="1:29" ht="15">
      <c r="A5" s="509"/>
      <c r="B5" s="510"/>
      <c r="C5" s="3527" t="s">
        <v>2890</v>
      </c>
      <c r="D5" s="3528"/>
      <c r="E5" s="3543" t="s">
        <v>2891</v>
      </c>
      <c r="F5" s="3544"/>
      <c r="G5" s="3527" t="s">
        <v>2892</v>
      </c>
      <c r="H5" s="3528"/>
      <c r="I5" s="3527" t="s">
        <v>2893</v>
      </c>
      <c r="J5" s="3528"/>
      <c r="K5" s="508"/>
      <c r="L5" s="2015"/>
      <c r="M5" s="2016"/>
      <c r="N5" s="2016"/>
      <c r="O5" s="2016"/>
      <c r="P5" s="3620"/>
      <c r="Q5" s="3521"/>
      <c r="R5" s="3506"/>
      <c r="S5" s="3507"/>
      <c r="T5" s="3506"/>
      <c r="U5" s="3507"/>
      <c r="V5" s="3524"/>
      <c r="W5" s="3524"/>
      <c r="X5" s="1501"/>
      <c r="Y5" s="3506"/>
      <c r="Z5" s="3507"/>
      <c r="AA5" s="3500"/>
      <c r="AB5" s="3500"/>
      <c r="AC5" s="3500"/>
    </row>
    <row r="6" spans="1:29" ht="15.75" thickBot="1">
      <c r="A6" s="511"/>
      <c r="B6" s="512"/>
      <c r="C6" s="3525" t="s">
        <v>2894</v>
      </c>
      <c r="D6" s="3526"/>
      <c r="E6" s="3545" t="s">
        <v>2894</v>
      </c>
      <c r="F6" s="3546"/>
      <c r="G6" s="3525" t="s">
        <v>2894</v>
      </c>
      <c r="H6" s="3526"/>
      <c r="I6" s="3525" t="s">
        <v>2894</v>
      </c>
      <c r="J6" s="3526"/>
      <c r="K6" s="508" t="s">
        <v>522</v>
      </c>
      <c r="L6" s="2015"/>
      <c r="M6" s="2016"/>
      <c r="N6" s="2016"/>
      <c r="O6" s="2016"/>
      <c r="P6" s="3621"/>
      <c r="Q6" s="3523"/>
      <c r="R6" s="3506"/>
      <c r="S6" s="3507"/>
      <c r="T6" s="3508"/>
      <c r="U6" s="3509"/>
      <c r="V6" s="3524"/>
      <c r="W6" s="3524"/>
      <c r="X6" s="1501"/>
      <c r="Y6" s="3508"/>
      <c r="Z6" s="3509"/>
      <c r="AA6" s="3501"/>
      <c r="AB6" s="3501"/>
      <c r="AC6" s="3501"/>
    </row>
    <row r="7" spans="1:29" s="1202" customFormat="1" ht="15.75" thickBot="1">
      <c r="A7" s="2629"/>
      <c r="B7" s="2636" t="s">
        <v>523</v>
      </c>
      <c r="C7" s="513">
        <f>'数据-取费表'!B2</f>
        <v>44062</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11" t="s">
        <v>524</v>
      </c>
      <c r="Q7" s="3511"/>
      <c r="R7" s="1502" t="s">
        <v>8</v>
      </c>
      <c r="S7" s="1503">
        <f t="shared" ref="S7:S15" si="0">F7</f>
        <v>0</v>
      </c>
      <c r="T7" s="1502" t="s">
        <v>8</v>
      </c>
      <c r="U7" s="1503">
        <f t="shared" ref="U7:U15" si="1">H7</f>
        <v>0</v>
      </c>
      <c r="V7" s="1502" t="s">
        <v>8</v>
      </c>
      <c r="W7" s="1503">
        <f t="shared" ref="W7:W15" si="2">J7</f>
        <v>0</v>
      </c>
      <c r="X7" s="1504"/>
      <c r="Y7" s="3502" t="s">
        <v>524</v>
      </c>
      <c r="Z7" s="3503"/>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11" t="s">
        <v>527</v>
      </c>
      <c r="Q8" s="3503"/>
      <c r="R8" s="1502" t="s">
        <v>8</v>
      </c>
      <c r="S8" s="1503">
        <f t="shared" si="0"/>
        <v>0</v>
      </c>
      <c r="T8" s="1502" t="s">
        <v>8</v>
      </c>
      <c r="U8" s="1503">
        <f t="shared" si="1"/>
        <v>0</v>
      </c>
      <c r="V8" s="1502" t="s">
        <v>8</v>
      </c>
      <c r="W8" s="1503">
        <f t="shared" si="2"/>
        <v>0</v>
      </c>
      <c r="X8" s="1504"/>
      <c r="Y8" s="3502" t="s">
        <v>527</v>
      </c>
      <c r="Z8" s="3503"/>
      <c r="AA8" s="1505" t="e">
        <f t="shared" ref="AA8:AA47" si="3">D8/F8</f>
        <v>#DIV/0!</v>
      </c>
      <c r="AB8" s="1505" t="e">
        <f t="shared" ref="AB8:AB47" si="4">D8/H8</f>
        <v>#DIV/0!</v>
      </c>
      <c r="AC8" s="1505" t="e">
        <f t="shared" ref="AC8:AC47" si="5">D8/J8</f>
        <v>#DIV/0!</v>
      </c>
    </row>
    <row r="9" spans="1:29" s="1202" customFormat="1" ht="15">
      <c r="A9" s="2631"/>
      <c r="B9" s="2638" t="s">
        <v>2733</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10" t="s">
        <v>529</v>
      </c>
      <c r="Q9" s="1133" t="str">
        <f t="shared" ref="Q9:Q15" si="6">B9</f>
        <v>用途</v>
      </c>
      <c r="R9" s="1502" t="s">
        <v>8</v>
      </c>
      <c r="S9" s="1503">
        <f t="shared" si="0"/>
        <v>100</v>
      </c>
      <c r="T9" s="1502" t="s">
        <v>8</v>
      </c>
      <c r="U9" s="1503">
        <f t="shared" si="1"/>
        <v>100</v>
      </c>
      <c r="V9" s="1502" t="s">
        <v>8</v>
      </c>
      <c r="W9" s="1503">
        <f t="shared" si="2"/>
        <v>100</v>
      </c>
      <c r="X9" s="1504"/>
      <c r="Y9" s="3461" t="s">
        <v>530</v>
      </c>
      <c r="Z9" s="1132" t="str">
        <f t="shared" ref="Z9:Z15" si="7">Q9</f>
        <v>用途</v>
      </c>
      <c r="AA9" s="1505">
        <f t="shared" si="3"/>
        <v>1</v>
      </c>
      <c r="AB9" s="1505">
        <f t="shared" si="4"/>
        <v>1</v>
      </c>
      <c r="AC9" s="1505">
        <f t="shared" si="5"/>
        <v>1</v>
      </c>
    </row>
    <row r="10" spans="1:29" s="1291" customFormat="1" ht="27">
      <c r="A10" s="2632"/>
      <c r="B10" s="2637" t="s">
        <v>2734</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10"/>
      <c r="Q10" s="1133" t="str">
        <f t="shared" si="6"/>
        <v>土地使用年限（年）</v>
      </c>
      <c r="R10" s="1502" t="s">
        <v>8</v>
      </c>
      <c r="S10" s="1503">
        <f t="shared" si="0"/>
        <v>100</v>
      </c>
      <c r="T10" s="1502" t="s">
        <v>8</v>
      </c>
      <c r="U10" s="1503">
        <f t="shared" si="1"/>
        <v>100</v>
      </c>
      <c r="V10" s="1502" t="s">
        <v>8</v>
      </c>
      <c r="W10" s="1503">
        <f t="shared" si="2"/>
        <v>100</v>
      </c>
      <c r="X10" s="1504"/>
      <c r="Y10" s="3461"/>
      <c r="Z10" s="1132" t="str">
        <f t="shared" si="7"/>
        <v>土地使用年限（年）</v>
      </c>
      <c r="AA10" s="1505">
        <f t="shared" si="3"/>
        <v>1</v>
      </c>
      <c r="AB10" s="1505">
        <f t="shared" si="4"/>
        <v>1</v>
      </c>
      <c r="AC10" s="1505">
        <f t="shared" si="5"/>
        <v>1</v>
      </c>
    </row>
    <row r="11" spans="1:29" ht="15">
      <c r="A11" s="2633"/>
      <c r="B11" s="2637" t="s">
        <v>2735</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10"/>
      <c r="Q11" s="1133" t="str">
        <f t="shared" si="6"/>
        <v>容积率</v>
      </c>
      <c r="R11" s="1502" t="s">
        <v>8</v>
      </c>
      <c r="S11" s="1503" t="e">
        <f t="shared" si="0"/>
        <v>#N/A</v>
      </c>
      <c r="T11" s="1502" t="s">
        <v>8</v>
      </c>
      <c r="U11" s="1503" t="e">
        <f t="shared" si="1"/>
        <v>#N/A</v>
      </c>
      <c r="V11" s="1502" t="s">
        <v>8</v>
      </c>
      <c r="W11" s="1503" t="e">
        <f t="shared" si="2"/>
        <v>#N/A</v>
      </c>
      <c r="X11" s="1504"/>
      <c r="Y11" s="3461"/>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510"/>
      <c r="Q12" s="1133">
        <f t="shared" si="6"/>
        <v>111</v>
      </c>
      <c r="R12" s="1502" t="s">
        <v>8</v>
      </c>
      <c r="S12" s="1503">
        <f t="shared" si="0"/>
        <v>100</v>
      </c>
      <c r="T12" s="1502" t="s">
        <v>8</v>
      </c>
      <c r="U12" s="1503">
        <f t="shared" si="1"/>
        <v>100</v>
      </c>
      <c r="V12" s="1502" t="s">
        <v>8</v>
      </c>
      <c r="W12" s="1503">
        <f t="shared" si="2"/>
        <v>100</v>
      </c>
      <c r="X12" s="1504"/>
      <c r="Y12" s="3461"/>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510"/>
      <c r="Q13" s="1133">
        <f t="shared" si="6"/>
        <v>111</v>
      </c>
      <c r="R13" s="1502" t="s">
        <v>8</v>
      </c>
      <c r="S13" s="1503">
        <f t="shared" si="0"/>
        <v>100</v>
      </c>
      <c r="T13" s="1502" t="s">
        <v>8</v>
      </c>
      <c r="U13" s="1503">
        <f t="shared" si="1"/>
        <v>100</v>
      </c>
      <c r="V13" s="1502" t="s">
        <v>8</v>
      </c>
      <c r="W13" s="1503">
        <f t="shared" si="2"/>
        <v>100</v>
      </c>
      <c r="X13" s="1504"/>
      <c r="Y13" s="3461"/>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510"/>
      <c r="Q14" s="1133">
        <f t="shared" si="6"/>
        <v>111</v>
      </c>
      <c r="R14" s="1502" t="s">
        <v>8</v>
      </c>
      <c r="S14" s="1503">
        <f t="shared" si="0"/>
        <v>100</v>
      </c>
      <c r="T14" s="1502" t="s">
        <v>8</v>
      </c>
      <c r="U14" s="1503">
        <f t="shared" si="1"/>
        <v>100</v>
      </c>
      <c r="V14" s="1502" t="s">
        <v>8</v>
      </c>
      <c r="W14" s="1503">
        <f t="shared" si="2"/>
        <v>100</v>
      </c>
      <c r="X14" s="1504"/>
      <c r="Y14" s="3461"/>
      <c r="Z14" s="1132">
        <f t="shared" si="7"/>
        <v>111</v>
      </c>
      <c r="AA14" s="1505">
        <f t="shared" si="3"/>
        <v>1</v>
      </c>
      <c r="AB14" s="1505">
        <f t="shared" si="4"/>
        <v>1</v>
      </c>
      <c r="AC14" s="1505">
        <f t="shared" si="5"/>
        <v>1</v>
      </c>
    </row>
    <row r="15" spans="1:29" ht="71.25">
      <c r="A15" s="2627" t="s">
        <v>2731</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512" t="s">
        <v>534</v>
      </c>
      <c r="Q15" s="1506" t="str">
        <f t="shared" si="6"/>
        <v>办公集聚程度</v>
      </c>
      <c r="R15" s="1507" t="s">
        <v>8</v>
      </c>
      <c r="S15" s="1508">
        <f t="shared" si="0"/>
        <v>100</v>
      </c>
      <c r="T15" s="1507" t="s">
        <v>8</v>
      </c>
      <c r="U15" s="1508">
        <f t="shared" si="1"/>
        <v>100</v>
      </c>
      <c r="V15" s="1507" t="s">
        <v>8</v>
      </c>
      <c r="W15" s="1508">
        <f t="shared" si="2"/>
        <v>100</v>
      </c>
      <c r="X15" s="1501"/>
      <c r="Y15" s="3512"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513"/>
      <c r="Q16" s="1506"/>
      <c r="R16" s="1507"/>
      <c r="S16" s="1508"/>
      <c r="T16" s="1507"/>
      <c r="U16" s="1508"/>
      <c r="V16" s="1507"/>
      <c r="W16" s="1508"/>
      <c r="X16" s="1501"/>
      <c r="Y16" s="3513"/>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513"/>
      <c r="Q17" s="1506" t="str">
        <f>B17</f>
        <v>交通便捷度</v>
      </c>
      <c r="R17" s="1507" t="s">
        <v>8</v>
      </c>
      <c r="S17" s="1508">
        <f>F17</f>
        <v>100</v>
      </c>
      <c r="T17" s="1507" t="s">
        <v>8</v>
      </c>
      <c r="U17" s="1508">
        <f>H17</f>
        <v>100</v>
      </c>
      <c r="V17" s="1507" t="s">
        <v>8</v>
      </c>
      <c r="W17" s="1508">
        <f>J17</f>
        <v>100</v>
      </c>
      <c r="X17" s="1501"/>
      <c r="Y17" s="3513"/>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513"/>
      <c r="Q18" s="1506"/>
      <c r="R18" s="1507"/>
      <c r="S18" s="1508"/>
      <c r="T18" s="1507"/>
      <c r="U18" s="1508"/>
      <c r="V18" s="1507"/>
      <c r="W18" s="1508"/>
      <c r="X18" s="1501"/>
      <c r="Y18" s="3513"/>
      <c r="Z18" s="1509"/>
      <c r="AA18" s="1510">
        <v>1</v>
      </c>
      <c r="AB18" s="1510">
        <v>1</v>
      </c>
      <c r="AC18" s="1510">
        <v>1</v>
      </c>
    </row>
    <row r="19" spans="1:29" ht="42.75">
      <c r="A19" s="526"/>
      <c r="B19" s="2447" t="s">
        <v>2525</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513"/>
      <c r="Q19" s="1506" t="str">
        <f>B19</f>
        <v>公共配套设施</v>
      </c>
      <c r="R19" s="1507" t="s">
        <v>8</v>
      </c>
      <c r="S19" s="1508">
        <f>F19</f>
        <v>100</v>
      </c>
      <c r="T19" s="1507" t="s">
        <v>8</v>
      </c>
      <c r="U19" s="1508">
        <f>H19</f>
        <v>100</v>
      </c>
      <c r="V19" s="1507" t="s">
        <v>8</v>
      </c>
      <c r="W19" s="1508">
        <f>J19</f>
        <v>100</v>
      </c>
      <c r="X19" s="1501"/>
      <c r="Y19" s="3513"/>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513"/>
      <c r="Q20" s="1506"/>
      <c r="R20" s="1507"/>
      <c r="S20" s="1508"/>
      <c r="T20" s="1507"/>
      <c r="U20" s="1508"/>
      <c r="V20" s="1507"/>
      <c r="W20" s="1508"/>
      <c r="X20" s="1501"/>
      <c r="Y20" s="3513"/>
      <c r="Z20" s="1509"/>
      <c r="AA20" s="1510">
        <v>1</v>
      </c>
      <c r="AB20" s="1510">
        <v>1</v>
      </c>
      <c r="AC20" s="1510">
        <v>1</v>
      </c>
    </row>
    <row r="21" spans="1:29" ht="28.5">
      <c r="A21" s="526"/>
      <c r="B21" s="2435" t="s">
        <v>2537</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513"/>
      <c r="Q21" s="2429" t="str">
        <f>B21</f>
        <v>基础设施水平</v>
      </c>
      <c r="R21" s="1507" t="s">
        <v>8</v>
      </c>
      <c r="S21" s="1508">
        <f>F21</f>
        <v>100</v>
      </c>
      <c r="T21" s="1507" t="s">
        <v>8</v>
      </c>
      <c r="U21" s="1508">
        <f>H21</f>
        <v>100</v>
      </c>
      <c r="V21" s="1507" t="s">
        <v>8</v>
      </c>
      <c r="W21" s="1508">
        <f>J21</f>
        <v>100</v>
      </c>
      <c r="X21" s="2431"/>
      <c r="Y21" s="3513"/>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13"/>
      <c r="Q22" s="2429"/>
      <c r="R22" s="1507"/>
      <c r="S22" s="1508"/>
      <c r="T22" s="1507"/>
      <c r="U22" s="1508"/>
      <c r="V22" s="1507"/>
      <c r="W22" s="1508"/>
      <c r="X22" s="2431"/>
      <c r="Y22" s="3513"/>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513"/>
      <c r="Q23" s="1506" t="str">
        <f>B23</f>
        <v>环境质量</v>
      </c>
      <c r="R23" s="1507" t="s">
        <v>8</v>
      </c>
      <c r="S23" s="1508">
        <f>F23</f>
        <v>100</v>
      </c>
      <c r="T23" s="1507" t="s">
        <v>8</v>
      </c>
      <c r="U23" s="1508">
        <f>H23</f>
        <v>100</v>
      </c>
      <c r="V23" s="1507" t="s">
        <v>8</v>
      </c>
      <c r="W23" s="1508">
        <f>J23</f>
        <v>100</v>
      </c>
      <c r="X23" s="1501"/>
      <c r="Y23" s="3513"/>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513"/>
      <c r="Q24" s="1506"/>
      <c r="R24" s="1507"/>
      <c r="S24" s="1508"/>
      <c r="T24" s="1507"/>
      <c r="U24" s="1508"/>
      <c r="V24" s="1507"/>
      <c r="W24" s="1508"/>
      <c r="X24" s="1501"/>
      <c r="Y24" s="3513"/>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513"/>
      <c r="Q25" s="1506" t="str">
        <f>B25</f>
        <v>毗邻道路的类型与等级</v>
      </c>
      <c r="R25" s="1507" t="s">
        <v>8</v>
      </c>
      <c r="S25" s="1508">
        <f>F25</f>
        <v>100</v>
      </c>
      <c r="T25" s="1507" t="s">
        <v>8</v>
      </c>
      <c r="U25" s="1508">
        <f>H25</f>
        <v>100</v>
      </c>
      <c r="V25" s="1507" t="s">
        <v>8</v>
      </c>
      <c r="W25" s="1508">
        <f>J25</f>
        <v>100</v>
      </c>
      <c r="X25" s="1501"/>
      <c r="Y25" s="3513"/>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513"/>
      <c r="Q26" s="1506"/>
      <c r="R26" s="1507"/>
      <c r="S26" s="1508"/>
      <c r="T26" s="1507"/>
      <c r="U26" s="1508"/>
      <c r="V26" s="1507"/>
      <c r="W26" s="1508"/>
      <c r="X26" s="1501"/>
      <c r="Y26" s="3513"/>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13"/>
      <c r="Q27" s="1506" t="str">
        <f t="shared" ref="Q27:Q47" si="11">B27</f>
        <v>楼层</v>
      </c>
      <c r="R27" s="1507" t="s">
        <v>8</v>
      </c>
      <c r="S27" s="1508">
        <f>F27</f>
        <v>100</v>
      </c>
      <c r="T27" s="1507" t="s">
        <v>8</v>
      </c>
      <c r="U27" s="1508">
        <f>H27</f>
        <v>100</v>
      </c>
      <c r="V27" s="1507" t="s">
        <v>8</v>
      </c>
      <c r="W27" s="1508">
        <f>J27</f>
        <v>100</v>
      </c>
      <c r="X27" s="1501"/>
      <c r="Y27" s="3513"/>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513"/>
      <c r="Q28" s="1133" t="str">
        <f t="shared" si="11"/>
        <v>朝向</v>
      </c>
      <c r="R28" s="1502" t="s">
        <v>8</v>
      </c>
      <c r="S28" s="1503">
        <f>F28</f>
        <v>100</v>
      </c>
      <c r="T28" s="1502" t="s">
        <v>8</v>
      </c>
      <c r="U28" s="1503">
        <f>H28</f>
        <v>100</v>
      </c>
      <c r="V28" s="1502" t="s">
        <v>8</v>
      </c>
      <c r="W28" s="1503">
        <f>J28</f>
        <v>100</v>
      </c>
      <c r="X28" s="1504"/>
      <c r="Y28" s="3513"/>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513"/>
      <c r="Q29" s="1506">
        <f t="shared" si="11"/>
        <v>111</v>
      </c>
      <c r="R29" s="1507" t="s">
        <v>8</v>
      </c>
      <c r="S29" s="1508">
        <f t="shared" ref="S29:S47" si="12">F29</f>
        <v>100</v>
      </c>
      <c r="T29" s="1507" t="s">
        <v>8</v>
      </c>
      <c r="U29" s="1508">
        <f t="shared" ref="U29:U47" si="13">H29</f>
        <v>100</v>
      </c>
      <c r="V29" s="1507" t="s">
        <v>8</v>
      </c>
      <c r="W29" s="1508">
        <f t="shared" ref="W29:W47" si="14">J29</f>
        <v>100</v>
      </c>
      <c r="X29" s="1501"/>
      <c r="Y29" s="3513"/>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513"/>
      <c r="Q30" s="1506">
        <f t="shared" si="11"/>
        <v>111</v>
      </c>
      <c r="R30" s="1507" t="s">
        <v>8</v>
      </c>
      <c r="S30" s="1508">
        <f t="shared" si="12"/>
        <v>100</v>
      </c>
      <c r="T30" s="1507" t="s">
        <v>8</v>
      </c>
      <c r="U30" s="1508">
        <f t="shared" si="13"/>
        <v>100</v>
      </c>
      <c r="V30" s="1507" t="s">
        <v>8</v>
      </c>
      <c r="W30" s="1508">
        <f t="shared" si="14"/>
        <v>100</v>
      </c>
      <c r="X30" s="1501"/>
      <c r="Y30" s="3513"/>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513"/>
      <c r="Q31" s="1506">
        <f t="shared" si="11"/>
        <v>111</v>
      </c>
      <c r="R31" s="1507" t="s">
        <v>8</v>
      </c>
      <c r="S31" s="1508">
        <f t="shared" si="12"/>
        <v>100</v>
      </c>
      <c r="T31" s="1507" t="s">
        <v>8</v>
      </c>
      <c r="U31" s="1508">
        <f t="shared" si="13"/>
        <v>100</v>
      </c>
      <c r="V31" s="1507" t="s">
        <v>8</v>
      </c>
      <c r="W31" s="1508">
        <f t="shared" si="14"/>
        <v>100</v>
      </c>
      <c r="X31" s="1501"/>
      <c r="Y31" s="3513"/>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513"/>
      <c r="Q32" s="1506">
        <f t="shared" si="11"/>
        <v>111</v>
      </c>
      <c r="R32" s="1507" t="s">
        <v>8</v>
      </c>
      <c r="S32" s="1508">
        <f t="shared" si="12"/>
        <v>100</v>
      </c>
      <c r="T32" s="1507" t="s">
        <v>8</v>
      </c>
      <c r="U32" s="1508">
        <f t="shared" si="13"/>
        <v>100</v>
      </c>
      <c r="V32" s="1507" t="s">
        <v>8</v>
      </c>
      <c r="W32" s="1508">
        <f t="shared" si="14"/>
        <v>100</v>
      </c>
      <c r="X32" s="1501"/>
      <c r="Y32" s="3513"/>
      <c r="Z32" s="1509">
        <f t="shared" si="15"/>
        <v>111</v>
      </c>
      <c r="AA32" s="1510">
        <f t="shared" si="3"/>
        <v>1</v>
      </c>
      <c r="AB32" s="1510">
        <f t="shared" si="4"/>
        <v>1</v>
      </c>
      <c r="AC32" s="1510">
        <f t="shared" si="5"/>
        <v>1</v>
      </c>
    </row>
    <row r="33" spans="1:29" ht="15">
      <c r="A33" s="2624" t="s">
        <v>2732</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514" t="s">
        <v>544</v>
      </c>
      <c r="Q33" s="1506" t="str">
        <f t="shared" si="11"/>
        <v>建筑类型</v>
      </c>
      <c r="R33" s="1507" t="s">
        <v>8</v>
      </c>
      <c r="S33" s="1508">
        <f t="shared" si="12"/>
        <v>100</v>
      </c>
      <c r="T33" s="1507" t="s">
        <v>8</v>
      </c>
      <c r="U33" s="1508">
        <f t="shared" si="13"/>
        <v>100</v>
      </c>
      <c r="V33" s="1507" t="s">
        <v>8</v>
      </c>
      <c r="W33" s="1508">
        <f t="shared" si="14"/>
        <v>100</v>
      </c>
      <c r="X33" s="1501"/>
      <c r="Y33" s="3515"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15"/>
      <c r="Q34" s="1535" t="str">
        <f t="shared" si="11"/>
        <v>项目建筑规模</v>
      </c>
      <c r="R34" s="1511" t="s">
        <v>8</v>
      </c>
      <c r="S34" s="1512" t="e">
        <f t="shared" si="12"/>
        <v>#N/A</v>
      </c>
      <c r="T34" s="1511" t="s">
        <v>8</v>
      </c>
      <c r="U34" s="1512" t="e">
        <f t="shared" si="13"/>
        <v>#N/A</v>
      </c>
      <c r="V34" s="1511" t="s">
        <v>8</v>
      </c>
      <c r="W34" s="1512" t="e">
        <f t="shared" si="14"/>
        <v>#N/A</v>
      </c>
      <c r="X34" s="1513"/>
      <c r="Y34" s="3515"/>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15"/>
      <c r="Q35" s="1506" t="str">
        <f t="shared" si="11"/>
        <v>建筑结构</v>
      </c>
      <c r="R35" s="1507" t="s">
        <v>8</v>
      </c>
      <c r="S35" s="1508">
        <f t="shared" si="12"/>
        <v>100</v>
      </c>
      <c r="T35" s="1507" t="s">
        <v>8</v>
      </c>
      <c r="U35" s="1508">
        <f t="shared" si="13"/>
        <v>100</v>
      </c>
      <c r="V35" s="1507" t="s">
        <v>8</v>
      </c>
      <c r="W35" s="1508">
        <f t="shared" si="14"/>
        <v>100</v>
      </c>
      <c r="X35" s="1501"/>
      <c r="Y35" s="3515"/>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15"/>
      <c r="Q36" s="1506" t="str">
        <f t="shared" si="11"/>
        <v>公共部分装修</v>
      </c>
      <c r="R36" s="1507" t="s">
        <v>8</v>
      </c>
      <c r="S36" s="1508">
        <f t="shared" si="12"/>
        <v>100</v>
      </c>
      <c r="T36" s="1507" t="s">
        <v>8</v>
      </c>
      <c r="U36" s="1508">
        <f t="shared" si="13"/>
        <v>100</v>
      </c>
      <c r="V36" s="1507" t="s">
        <v>8</v>
      </c>
      <c r="W36" s="1508">
        <f t="shared" si="14"/>
        <v>100</v>
      </c>
      <c r="X36" s="1501"/>
      <c r="Y36" s="3515"/>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515"/>
      <c r="Q37" s="1506" t="str">
        <f t="shared" si="11"/>
        <v>成新度</v>
      </c>
      <c r="R37" s="1507" t="s">
        <v>8</v>
      </c>
      <c r="S37" s="1508" t="e">
        <f t="shared" si="12"/>
        <v>#N/A</v>
      </c>
      <c r="T37" s="1507" t="s">
        <v>8</v>
      </c>
      <c r="U37" s="1508" t="e">
        <f t="shared" si="13"/>
        <v>#N/A</v>
      </c>
      <c r="V37" s="1507" t="s">
        <v>8</v>
      </c>
      <c r="W37" s="1508" t="e">
        <f t="shared" si="14"/>
        <v>#N/A</v>
      </c>
      <c r="X37" s="1501"/>
      <c r="Y37" s="3515"/>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15"/>
      <c r="Q38" s="1133" t="str">
        <f t="shared" si="11"/>
        <v>写字楼等级</v>
      </c>
      <c r="R38" s="1502" t="s">
        <v>8</v>
      </c>
      <c r="S38" s="1503">
        <f t="shared" si="12"/>
        <v>100</v>
      </c>
      <c r="T38" s="1502" t="s">
        <v>8</v>
      </c>
      <c r="U38" s="1503">
        <f t="shared" si="13"/>
        <v>100</v>
      </c>
      <c r="V38" s="1502" t="s">
        <v>8</v>
      </c>
      <c r="W38" s="1503">
        <f t="shared" si="14"/>
        <v>100</v>
      </c>
      <c r="X38" s="1504"/>
      <c r="Y38" s="3515"/>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15" t="s">
        <v>544</v>
      </c>
      <c r="Q39" s="1506" t="str">
        <f t="shared" si="11"/>
        <v>物业管理</v>
      </c>
      <c r="R39" s="1507" t="s">
        <v>8</v>
      </c>
      <c r="S39" s="1508">
        <f t="shared" si="12"/>
        <v>100</v>
      </c>
      <c r="T39" s="1507" t="s">
        <v>8</v>
      </c>
      <c r="U39" s="1508">
        <f t="shared" si="13"/>
        <v>100</v>
      </c>
      <c r="V39" s="1507" t="s">
        <v>8</v>
      </c>
      <c r="W39" s="1508">
        <f t="shared" si="14"/>
        <v>100</v>
      </c>
      <c r="X39" s="1501"/>
      <c r="Y39" s="3515" t="s">
        <v>544</v>
      </c>
      <c r="Z39" s="1509" t="str">
        <f t="shared" si="15"/>
        <v>物业管理</v>
      </c>
      <c r="AA39" s="1510">
        <f t="shared" si="3"/>
        <v>1</v>
      </c>
      <c r="AB39" s="1510">
        <f t="shared" si="4"/>
        <v>1</v>
      </c>
      <c r="AC39" s="1510">
        <f t="shared" si="5"/>
        <v>1</v>
      </c>
    </row>
    <row r="40" spans="1:29" ht="15">
      <c r="A40" s="588"/>
      <c r="B40" s="1809" t="s">
        <v>2544</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15"/>
      <c r="Q40" s="1506" t="str">
        <f t="shared" si="11"/>
        <v>市政基础设施</v>
      </c>
      <c r="R40" s="1507" t="s">
        <v>8</v>
      </c>
      <c r="S40" s="1508">
        <f t="shared" si="12"/>
        <v>100</v>
      </c>
      <c r="T40" s="1507" t="s">
        <v>8</v>
      </c>
      <c r="U40" s="1508">
        <f t="shared" si="13"/>
        <v>100</v>
      </c>
      <c r="V40" s="1507" t="s">
        <v>8</v>
      </c>
      <c r="W40" s="1508">
        <f t="shared" si="14"/>
        <v>100</v>
      </c>
      <c r="X40" s="1501"/>
      <c r="Y40" s="3515"/>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15"/>
      <c r="Q41" s="1506" t="str">
        <f t="shared" si="11"/>
        <v>层高</v>
      </c>
      <c r="R41" s="1507" t="s">
        <v>8</v>
      </c>
      <c r="S41" s="1508">
        <f t="shared" si="12"/>
        <v>100</v>
      </c>
      <c r="T41" s="1507" t="s">
        <v>8</v>
      </c>
      <c r="U41" s="1508">
        <f t="shared" si="13"/>
        <v>100</v>
      </c>
      <c r="V41" s="1507" t="s">
        <v>8</v>
      </c>
      <c r="W41" s="1508">
        <f t="shared" si="14"/>
        <v>100</v>
      </c>
      <c r="X41" s="1501"/>
      <c r="Y41" s="3515"/>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15"/>
      <c r="Q42" s="1535" t="str">
        <f t="shared" si="11"/>
        <v>单套建筑面积</v>
      </c>
      <c r="R42" s="1511" t="s">
        <v>8</v>
      </c>
      <c r="S42" s="1512">
        <f t="shared" si="12"/>
        <v>100</v>
      </c>
      <c r="T42" s="1511" t="s">
        <v>8</v>
      </c>
      <c r="U42" s="1512">
        <f t="shared" si="13"/>
        <v>100</v>
      </c>
      <c r="V42" s="1511" t="s">
        <v>8</v>
      </c>
      <c r="W42" s="1512">
        <f t="shared" si="14"/>
        <v>100</v>
      </c>
      <c r="X42" s="1513"/>
      <c r="Y42" s="3515"/>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15"/>
      <c r="Q43" s="1506" t="str">
        <f t="shared" si="11"/>
        <v>内部装修</v>
      </c>
      <c r="R43" s="1507" t="s">
        <v>8</v>
      </c>
      <c r="S43" s="1508">
        <f t="shared" si="12"/>
        <v>100</v>
      </c>
      <c r="T43" s="1507" t="s">
        <v>8</v>
      </c>
      <c r="U43" s="1508">
        <f t="shared" si="13"/>
        <v>100</v>
      </c>
      <c r="V43" s="1507" t="s">
        <v>8</v>
      </c>
      <c r="W43" s="1508">
        <f t="shared" si="14"/>
        <v>100</v>
      </c>
      <c r="X43" s="1501"/>
      <c r="Y43" s="3515"/>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15"/>
      <c r="Q44" s="1506" t="str">
        <f t="shared" si="11"/>
        <v>内部装修维护情况</v>
      </c>
      <c r="R44" s="1507" t="s">
        <v>8</v>
      </c>
      <c r="S44" s="1508">
        <f t="shared" si="12"/>
        <v>100</v>
      </c>
      <c r="T44" s="1507" t="s">
        <v>8</v>
      </c>
      <c r="U44" s="1508">
        <f t="shared" si="13"/>
        <v>100</v>
      </c>
      <c r="V44" s="1507" t="s">
        <v>8</v>
      </c>
      <c r="W44" s="1508">
        <f t="shared" si="14"/>
        <v>100</v>
      </c>
      <c r="X44" s="1501"/>
      <c r="Y44" s="3515"/>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15"/>
      <c r="Q45" s="1133">
        <f t="shared" si="11"/>
        <v>111</v>
      </c>
      <c r="R45" s="1502" t="s">
        <v>8</v>
      </c>
      <c r="S45" s="1503">
        <f t="shared" si="12"/>
        <v>100</v>
      </c>
      <c r="T45" s="1502" t="s">
        <v>8</v>
      </c>
      <c r="U45" s="1503">
        <f t="shared" si="13"/>
        <v>100</v>
      </c>
      <c r="V45" s="1502" t="s">
        <v>8</v>
      </c>
      <c r="W45" s="1503">
        <f t="shared" si="14"/>
        <v>100</v>
      </c>
      <c r="X45" s="1504"/>
      <c r="Y45" s="3515"/>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15"/>
      <c r="Q46" s="1506">
        <f t="shared" si="11"/>
        <v>111</v>
      </c>
      <c r="R46" s="1507" t="s">
        <v>8</v>
      </c>
      <c r="S46" s="1508">
        <f t="shared" si="12"/>
        <v>100</v>
      </c>
      <c r="T46" s="1507" t="s">
        <v>8</v>
      </c>
      <c r="U46" s="1508">
        <f t="shared" si="13"/>
        <v>100</v>
      </c>
      <c r="V46" s="1507" t="s">
        <v>8</v>
      </c>
      <c r="W46" s="1508">
        <f t="shared" si="14"/>
        <v>100</v>
      </c>
      <c r="X46" s="1501"/>
      <c r="Y46" s="3515"/>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18"/>
      <c r="Q47" s="1506">
        <f t="shared" si="11"/>
        <v>111</v>
      </c>
      <c r="R47" s="1507" t="s">
        <v>8</v>
      </c>
      <c r="S47" s="1508">
        <f t="shared" si="12"/>
        <v>100</v>
      </c>
      <c r="T47" s="1507" t="s">
        <v>8</v>
      </c>
      <c r="U47" s="1508">
        <f t="shared" si="13"/>
        <v>100</v>
      </c>
      <c r="V47" s="1507" t="s">
        <v>8</v>
      </c>
      <c r="W47" s="1508">
        <f t="shared" si="14"/>
        <v>100</v>
      </c>
      <c r="X47" s="1501"/>
      <c r="Y47" s="3618"/>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532" t="str">
        <f>A48</f>
        <v>成交单价（元/平方米）</v>
      </c>
      <c r="Q48" s="3510"/>
      <c r="R48" s="3617">
        <f>E48</f>
        <v>0</v>
      </c>
      <c r="S48" s="3617"/>
      <c r="T48" s="3617">
        <f>G48</f>
        <v>0</v>
      </c>
      <c r="U48" s="3617"/>
      <c r="V48" s="3617">
        <f>I48</f>
        <v>0</v>
      </c>
      <c r="W48" s="3617"/>
      <c r="X48" s="1496"/>
      <c r="Y48" s="1515"/>
      <c r="Z48" s="1496"/>
      <c r="AA48" s="1496"/>
      <c r="AB48" s="1496"/>
      <c r="AC48" s="1496"/>
    </row>
    <row r="49" spans="1:29" ht="15.75" thickBot="1">
      <c r="A49" s="609" t="s">
        <v>2737</v>
      </c>
      <c r="B49" s="876"/>
      <c r="C49" s="2476" t="e">
        <f>R50</f>
        <v>#DIV/0!</v>
      </c>
      <c r="D49" s="3014" t="s">
        <v>2965</v>
      </c>
      <c r="E49" s="2477" t="e">
        <f>R49</f>
        <v>#DIV/0!</v>
      </c>
      <c r="F49" s="3015"/>
      <c r="G49" s="2476" t="e">
        <f>T49</f>
        <v>#DIV/0!</v>
      </c>
      <c r="H49" s="3015"/>
      <c r="I49" s="2477" t="e">
        <f>V49</f>
        <v>#DIV/0!</v>
      </c>
      <c r="J49" s="3015"/>
      <c r="K49" s="3023">
        <f>F49+H49+J49</f>
        <v>0</v>
      </c>
      <c r="L49" s="2026"/>
      <c r="M49" s="2016"/>
      <c r="N49" s="2016"/>
      <c r="O49" s="2016"/>
      <c r="P49" s="3532" t="str">
        <f>A49</f>
        <v>比较价格（元/平方米）</v>
      </c>
      <c r="Q49" s="3510"/>
      <c r="R49" s="3617" t="e">
        <f>IF(F1="售价",ROUND(PRODUCT(R48,AA7:AA47),0),ROUND(PRODUCT(R48,AA7:AA47),1))</f>
        <v>#DIV/0!</v>
      </c>
      <c r="S49" s="3617"/>
      <c r="T49" s="3617" t="e">
        <f>IF(F1="售价",ROUND(PRODUCT(T48,AB7:AB47),0),ROUND(PRODUCT(T48,AB7:AB47),1))</f>
        <v>#DIV/0!</v>
      </c>
      <c r="U49" s="3617"/>
      <c r="V49" s="3617" t="e">
        <f>IF(F1="售价",ROUND(PRODUCT(V48,AC7:AC47),0),ROUND(PRODUCT(V48,AC7:AC47),1))</f>
        <v>#DIV/0!</v>
      </c>
      <c r="W49" s="3617"/>
      <c r="X49" s="1496"/>
      <c r="Y49" s="1496"/>
      <c r="Z49" s="1496"/>
      <c r="AA49" s="1496"/>
      <c r="AB49" s="1496"/>
      <c r="AC49" s="1496"/>
    </row>
    <row r="50" spans="1:29" ht="15.75" thickBot="1">
      <c r="A50" s="613" t="s">
        <v>2896</v>
      </c>
      <c r="B50" s="614"/>
      <c r="C50" s="2478" t="e">
        <f>R50</f>
        <v>#DIV/0!</v>
      </c>
      <c r="D50" s="2478"/>
      <c r="E50" s="2478"/>
      <c r="F50" s="2478"/>
      <c r="G50" s="2478"/>
      <c r="H50" s="2478"/>
      <c r="I50" s="2478"/>
      <c r="J50" s="2478"/>
      <c r="K50" s="1541"/>
      <c r="L50" s="2026"/>
      <c r="M50" s="2016"/>
      <c r="N50" s="2016"/>
      <c r="O50" s="2016"/>
      <c r="P50" s="3622" t="str">
        <f>A50</f>
        <v>估价对象XX用房的比较价格（楼面单价，元/平方米）</v>
      </c>
      <c r="Q50" s="3532"/>
      <c r="R50" s="3616" t="e">
        <f>IF(F1="售价",ROUND(IF(D49="简单平均",AVERAGE(R49:V49),R49*F49+T49*H49+V49*J49),0),ROUND(IF(D49="简单平均",AVERAGE(R49:V49),R49*F49+T49*H49+V49*J49),1))</f>
        <v>#DIV/0!</v>
      </c>
      <c r="S50" s="3616"/>
      <c r="T50" s="3616"/>
      <c r="U50" s="3616"/>
      <c r="V50" s="3616"/>
      <c r="W50" s="3616"/>
      <c r="X50" s="1496"/>
      <c r="Y50" s="1496"/>
      <c r="Z50" s="1496"/>
      <c r="AA50" s="1496"/>
      <c r="AB50" s="1496"/>
      <c r="AC50" s="1496"/>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2020-8</v>
      </c>
      <c r="D59" s="2521">
        <f>EDATE(C59,-1)</f>
        <v>44013</v>
      </c>
      <c r="E59" s="2521">
        <f t="shared" ref="E59:O59" si="16">EDATE(D59,-1)</f>
        <v>43983</v>
      </c>
      <c r="F59" s="2521">
        <f t="shared" si="16"/>
        <v>43952</v>
      </c>
      <c r="G59" s="2521">
        <f t="shared" si="16"/>
        <v>43922</v>
      </c>
      <c r="H59" s="2521">
        <f t="shared" si="16"/>
        <v>43891</v>
      </c>
      <c r="I59" s="2521">
        <f t="shared" si="16"/>
        <v>43862</v>
      </c>
      <c r="J59" s="2521">
        <f t="shared" si="16"/>
        <v>43831</v>
      </c>
      <c r="K59" s="2521">
        <f t="shared" si="16"/>
        <v>43800</v>
      </c>
      <c r="L59" s="2521">
        <f t="shared" si="16"/>
        <v>43770</v>
      </c>
      <c r="M59" s="2521">
        <f t="shared" si="16"/>
        <v>43739</v>
      </c>
      <c r="N59" s="2521">
        <f t="shared" si="16"/>
        <v>43709</v>
      </c>
      <c r="O59" s="2521">
        <f t="shared" si="16"/>
        <v>43678</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2536</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2537</v>
      </c>
      <c r="C83" s="2442" t="s">
        <v>2538</v>
      </c>
      <c r="D83" s="2442" t="s">
        <v>2539</v>
      </c>
      <c r="E83" s="2442" t="s">
        <v>2540</v>
      </c>
      <c r="F83" s="2442" t="s">
        <v>2541</v>
      </c>
      <c r="G83" s="2442" t="s">
        <v>2542</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2535</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85" priority="19" stopIfTrue="1" operator="containsText" text="超过">
      <formula>NOT(ISERROR(SEARCH("超过",F53)))</formula>
    </cfRule>
  </conditionalFormatting>
  <conditionalFormatting sqref="H55">
    <cfRule type="containsText" dxfId="84" priority="18" stopIfTrue="1" operator="containsText" text="超过">
      <formula>NOT(ISERROR(SEARCH("超过",H55)))</formula>
    </cfRule>
  </conditionalFormatting>
  <conditionalFormatting sqref="F55">
    <cfRule type="containsText" dxfId="83" priority="17" stopIfTrue="1" operator="containsText" text="超过">
      <formula>NOT(ISERROR(SEARCH("超过",F55)))</formula>
    </cfRule>
  </conditionalFormatting>
  <conditionalFormatting sqref="F54 H54">
    <cfRule type="containsText" dxfId="82" priority="16" stopIfTrue="1" operator="containsText" text="超过">
      <formula>NOT(ISERROR(SEARCH("超过",F54)))</formula>
    </cfRule>
  </conditionalFormatting>
  <conditionalFormatting sqref="E53">
    <cfRule type="expression" dxfId="81" priority="15" stopIfTrue="1">
      <formula>$F$53="超过30%"</formula>
    </cfRule>
  </conditionalFormatting>
  <conditionalFormatting sqref="E54">
    <cfRule type="expression" dxfId="80" priority="14" stopIfTrue="1">
      <formula>$F$54="超过20%"</formula>
    </cfRule>
  </conditionalFormatting>
  <conditionalFormatting sqref="E55">
    <cfRule type="expression" dxfId="79" priority="13" stopIfTrue="1">
      <formula>$F$55="超过30%"</formula>
    </cfRule>
  </conditionalFormatting>
  <conditionalFormatting sqref="G55">
    <cfRule type="expression" dxfId="78" priority="12" stopIfTrue="1">
      <formula>$H$55="超过30%"</formula>
    </cfRule>
  </conditionalFormatting>
  <conditionalFormatting sqref="G53">
    <cfRule type="expression" dxfId="77" priority="11" stopIfTrue="1">
      <formula>$H$53="超过30%"</formula>
    </cfRule>
  </conditionalFormatting>
  <conditionalFormatting sqref="G54">
    <cfRule type="expression" dxfId="76" priority="10" stopIfTrue="1">
      <formula>$H$54="超过20%"</formula>
    </cfRule>
  </conditionalFormatting>
  <conditionalFormatting sqref="J53">
    <cfRule type="containsText" dxfId="75" priority="9" stopIfTrue="1" operator="containsText" text="超过">
      <formula>NOT(ISERROR(SEARCH("超过",J53)))</formula>
    </cfRule>
  </conditionalFormatting>
  <conditionalFormatting sqref="J55">
    <cfRule type="containsText" dxfId="74" priority="8" stopIfTrue="1" operator="containsText" text="超过">
      <formula>NOT(ISERROR(SEARCH("超过",J55)))</formula>
    </cfRule>
  </conditionalFormatting>
  <conditionalFormatting sqref="J54">
    <cfRule type="containsText" dxfId="73" priority="7" stopIfTrue="1" operator="containsText" text="超过">
      <formula>NOT(ISERROR(SEARCH("超过",J54)))</formula>
    </cfRule>
  </conditionalFormatting>
  <conditionalFormatting sqref="I53">
    <cfRule type="expression" dxfId="72" priority="6" stopIfTrue="1">
      <formula>$J$53="超过30%"</formula>
    </cfRule>
  </conditionalFormatting>
  <conditionalFormatting sqref="I54">
    <cfRule type="expression" dxfId="71" priority="5" stopIfTrue="1">
      <formula>$J$53+$J$54="超过20%"</formula>
    </cfRule>
  </conditionalFormatting>
  <conditionalFormatting sqref="I55">
    <cfRule type="expression" dxfId="70" priority="4" stopIfTrue="1">
      <formula>$J$55="超过30%"</formula>
    </cfRule>
  </conditionalFormatting>
  <conditionalFormatting sqref="F49">
    <cfRule type="expression" dxfId="69" priority="3">
      <formula>$D$49="简单平均"</formula>
    </cfRule>
  </conditionalFormatting>
  <conditionalFormatting sqref="H49">
    <cfRule type="expression" dxfId="68" priority="2">
      <formula>$D$49="简单平均"</formula>
    </cfRule>
  </conditionalFormatting>
  <conditionalFormatting sqref="J49">
    <cfRule type="expression" dxfId="67" priority="1">
      <formula>$D$49="简单平均"</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S52" sqref="S52"/>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16" t="s">
        <v>516</v>
      </c>
      <c r="D4" s="3517"/>
      <c r="E4" s="3541" t="s">
        <v>517</v>
      </c>
      <c r="F4" s="3542"/>
      <c r="G4" s="3516" t="s">
        <v>518</v>
      </c>
      <c r="H4" s="3517"/>
      <c r="I4" s="3516" t="s">
        <v>519</v>
      </c>
      <c r="J4" s="3517"/>
      <c r="K4" s="508" t="s">
        <v>520</v>
      </c>
      <c r="L4" s="2015"/>
      <c r="M4" s="2016"/>
      <c r="N4" s="2016"/>
      <c r="O4" s="2016"/>
      <c r="P4" s="3518" t="s">
        <v>521</v>
      </c>
      <c r="Q4" s="3519"/>
      <c r="R4" s="3504" t="s">
        <v>517</v>
      </c>
      <c r="S4" s="3505"/>
      <c r="T4" s="3504" t="s">
        <v>518</v>
      </c>
      <c r="U4" s="3505"/>
      <c r="V4" s="3524" t="s">
        <v>519</v>
      </c>
      <c r="W4" s="3524"/>
      <c r="X4" s="1501"/>
      <c r="Y4" s="3504" t="s">
        <v>521</v>
      </c>
      <c r="Z4" s="3505"/>
      <c r="AA4" s="3499" t="s">
        <v>517</v>
      </c>
      <c r="AB4" s="3500" t="s">
        <v>518</v>
      </c>
      <c r="AC4" s="3499" t="s">
        <v>519</v>
      </c>
    </row>
    <row r="5" spans="1:29" ht="15">
      <c r="A5" s="509"/>
      <c r="B5" s="510"/>
      <c r="C5" s="3527" t="s">
        <v>2890</v>
      </c>
      <c r="D5" s="3528"/>
      <c r="E5" s="3543" t="s">
        <v>2891</v>
      </c>
      <c r="F5" s="3544"/>
      <c r="G5" s="3527" t="s">
        <v>2892</v>
      </c>
      <c r="H5" s="3528"/>
      <c r="I5" s="3527" t="s">
        <v>2893</v>
      </c>
      <c r="J5" s="3528"/>
      <c r="K5" s="508"/>
      <c r="L5" s="2015"/>
      <c r="M5" s="2016"/>
      <c r="N5" s="2016"/>
      <c r="O5" s="2016"/>
      <c r="P5" s="3520"/>
      <c r="Q5" s="3521"/>
      <c r="R5" s="3506"/>
      <c r="S5" s="3507"/>
      <c r="T5" s="3506"/>
      <c r="U5" s="3507"/>
      <c r="V5" s="3524"/>
      <c r="W5" s="3524"/>
      <c r="X5" s="1501"/>
      <c r="Y5" s="3506"/>
      <c r="Z5" s="3507"/>
      <c r="AA5" s="3500"/>
      <c r="AB5" s="3500"/>
      <c r="AC5" s="3500"/>
    </row>
    <row r="6" spans="1:29" ht="15.75" thickBot="1">
      <c r="A6" s="511"/>
      <c r="B6" s="512"/>
      <c r="C6" s="3525" t="s">
        <v>2894</v>
      </c>
      <c r="D6" s="3526"/>
      <c r="E6" s="3545" t="s">
        <v>2894</v>
      </c>
      <c r="F6" s="3546"/>
      <c r="G6" s="3525" t="s">
        <v>2894</v>
      </c>
      <c r="H6" s="3526"/>
      <c r="I6" s="3525" t="s">
        <v>2894</v>
      </c>
      <c r="J6" s="3526"/>
      <c r="K6" s="508" t="s">
        <v>522</v>
      </c>
      <c r="L6" s="2015"/>
      <c r="M6" s="2016"/>
      <c r="N6" s="2016"/>
      <c r="O6" s="2016"/>
      <c r="P6" s="3522"/>
      <c r="Q6" s="3523"/>
      <c r="R6" s="3506"/>
      <c r="S6" s="3507"/>
      <c r="T6" s="3508"/>
      <c r="U6" s="3509"/>
      <c r="V6" s="3524"/>
      <c r="W6" s="3524"/>
      <c r="X6" s="1501"/>
      <c r="Y6" s="3508"/>
      <c r="Z6" s="3509"/>
      <c r="AA6" s="3501"/>
      <c r="AB6" s="3501"/>
      <c r="AC6" s="3501"/>
    </row>
    <row r="7" spans="1:29" s="1202" customFormat="1" ht="15.75" thickBot="1">
      <c r="A7" s="2629"/>
      <c r="B7" s="2636" t="s">
        <v>523</v>
      </c>
      <c r="C7" s="513">
        <f>'数据-取费表'!B2</f>
        <v>44062</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02" t="s">
        <v>524</v>
      </c>
      <c r="Q7" s="3511"/>
      <c r="R7" s="1502" t="s">
        <v>8</v>
      </c>
      <c r="S7" s="1503">
        <f t="shared" ref="S7:S15" si="0">F7</f>
        <v>0</v>
      </c>
      <c r="T7" s="1502" t="s">
        <v>8</v>
      </c>
      <c r="U7" s="1503">
        <f t="shared" ref="U7:U15" si="1">H7</f>
        <v>0</v>
      </c>
      <c r="V7" s="1502" t="s">
        <v>8</v>
      </c>
      <c r="W7" s="1503">
        <f t="shared" ref="W7:W15" si="2">J7</f>
        <v>0</v>
      </c>
      <c r="X7" s="1504"/>
      <c r="Y7" s="3502" t="s">
        <v>524</v>
      </c>
      <c r="Z7" s="3503"/>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02" t="s">
        <v>527</v>
      </c>
      <c r="Q8" s="3503"/>
      <c r="R8" s="1502" t="s">
        <v>8</v>
      </c>
      <c r="S8" s="1503">
        <f t="shared" si="0"/>
        <v>0</v>
      </c>
      <c r="T8" s="1502" t="s">
        <v>8</v>
      </c>
      <c r="U8" s="1503">
        <f t="shared" si="1"/>
        <v>0</v>
      </c>
      <c r="V8" s="1502" t="s">
        <v>8</v>
      </c>
      <c r="W8" s="1503">
        <f t="shared" si="2"/>
        <v>0</v>
      </c>
      <c r="X8" s="1504"/>
      <c r="Y8" s="3502" t="s">
        <v>527</v>
      </c>
      <c r="Z8" s="3503"/>
      <c r="AA8" s="1505" t="e">
        <f t="shared" ref="AA8:AA40" si="3">D8/F8</f>
        <v>#DIV/0!</v>
      </c>
      <c r="AB8" s="1505" t="e">
        <f t="shared" ref="AB8:AB40" si="4">D8/H8</f>
        <v>#DIV/0!</v>
      </c>
      <c r="AC8" s="1505" t="e">
        <f t="shared" ref="AC8:AC40" si="5">D8/J8</f>
        <v>#DIV/0!</v>
      </c>
    </row>
    <row r="9" spans="1:29" s="1202" customFormat="1" ht="15">
      <c r="A9" s="2631"/>
      <c r="B9" s="2638" t="s">
        <v>2733</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10" t="s">
        <v>529</v>
      </c>
      <c r="Q9" s="1133" t="str">
        <f t="shared" ref="Q9:Q15" si="6">B9</f>
        <v>用途</v>
      </c>
      <c r="R9" s="1502" t="s">
        <v>8</v>
      </c>
      <c r="S9" s="1503">
        <f t="shared" si="0"/>
        <v>100</v>
      </c>
      <c r="T9" s="1502" t="s">
        <v>8</v>
      </c>
      <c r="U9" s="1503">
        <f t="shared" si="1"/>
        <v>100</v>
      </c>
      <c r="V9" s="1502" t="s">
        <v>8</v>
      </c>
      <c r="W9" s="1503">
        <f t="shared" si="2"/>
        <v>100</v>
      </c>
      <c r="X9" s="1504"/>
      <c r="Y9" s="3461" t="s">
        <v>530</v>
      </c>
      <c r="Z9" s="1132" t="str">
        <f t="shared" ref="Z9:Z15" si="7">Q9</f>
        <v>用途</v>
      </c>
      <c r="AA9" s="1505">
        <f t="shared" si="3"/>
        <v>1</v>
      </c>
      <c r="AB9" s="1505">
        <f t="shared" si="4"/>
        <v>1</v>
      </c>
      <c r="AC9" s="1505">
        <f t="shared" si="5"/>
        <v>1</v>
      </c>
    </row>
    <row r="10" spans="1:29" s="1291" customFormat="1" ht="27">
      <c r="A10" s="2632"/>
      <c r="B10" s="2637" t="s">
        <v>2734</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10"/>
      <c r="Q10" s="1133" t="str">
        <f t="shared" si="6"/>
        <v>土地使用年限（年）</v>
      </c>
      <c r="R10" s="1502" t="s">
        <v>8</v>
      </c>
      <c r="S10" s="1503">
        <f t="shared" si="0"/>
        <v>100</v>
      </c>
      <c r="T10" s="1502" t="s">
        <v>8</v>
      </c>
      <c r="U10" s="1503">
        <f t="shared" si="1"/>
        <v>100</v>
      </c>
      <c r="V10" s="1502" t="s">
        <v>8</v>
      </c>
      <c r="W10" s="1503">
        <f t="shared" si="2"/>
        <v>100</v>
      </c>
      <c r="X10" s="1504"/>
      <c r="Y10" s="3461"/>
      <c r="Z10" s="1132" t="str">
        <f t="shared" si="7"/>
        <v>土地使用年限（年）</v>
      </c>
      <c r="AA10" s="1505">
        <f t="shared" si="3"/>
        <v>1</v>
      </c>
      <c r="AB10" s="1505">
        <f t="shared" si="4"/>
        <v>1</v>
      </c>
      <c r="AC10" s="1505">
        <f t="shared" si="5"/>
        <v>1</v>
      </c>
    </row>
    <row r="11" spans="1:29" ht="15">
      <c r="A11" s="2633"/>
      <c r="B11" s="2637" t="s">
        <v>2735</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10"/>
      <c r="Q11" s="1133" t="str">
        <f t="shared" si="6"/>
        <v>容积率</v>
      </c>
      <c r="R11" s="1502" t="s">
        <v>8</v>
      </c>
      <c r="S11" s="1503" t="e">
        <f t="shared" si="0"/>
        <v>#N/A</v>
      </c>
      <c r="T11" s="1502" t="s">
        <v>8</v>
      </c>
      <c r="U11" s="1503" t="e">
        <f t="shared" si="1"/>
        <v>#N/A</v>
      </c>
      <c r="V11" s="1502" t="s">
        <v>8</v>
      </c>
      <c r="W11" s="1503" t="e">
        <f t="shared" si="2"/>
        <v>#N/A</v>
      </c>
      <c r="X11" s="1504"/>
      <c r="Y11" s="3461"/>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510"/>
      <c r="Q12" s="1133">
        <f t="shared" si="6"/>
        <v>111</v>
      </c>
      <c r="R12" s="1502" t="s">
        <v>8</v>
      </c>
      <c r="S12" s="1503">
        <f t="shared" si="0"/>
        <v>100</v>
      </c>
      <c r="T12" s="1502" t="s">
        <v>8</v>
      </c>
      <c r="U12" s="1503">
        <f t="shared" si="1"/>
        <v>100</v>
      </c>
      <c r="V12" s="1502" t="s">
        <v>8</v>
      </c>
      <c r="W12" s="1503">
        <f t="shared" si="2"/>
        <v>100</v>
      </c>
      <c r="X12" s="1504"/>
      <c r="Y12" s="3461"/>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510"/>
      <c r="Q13" s="1133">
        <f t="shared" si="6"/>
        <v>111</v>
      </c>
      <c r="R13" s="1502" t="s">
        <v>8</v>
      </c>
      <c r="S13" s="1503">
        <f t="shared" si="0"/>
        <v>100</v>
      </c>
      <c r="T13" s="1502" t="s">
        <v>8</v>
      </c>
      <c r="U13" s="1503">
        <f t="shared" si="1"/>
        <v>100</v>
      </c>
      <c r="V13" s="1502" t="s">
        <v>8</v>
      </c>
      <c r="W13" s="1503">
        <f t="shared" si="2"/>
        <v>100</v>
      </c>
      <c r="X13" s="1504"/>
      <c r="Y13" s="3461"/>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510"/>
      <c r="Q14" s="1133">
        <f t="shared" si="6"/>
        <v>111</v>
      </c>
      <c r="R14" s="1502" t="s">
        <v>8</v>
      </c>
      <c r="S14" s="1503">
        <f t="shared" si="0"/>
        <v>100</v>
      </c>
      <c r="T14" s="1502" t="s">
        <v>8</v>
      </c>
      <c r="U14" s="1503">
        <f t="shared" si="1"/>
        <v>100</v>
      </c>
      <c r="V14" s="1502" t="s">
        <v>8</v>
      </c>
      <c r="W14" s="1503">
        <f t="shared" si="2"/>
        <v>100</v>
      </c>
      <c r="X14" s="1504"/>
      <c r="Y14" s="3461"/>
      <c r="Z14" s="1132">
        <f t="shared" si="7"/>
        <v>111</v>
      </c>
      <c r="AA14" s="1505">
        <f t="shared" si="3"/>
        <v>1</v>
      </c>
      <c r="AB14" s="1505">
        <f t="shared" si="4"/>
        <v>1</v>
      </c>
      <c r="AC14" s="1505">
        <f t="shared" si="5"/>
        <v>1</v>
      </c>
    </row>
    <row r="15" spans="1:29" ht="57">
      <c r="A15" s="2627" t="s">
        <v>2731</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512" t="s">
        <v>534</v>
      </c>
      <c r="Q15" s="1506" t="str">
        <f t="shared" si="6"/>
        <v>产业集聚程度</v>
      </c>
      <c r="R15" s="1507" t="s">
        <v>8</v>
      </c>
      <c r="S15" s="1508">
        <f t="shared" si="0"/>
        <v>100</v>
      </c>
      <c r="T15" s="1507" t="s">
        <v>8</v>
      </c>
      <c r="U15" s="1508">
        <f t="shared" si="1"/>
        <v>100</v>
      </c>
      <c r="V15" s="1507" t="s">
        <v>8</v>
      </c>
      <c r="W15" s="1508">
        <f t="shared" si="2"/>
        <v>100</v>
      </c>
      <c r="X15" s="1501"/>
      <c r="Y15" s="3512"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13"/>
      <c r="Q16" s="1506"/>
      <c r="R16" s="1507"/>
      <c r="S16" s="1508"/>
      <c r="T16" s="1507"/>
      <c r="U16" s="1508"/>
      <c r="V16" s="1507"/>
      <c r="W16" s="1508"/>
      <c r="X16" s="1501"/>
      <c r="Y16" s="3513"/>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513"/>
      <c r="Q17" s="1506" t="str">
        <f>B17</f>
        <v>交通便捷度</v>
      </c>
      <c r="R17" s="1507" t="s">
        <v>8</v>
      </c>
      <c r="S17" s="1508">
        <f>F17</f>
        <v>100</v>
      </c>
      <c r="T17" s="1507" t="s">
        <v>8</v>
      </c>
      <c r="U17" s="1508">
        <f>H17</f>
        <v>100</v>
      </c>
      <c r="V17" s="1507" t="s">
        <v>8</v>
      </c>
      <c r="W17" s="1508">
        <f>J17</f>
        <v>100</v>
      </c>
      <c r="X17" s="1501"/>
      <c r="Y17" s="3513"/>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13"/>
      <c r="Q18" s="1506"/>
      <c r="R18" s="1507"/>
      <c r="S18" s="1508"/>
      <c r="T18" s="1507"/>
      <c r="U18" s="1508"/>
      <c r="V18" s="1507"/>
      <c r="W18" s="1508"/>
      <c r="X18" s="1501"/>
      <c r="Y18" s="3513"/>
      <c r="Z18" s="1509"/>
      <c r="AA18" s="1510">
        <v>1</v>
      </c>
      <c r="AB18" s="1510">
        <v>1</v>
      </c>
      <c r="AC18" s="1510">
        <v>1</v>
      </c>
    </row>
    <row r="19" spans="1:29" ht="42.75">
      <c r="A19" s="526"/>
      <c r="B19" s="2447" t="s">
        <v>2525</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513"/>
      <c r="Q19" s="1506" t="str">
        <f>B19</f>
        <v>公共配套设施</v>
      </c>
      <c r="R19" s="1507" t="s">
        <v>8</v>
      </c>
      <c r="S19" s="1508">
        <f>F19</f>
        <v>100</v>
      </c>
      <c r="T19" s="1507" t="s">
        <v>8</v>
      </c>
      <c r="U19" s="1508">
        <f>H19</f>
        <v>100</v>
      </c>
      <c r="V19" s="1507" t="s">
        <v>8</v>
      </c>
      <c r="W19" s="1508">
        <f>J19</f>
        <v>100</v>
      </c>
      <c r="X19" s="1501"/>
      <c r="Y19" s="3513"/>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513"/>
      <c r="Q20" s="1506"/>
      <c r="R20" s="1507"/>
      <c r="S20" s="1508"/>
      <c r="T20" s="1507"/>
      <c r="U20" s="1508"/>
      <c r="V20" s="1507"/>
      <c r="W20" s="1508"/>
      <c r="X20" s="1501"/>
      <c r="Y20" s="3513"/>
      <c r="Z20" s="1509"/>
      <c r="AA20" s="1510">
        <v>1</v>
      </c>
      <c r="AB20" s="1510">
        <v>1</v>
      </c>
      <c r="AC20" s="1510">
        <v>1</v>
      </c>
    </row>
    <row r="21" spans="1:29" ht="28.5">
      <c r="A21" s="526"/>
      <c r="B21" s="2435" t="s">
        <v>2537</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513"/>
      <c r="Q21" s="2429" t="str">
        <f>B21</f>
        <v>基础设施水平</v>
      </c>
      <c r="R21" s="1507" t="s">
        <v>8</v>
      </c>
      <c r="S21" s="1508">
        <f>F21</f>
        <v>100</v>
      </c>
      <c r="T21" s="1507" t="s">
        <v>8</v>
      </c>
      <c r="U21" s="1508">
        <f>H21</f>
        <v>100</v>
      </c>
      <c r="V21" s="1507" t="s">
        <v>8</v>
      </c>
      <c r="W21" s="1508">
        <f>J21</f>
        <v>100</v>
      </c>
      <c r="X21" s="2431"/>
      <c r="Y21" s="3513"/>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13"/>
      <c r="Q22" s="2429"/>
      <c r="R22" s="1507"/>
      <c r="S22" s="1508"/>
      <c r="T22" s="1507"/>
      <c r="U22" s="1508"/>
      <c r="V22" s="1507"/>
      <c r="W22" s="1508"/>
      <c r="X22" s="2431"/>
      <c r="Y22" s="3513"/>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513"/>
      <c r="Q23" s="1506" t="str">
        <f>B23</f>
        <v>环境质量</v>
      </c>
      <c r="R23" s="1507" t="s">
        <v>8</v>
      </c>
      <c r="S23" s="1508">
        <f>F23</f>
        <v>100</v>
      </c>
      <c r="T23" s="1507" t="s">
        <v>8</v>
      </c>
      <c r="U23" s="1508">
        <f>H23</f>
        <v>100</v>
      </c>
      <c r="V23" s="1507" t="s">
        <v>8</v>
      </c>
      <c r="W23" s="1508">
        <f>J23</f>
        <v>100</v>
      </c>
      <c r="X23" s="1501"/>
      <c r="Y23" s="3513"/>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513"/>
      <c r="Q24" s="1506"/>
      <c r="R24" s="1507"/>
      <c r="S24" s="1508"/>
      <c r="T24" s="1507"/>
      <c r="U24" s="1508"/>
      <c r="V24" s="1507"/>
      <c r="W24" s="1508"/>
      <c r="X24" s="1501"/>
      <c r="Y24" s="3513"/>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13"/>
      <c r="Q25" s="1506">
        <f>B25</f>
        <v>111</v>
      </c>
      <c r="R25" s="1507" t="s">
        <v>8</v>
      </c>
      <c r="S25" s="1508">
        <f>F25</f>
        <v>100</v>
      </c>
      <c r="T25" s="1507" t="s">
        <v>8</v>
      </c>
      <c r="U25" s="1508">
        <f>H25</f>
        <v>100</v>
      </c>
      <c r="V25" s="1507" t="s">
        <v>8</v>
      </c>
      <c r="W25" s="1508">
        <f>J25</f>
        <v>100</v>
      </c>
      <c r="X25" s="1501"/>
      <c r="Y25" s="3513"/>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13"/>
      <c r="Q26" s="1506">
        <f t="shared" ref="Q26:Q40" si="11">B26</f>
        <v>111</v>
      </c>
      <c r="R26" s="1507" t="s">
        <v>8</v>
      </c>
      <c r="S26" s="1508">
        <f>F26</f>
        <v>100</v>
      </c>
      <c r="T26" s="1507" t="s">
        <v>8</v>
      </c>
      <c r="U26" s="1508">
        <f>H26</f>
        <v>100</v>
      </c>
      <c r="V26" s="1507" t="s">
        <v>8</v>
      </c>
      <c r="W26" s="1508">
        <f>J26</f>
        <v>100</v>
      </c>
      <c r="X26" s="1501"/>
      <c r="Y26" s="3513"/>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13"/>
      <c r="Q27" s="1133">
        <f t="shared" si="11"/>
        <v>111</v>
      </c>
      <c r="R27" s="1502" t="s">
        <v>8</v>
      </c>
      <c r="S27" s="1503">
        <f>F27</f>
        <v>100</v>
      </c>
      <c r="T27" s="1502" t="s">
        <v>8</v>
      </c>
      <c r="U27" s="1503">
        <f>H27</f>
        <v>100</v>
      </c>
      <c r="V27" s="1502" t="s">
        <v>8</v>
      </c>
      <c r="W27" s="1503">
        <f>J27</f>
        <v>100</v>
      </c>
      <c r="X27" s="1504"/>
      <c r="Y27" s="3513"/>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513"/>
      <c r="Q28" s="1506">
        <f t="shared" si="11"/>
        <v>111</v>
      </c>
      <c r="R28" s="1507" t="s">
        <v>8</v>
      </c>
      <c r="S28" s="1508">
        <f t="shared" ref="S28:S40" si="12">F28</f>
        <v>100</v>
      </c>
      <c r="T28" s="1507" t="s">
        <v>8</v>
      </c>
      <c r="U28" s="1508">
        <f t="shared" ref="U28:U40" si="13">H28</f>
        <v>100</v>
      </c>
      <c r="V28" s="1507" t="s">
        <v>8</v>
      </c>
      <c r="W28" s="1508">
        <f t="shared" ref="W28:W40" si="14">J28</f>
        <v>100</v>
      </c>
      <c r="X28" s="1501"/>
      <c r="Y28" s="3513"/>
      <c r="Z28" s="1509">
        <f t="shared" ref="Z28:Z40" si="15">Q28</f>
        <v>111</v>
      </c>
      <c r="AA28" s="1510">
        <f t="shared" si="3"/>
        <v>1</v>
      </c>
      <c r="AB28" s="1510">
        <f t="shared" si="4"/>
        <v>1</v>
      </c>
      <c r="AC28" s="1510">
        <f t="shared" si="5"/>
        <v>1</v>
      </c>
    </row>
    <row r="29" spans="1:29" ht="15">
      <c r="A29" s="2624" t="s">
        <v>2732</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514" t="s">
        <v>544</v>
      </c>
      <c r="Q29" s="1506" t="str">
        <f t="shared" si="11"/>
        <v>建筑类型</v>
      </c>
      <c r="R29" s="1507" t="s">
        <v>8</v>
      </c>
      <c r="S29" s="1508">
        <f t="shared" si="12"/>
        <v>100</v>
      </c>
      <c r="T29" s="1507" t="s">
        <v>8</v>
      </c>
      <c r="U29" s="1508">
        <f t="shared" si="13"/>
        <v>100</v>
      </c>
      <c r="V29" s="1507" t="s">
        <v>8</v>
      </c>
      <c r="W29" s="1508">
        <f t="shared" si="14"/>
        <v>100</v>
      </c>
      <c r="X29" s="1501"/>
      <c r="Y29" s="3515"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15"/>
      <c r="Q30" s="1535" t="str">
        <f t="shared" si="11"/>
        <v>项目建筑规模</v>
      </c>
      <c r="R30" s="1511" t="s">
        <v>8</v>
      </c>
      <c r="S30" s="1512" t="e">
        <f t="shared" si="12"/>
        <v>#N/A</v>
      </c>
      <c r="T30" s="1511" t="s">
        <v>8</v>
      </c>
      <c r="U30" s="1512" t="e">
        <f t="shared" si="13"/>
        <v>#N/A</v>
      </c>
      <c r="V30" s="1511" t="s">
        <v>8</v>
      </c>
      <c r="W30" s="1512" t="e">
        <f t="shared" si="14"/>
        <v>#N/A</v>
      </c>
      <c r="X30" s="1513"/>
      <c r="Y30" s="3515"/>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15"/>
      <c r="Q31" s="1506" t="str">
        <f t="shared" si="11"/>
        <v>建筑结构</v>
      </c>
      <c r="R31" s="1507" t="s">
        <v>8</v>
      </c>
      <c r="S31" s="1508">
        <f t="shared" si="12"/>
        <v>100</v>
      </c>
      <c r="T31" s="1507" t="s">
        <v>8</v>
      </c>
      <c r="U31" s="1508">
        <f t="shared" si="13"/>
        <v>100</v>
      </c>
      <c r="V31" s="1507" t="s">
        <v>8</v>
      </c>
      <c r="W31" s="1508">
        <f t="shared" si="14"/>
        <v>100</v>
      </c>
      <c r="X31" s="1501"/>
      <c r="Y31" s="3515"/>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15"/>
      <c r="Q32" s="1506" t="str">
        <f t="shared" si="11"/>
        <v>公共部分装修</v>
      </c>
      <c r="R32" s="1507" t="s">
        <v>8</v>
      </c>
      <c r="S32" s="1508">
        <f t="shared" si="12"/>
        <v>100</v>
      </c>
      <c r="T32" s="1507" t="s">
        <v>8</v>
      </c>
      <c r="U32" s="1508">
        <f t="shared" si="13"/>
        <v>100</v>
      </c>
      <c r="V32" s="1507" t="s">
        <v>8</v>
      </c>
      <c r="W32" s="1508">
        <f t="shared" si="14"/>
        <v>100</v>
      </c>
      <c r="X32" s="1501"/>
      <c r="Y32" s="3515"/>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515"/>
      <c r="Q33" s="1506" t="str">
        <f t="shared" si="11"/>
        <v>成新度</v>
      </c>
      <c r="R33" s="1507" t="s">
        <v>8</v>
      </c>
      <c r="S33" s="1508" t="e">
        <f t="shared" si="12"/>
        <v>#N/A</v>
      </c>
      <c r="T33" s="1507" t="s">
        <v>8</v>
      </c>
      <c r="U33" s="1508" t="e">
        <f t="shared" si="13"/>
        <v>#N/A</v>
      </c>
      <c r="V33" s="1507" t="s">
        <v>8</v>
      </c>
      <c r="W33" s="1508" t="e">
        <f t="shared" si="14"/>
        <v>#N/A</v>
      </c>
      <c r="X33" s="1501"/>
      <c r="Y33" s="3515"/>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15"/>
      <c r="Q34" s="1133" t="str">
        <f t="shared" si="11"/>
        <v>物业管理</v>
      </c>
      <c r="R34" s="1502" t="s">
        <v>8</v>
      </c>
      <c r="S34" s="1503">
        <f t="shared" si="12"/>
        <v>100</v>
      </c>
      <c r="T34" s="1502" t="s">
        <v>8</v>
      </c>
      <c r="U34" s="1503">
        <f t="shared" si="13"/>
        <v>100</v>
      </c>
      <c r="V34" s="1502" t="s">
        <v>8</v>
      </c>
      <c r="W34" s="1503">
        <f t="shared" si="14"/>
        <v>100</v>
      </c>
      <c r="X34" s="1504"/>
      <c r="Y34" s="3515"/>
      <c r="Z34" s="1132" t="str">
        <f t="shared" si="15"/>
        <v>物业管理</v>
      </c>
      <c r="AA34" s="1505">
        <f t="shared" si="3"/>
        <v>1</v>
      </c>
      <c r="AB34" s="1505">
        <f t="shared" si="4"/>
        <v>1</v>
      </c>
      <c r="AC34" s="1505">
        <f t="shared" si="5"/>
        <v>1</v>
      </c>
    </row>
    <row r="35" spans="1:29" ht="15">
      <c r="A35" s="588"/>
      <c r="B35" s="1809" t="s">
        <v>2544</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15" t="s">
        <v>544</v>
      </c>
      <c r="Q35" s="1506" t="str">
        <f t="shared" si="11"/>
        <v>市政基础设施</v>
      </c>
      <c r="R35" s="1507" t="s">
        <v>8</v>
      </c>
      <c r="S35" s="1508">
        <f t="shared" si="12"/>
        <v>100</v>
      </c>
      <c r="T35" s="1507" t="s">
        <v>8</v>
      </c>
      <c r="U35" s="1508">
        <f t="shared" si="13"/>
        <v>100</v>
      </c>
      <c r="V35" s="1507" t="s">
        <v>8</v>
      </c>
      <c r="W35" s="1508">
        <f t="shared" si="14"/>
        <v>100</v>
      </c>
      <c r="X35" s="1501"/>
      <c r="Y35" s="3515"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15"/>
      <c r="Q36" s="1506" t="str">
        <f t="shared" si="11"/>
        <v>内部装修</v>
      </c>
      <c r="R36" s="1507" t="s">
        <v>8</v>
      </c>
      <c r="S36" s="1508">
        <f t="shared" si="12"/>
        <v>100</v>
      </c>
      <c r="T36" s="1507" t="s">
        <v>8</v>
      </c>
      <c r="U36" s="1508">
        <f t="shared" si="13"/>
        <v>100</v>
      </c>
      <c r="V36" s="1507" t="s">
        <v>8</v>
      </c>
      <c r="W36" s="1508">
        <f t="shared" si="14"/>
        <v>100</v>
      </c>
      <c r="X36" s="1501"/>
      <c r="Y36" s="3515"/>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15"/>
      <c r="Q37" s="1506" t="str">
        <f t="shared" si="11"/>
        <v>内部装修状况</v>
      </c>
      <c r="R37" s="1507" t="s">
        <v>8</v>
      </c>
      <c r="S37" s="1508">
        <f t="shared" si="12"/>
        <v>100</v>
      </c>
      <c r="T37" s="1507" t="s">
        <v>8</v>
      </c>
      <c r="U37" s="1508">
        <f t="shared" si="13"/>
        <v>100</v>
      </c>
      <c r="V37" s="1507" t="s">
        <v>8</v>
      </c>
      <c r="W37" s="1508">
        <f t="shared" si="14"/>
        <v>100</v>
      </c>
      <c r="X37" s="1501"/>
      <c r="Y37" s="3515"/>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515"/>
      <c r="Q38" s="1535">
        <f t="shared" si="11"/>
        <v>111</v>
      </c>
      <c r="R38" s="1511" t="s">
        <v>8</v>
      </c>
      <c r="S38" s="1512">
        <f t="shared" si="12"/>
        <v>100</v>
      </c>
      <c r="T38" s="1511" t="s">
        <v>8</v>
      </c>
      <c r="U38" s="1512">
        <f t="shared" si="13"/>
        <v>100</v>
      </c>
      <c r="V38" s="1511" t="s">
        <v>8</v>
      </c>
      <c r="W38" s="1512">
        <f t="shared" si="14"/>
        <v>100</v>
      </c>
      <c r="X38" s="1513"/>
      <c r="Y38" s="3515"/>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515"/>
      <c r="Q39" s="1506">
        <f t="shared" si="11"/>
        <v>111</v>
      </c>
      <c r="R39" s="1507" t="s">
        <v>8</v>
      </c>
      <c r="S39" s="1508">
        <f t="shared" si="12"/>
        <v>100</v>
      </c>
      <c r="T39" s="1507" t="s">
        <v>8</v>
      </c>
      <c r="U39" s="1508">
        <f t="shared" si="13"/>
        <v>100</v>
      </c>
      <c r="V39" s="1507" t="s">
        <v>8</v>
      </c>
      <c r="W39" s="1508">
        <f t="shared" si="14"/>
        <v>100</v>
      </c>
      <c r="X39" s="1501"/>
      <c r="Y39" s="3515"/>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18"/>
      <c r="Q40" s="1506">
        <f t="shared" si="11"/>
        <v>111</v>
      </c>
      <c r="R40" s="1507" t="s">
        <v>8</v>
      </c>
      <c r="S40" s="1508">
        <f t="shared" si="12"/>
        <v>100</v>
      </c>
      <c r="T40" s="1507" t="s">
        <v>8</v>
      </c>
      <c r="U40" s="1508">
        <f t="shared" si="13"/>
        <v>100</v>
      </c>
      <c r="V40" s="1507" t="s">
        <v>8</v>
      </c>
      <c r="W40" s="1508">
        <f t="shared" si="14"/>
        <v>100</v>
      </c>
      <c r="X40" s="1501"/>
      <c r="Y40" s="3618"/>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510" t="str">
        <f>A41</f>
        <v>成交单价（元/平方米）</v>
      </c>
      <c r="Q41" s="3510"/>
      <c r="R41" s="3617">
        <f>E41</f>
        <v>0</v>
      </c>
      <c r="S41" s="3617"/>
      <c r="T41" s="3617">
        <f>G41</f>
        <v>0</v>
      </c>
      <c r="U41" s="3617"/>
      <c r="V41" s="3617">
        <f>I41</f>
        <v>0</v>
      </c>
      <c r="W41" s="3617"/>
      <c r="X41" s="1496"/>
      <c r="Y41" s="1515"/>
      <c r="Z41" s="1496"/>
      <c r="AA41" s="1496"/>
      <c r="AB41" s="1496"/>
      <c r="AC41" s="1496"/>
    </row>
    <row r="42" spans="1:29" ht="15.75" thickBot="1">
      <c r="A42" s="609" t="s">
        <v>2737</v>
      </c>
      <c r="B42" s="876"/>
      <c r="C42" s="2476" t="e">
        <f>R43</f>
        <v>#DIV/0!</v>
      </c>
      <c r="D42" s="3014" t="s">
        <v>2965</v>
      </c>
      <c r="E42" s="2477" t="e">
        <f>R42</f>
        <v>#DIV/0!</v>
      </c>
      <c r="F42" s="3015"/>
      <c r="G42" s="2476" t="e">
        <f>T42</f>
        <v>#DIV/0!</v>
      </c>
      <c r="H42" s="3015"/>
      <c r="I42" s="2477" t="e">
        <f>V42</f>
        <v>#DIV/0!</v>
      </c>
      <c r="J42" s="3015"/>
      <c r="K42" s="3023">
        <f>F42+H42+J42</f>
        <v>0</v>
      </c>
      <c r="L42" s="2026"/>
      <c r="M42" s="2027"/>
      <c r="N42" s="2016"/>
      <c r="O42" s="2027"/>
      <c r="P42" s="3510" t="str">
        <f>A42</f>
        <v>比较价格（元/平方米）</v>
      </c>
      <c r="Q42" s="3510"/>
      <c r="R42" s="3617" t="e">
        <f>IF(F1="售价",ROUND(PRODUCT(R41,AA7:AA40),0),ROUND(PRODUCT(R41,AA7:AA40),1))</f>
        <v>#DIV/0!</v>
      </c>
      <c r="S42" s="3617"/>
      <c r="T42" s="3617" t="e">
        <f>IF(F1="售价",ROUND(PRODUCT(T41,AB7:AB40),0),ROUND(PRODUCT(T41,AB7:AB40),1))</f>
        <v>#DIV/0!</v>
      </c>
      <c r="U42" s="3617"/>
      <c r="V42" s="3617" t="e">
        <f>IF(F1="售价",ROUND(PRODUCT(V41,AC7:AC40),0),ROUND(PRODUCT(V41,AC7:AC40),1))</f>
        <v>#DIV/0!</v>
      </c>
      <c r="W42" s="3617"/>
      <c r="X42" s="1496"/>
      <c r="Y42" s="1496"/>
      <c r="Z42" s="1496"/>
      <c r="AA42" s="1496"/>
      <c r="AB42" s="1496"/>
      <c r="AC42" s="1496"/>
    </row>
    <row r="43" spans="1:29" ht="15.75" thickBot="1">
      <c r="A43" s="613" t="s">
        <v>2896</v>
      </c>
      <c r="B43" s="614"/>
      <c r="C43" s="2478" t="e">
        <f>R43</f>
        <v>#DIV/0!</v>
      </c>
      <c r="D43" s="2478"/>
      <c r="E43" s="2478"/>
      <c r="F43" s="2478"/>
      <c r="G43" s="2478"/>
      <c r="H43" s="2478"/>
      <c r="I43" s="2478"/>
      <c r="J43" s="2478"/>
      <c r="K43" s="1541"/>
      <c r="L43" s="2026"/>
      <c r="M43" s="2027"/>
      <c r="N43" s="2027"/>
      <c r="O43" s="2027"/>
      <c r="P43" s="3531" t="str">
        <f>A43</f>
        <v>估价对象XX用房的比较价格（楼面单价，元/平方米）</v>
      </c>
      <c r="Q43" s="3532"/>
      <c r="R43" s="3616" t="e">
        <f>IF(F1="售价",ROUND(IF(D42="简单平均",AVERAGE(R42:V42),R42*F42+T42*H42+V42*J42),0),ROUND(IF(D42="简单平均",AVERAGE(R42:V42),R42*F42+T42*H42+V42*J42),1))</f>
        <v>#DIV/0!</v>
      </c>
      <c r="S43" s="3616"/>
      <c r="T43" s="3616"/>
      <c r="U43" s="3616"/>
      <c r="V43" s="3616"/>
      <c r="W43" s="3616"/>
      <c r="X43" s="1496"/>
      <c r="Y43" s="1496"/>
      <c r="Z43" s="1496"/>
      <c r="AA43" s="1496"/>
      <c r="AB43" s="1496"/>
      <c r="AC43" s="1496"/>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2020-8</v>
      </c>
      <c r="D52" s="2521">
        <f>EDATE(C52,-1)</f>
        <v>44013</v>
      </c>
      <c r="E52" s="2521">
        <f t="shared" ref="E52:O52" si="16">EDATE(D52,-1)</f>
        <v>43983</v>
      </c>
      <c r="F52" s="2521">
        <f t="shared" si="16"/>
        <v>43952</v>
      </c>
      <c r="G52" s="2521">
        <f t="shared" si="16"/>
        <v>43922</v>
      </c>
      <c r="H52" s="2521">
        <f t="shared" si="16"/>
        <v>43891</v>
      </c>
      <c r="I52" s="2521">
        <f t="shared" si="16"/>
        <v>43862</v>
      </c>
      <c r="J52" s="2521">
        <f t="shared" si="16"/>
        <v>43831</v>
      </c>
      <c r="K52" s="2521">
        <f t="shared" si="16"/>
        <v>43800</v>
      </c>
      <c r="L52" s="2521">
        <f t="shared" si="16"/>
        <v>43770</v>
      </c>
      <c r="M52" s="2521">
        <f t="shared" si="16"/>
        <v>43739</v>
      </c>
      <c r="N52" s="2521">
        <f t="shared" si="16"/>
        <v>43709</v>
      </c>
      <c r="O52" s="2521">
        <f t="shared" si="16"/>
        <v>43678</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2536</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2537</v>
      </c>
      <c r="C76" s="2442" t="s">
        <v>2538</v>
      </c>
      <c r="D76" s="2442" t="s">
        <v>2539</v>
      </c>
      <c r="E76" s="2442" t="s">
        <v>2540</v>
      </c>
      <c r="F76" s="2442" t="s">
        <v>2541</v>
      </c>
      <c r="G76" s="2442" t="s">
        <v>2542</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2535</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66" priority="19" stopIfTrue="1" operator="containsText" text="超过">
      <formula>NOT(ISERROR(SEARCH("超过",F46)))</formula>
    </cfRule>
  </conditionalFormatting>
  <conditionalFormatting sqref="H48">
    <cfRule type="containsText" dxfId="65" priority="18" stopIfTrue="1" operator="containsText" text="超过">
      <formula>NOT(ISERROR(SEARCH("超过",H48)))</formula>
    </cfRule>
  </conditionalFormatting>
  <conditionalFormatting sqref="F48">
    <cfRule type="containsText" dxfId="64" priority="17" stopIfTrue="1" operator="containsText" text="超过">
      <formula>NOT(ISERROR(SEARCH("超过",F48)))</formula>
    </cfRule>
  </conditionalFormatting>
  <conditionalFormatting sqref="F47 H47">
    <cfRule type="containsText" dxfId="63" priority="16" stopIfTrue="1" operator="containsText" text="超过">
      <formula>NOT(ISERROR(SEARCH("超过",F47)))</formula>
    </cfRule>
  </conditionalFormatting>
  <conditionalFormatting sqref="E46">
    <cfRule type="expression" dxfId="62" priority="15" stopIfTrue="1">
      <formula>$F$46="超过30%"</formula>
    </cfRule>
  </conditionalFormatting>
  <conditionalFormatting sqref="E47">
    <cfRule type="expression" dxfId="61" priority="14" stopIfTrue="1">
      <formula>$F$47="超过20%"</formula>
    </cfRule>
  </conditionalFormatting>
  <conditionalFormatting sqref="E48">
    <cfRule type="expression" dxfId="60" priority="13" stopIfTrue="1">
      <formula>$F$48="超过30%"</formula>
    </cfRule>
  </conditionalFormatting>
  <conditionalFormatting sqref="G48">
    <cfRule type="expression" dxfId="59" priority="12" stopIfTrue="1">
      <formula>$H$48="超过30%"</formula>
    </cfRule>
  </conditionalFormatting>
  <conditionalFormatting sqref="G46">
    <cfRule type="expression" dxfId="58" priority="11" stopIfTrue="1">
      <formula>$H$46="超过30%"</formula>
    </cfRule>
  </conditionalFormatting>
  <conditionalFormatting sqref="G47">
    <cfRule type="expression" dxfId="57" priority="10" stopIfTrue="1">
      <formula>$H$47="超过20%"</formula>
    </cfRule>
  </conditionalFormatting>
  <conditionalFormatting sqref="J46">
    <cfRule type="containsText" dxfId="56" priority="9" stopIfTrue="1" operator="containsText" text="超过">
      <formula>NOT(ISERROR(SEARCH("超过",J46)))</formula>
    </cfRule>
  </conditionalFormatting>
  <conditionalFormatting sqref="J48">
    <cfRule type="containsText" dxfId="55" priority="8" stopIfTrue="1" operator="containsText" text="超过">
      <formula>NOT(ISERROR(SEARCH("超过",J48)))</formula>
    </cfRule>
  </conditionalFormatting>
  <conditionalFormatting sqref="J47">
    <cfRule type="containsText" dxfId="54" priority="7" stopIfTrue="1" operator="containsText" text="超过">
      <formula>NOT(ISERROR(SEARCH("超过",J47)))</formula>
    </cfRule>
  </conditionalFormatting>
  <conditionalFormatting sqref="I46">
    <cfRule type="expression" dxfId="53" priority="6" stopIfTrue="1">
      <formula>$J$46="超过30%"</formula>
    </cfRule>
  </conditionalFormatting>
  <conditionalFormatting sqref="I47">
    <cfRule type="expression" dxfId="52" priority="5" stopIfTrue="1">
      <formula>$J$47="超过20%"</formula>
    </cfRule>
  </conditionalFormatting>
  <conditionalFormatting sqref="I48">
    <cfRule type="expression" dxfId="51" priority="4" stopIfTrue="1">
      <formula>$J$48="超过30%"</formula>
    </cfRule>
  </conditionalFormatting>
  <conditionalFormatting sqref="F42">
    <cfRule type="expression" dxfId="50" priority="3">
      <formula>$D$42="简单平均"</formula>
    </cfRule>
  </conditionalFormatting>
  <conditionalFormatting sqref="H42">
    <cfRule type="expression" dxfId="49" priority="2">
      <formula>$D$42="简单平均"</formula>
    </cfRule>
  </conditionalFormatting>
  <conditionalFormatting sqref="J42">
    <cfRule type="expression" dxfId="48" priority="1">
      <formula>$D$42="简单平均"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S52" sqref="S52"/>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789</v>
      </c>
      <c r="B3" s="504" t="e">
        <f>IF(B37="元/平方米",C39,ROUND(B2*10000/D3,0))</f>
        <v>#DIV/0!</v>
      </c>
      <c r="C3" s="841" t="s">
        <v>790</v>
      </c>
      <c r="D3" s="840">
        <f>SUMIF('数据-汇总表'!$C19:$C33,D1,'数据-汇总表'!$E19:$E33)</f>
        <v>0</v>
      </c>
      <c r="E3" s="1762" t="s">
        <v>2062</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16" t="s">
        <v>792</v>
      </c>
      <c r="D4" s="3517"/>
      <c r="E4" s="3516" t="s">
        <v>793</v>
      </c>
      <c r="F4" s="3517"/>
      <c r="G4" s="3516" t="s">
        <v>794</v>
      </c>
      <c r="H4" s="3517"/>
      <c r="I4" s="3516" t="s">
        <v>795</v>
      </c>
      <c r="J4" s="3517"/>
      <c r="K4" s="508" t="s">
        <v>796</v>
      </c>
      <c r="L4" s="2015"/>
      <c r="M4" s="2016"/>
      <c r="N4" s="2016"/>
      <c r="O4" s="2016"/>
      <c r="P4" s="3518" t="s">
        <v>797</v>
      </c>
      <c r="Q4" s="3519"/>
      <c r="R4" s="3504" t="s">
        <v>793</v>
      </c>
      <c r="S4" s="3505"/>
      <c r="T4" s="3504" t="s">
        <v>794</v>
      </c>
      <c r="U4" s="3505"/>
      <c r="V4" s="3524" t="s">
        <v>795</v>
      </c>
      <c r="W4" s="3524"/>
      <c r="X4" s="1501"/>
      <c r="Y4" s="3504" t="s">
        <v>797</v>
      </c>
      <c r="Z4" s="3505"/>
      <c r="AA4" s="3499" t="s">
        <v>793</v>
      </c>
      <c r="AB4" s="3500" t="s">
        <v>794</v>
      </c>
      <c r="AC4" s="3499" t="s">
        <v>795</v>
      </c>
    </row>
    <row r="5" spans="1:29" ht="15">
      <c r="A5" s="509"/>
      <c r="B5" s="510"/>
      <c r="C5" s="3527" t="s">
        <v>2890</v>
      </c>
      <c r="D5" s="3528"/>
      <c r="E5" s="3527" t="s">
        <v>2891</v>
      </c>
      <c r="F5" s="3528"/>
      <c r="G5" s="3527" t="s">
        <v>2892</v>
      </c>
      <c r="H5" s="3528"/>
      <c r="I5" s="3527" t="s">
        <v>2893</v>
      </c>
      <c r="J5" s="3528"/>
      <c r="K5" s="508"/>
      <c r="L5" s="2015"/>
      <c r="M5" s="2016"/>
      <c r="N5" s="2016"/>
      <c r="O5" s="2016"/>
      <c r="P5" s="3520"/>
      <c r="Q5" s="3521"/>
      <c r="R5" s="3506"/>
      <c r="S5" s="3507"/>
      <c r="T5" s="3506"/>
      <c r="U5" s="3507"/>
      <c r="V5" s="3524"/>
      <c r="W5" s="3524"/>
      <c r="X5" s="1501"/>
      <c r="Y5" s="3506"/>
      <c r="Z5" s="3507"/>
      <c r="AA5" s="3500"/>
      <c r="AB5" s="3500"/>
      <c r="AC5" s="3500"/>
    </row>
    <row r="6" spans="1:29" ht="15.75" thickBot="1">
      <c r="A6" s="511"/>
      <c r="B6" s="512"/>
      <c r="C6" s="3525" t="s">
        <v>2894</v>
      </c>
      <c r="D6" s="3526"/>
      <c r="E6" s="3529" t="s">
        <v>2894</v>
      </c>
      <c r="F6" s="3530"/>
      <c r="G6" s="3525" t="s">
        <v>2894</v>
      </c>
      <c r="H6" s="3526"/>
      <c r="I6" s="3525" t="s">
        <v>2894</v>
      </c>
      <c r="J6" s="3526"/>
      <c r="K6" s="508" t="s">
        <v>522</v>
      </c>
      <c r="L6" s="2015"/>
      <c r="M6" s="2016"/>
      <c r="N6" s="2016"/>
      <c r="O6" s="2016"/>
      <c r="P6" s="3522"/>
      <c r="Q6" s="3523"/>
      <c r="R6" s="3506"/>
      <c r="S6" s="3507"/>
      <c r="T6" s="3508"/>
      <c r="U6" s="3509"/>
      <c r="V6" s="3524"/>
      <c r="W6" s="3524"/>
      <c r="X6" s="1501"/>
      <c r="Y6" s="3508"/>
      <c r="Z6" s="3509"/>
      <c r="AA6" s="3501"/>
      <c r="AB6" s="3501"/>
      <c r="AC6" s="3501"/>
    </row>
    <row r="7" spans="1:29" s="1202" customFormat="1" ht="15.75" thickBot="1">
      <c r="A7" s="2629"/>
      <c r="B7" s="2636" t="s">
        <v>523</v>
      </c>
      <c r="C7" s="513">
        <f>'数据-取费表'!B2</f>
        <v>44062</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02" t="s">
        <v>524</v>
      </c>
      <c r="Q7" s="3511"/>
      <c r="R7" s="1502" t="s">
        <v>8</v>
      </c>
      <c r="S7" s="1503">
        <f t="shared" ref="S7:S14" si="0">F7</f>
        <v>0</v>
      </c>
      <c r="T7" s="1502" t="s">
        <v>8</v>
      </c>
      <c r="U7" s="1503">
        <f t="shared" ref="U7:U14" si="1">H7</f>
        <v>0</v>
      </c>
      <c r="V7" s="1502" t="s">
        <v>8</v>
      </c>
      <c r="W7" s="1503">
        <f t="shared" ref="W7:W14" si="2">J7</f>
        <v>0</v>
      </c>
      <c r="X7" s="1504"/>
      <c r="Y7" s="3502" t="s">
        <v>524</v>
      </c>
      <c r="Z7" s="3503"/>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02" t="s">
        <v>527</v>
      </c>
      <c r="Q8" s="3503"/>
      <c r="R8" s="1502" t="s">
        <v>8</v>
      </c>
      <c r="S8" s="1503">
        <f t="shared" si="0"/>
        <v>0</v>
      </c>
      <c r="T8" s="1502" t="s">
        <v>8</v>
      </c>
      <c r="U8" s="1503">
        <f t="shared" si="1"/>
        <v>0</v>
      </c>
      <c r="V8" s="1502" t="s">
        <v>8</v>
      </c>
      <c r="W8" s="1503">
        <f t="shared" si="2"/>
        <v>0</v>
      </c>
      <c r="X8" s="1504"/>
      <c r="Y8" s="3502" t="s">
        <v>527</v>
      </c>
      <c r="Z8" s="3503"/>
      <c r="AA8" s="1505" t="e">
        <f t="shared" ref="AA8:AA36" si="3">D8/F8</f>
        <v>#DIV/0!</v>
      </c>
      <c r="AB8" s="1505" t="e">
        <f t="shared" ref="AB8:AB36" si="4">D8/H8</f>
        <v>#DIV/0!</v>
      </c>
      <c r="AC8" s="1505" t="e">
        <f t="shared" ref="AC8:AC36" si="5">D8/J8</f>
        <v>#DIV/0!</v>
      </c>
    </row>
    <row r="9" spans="1:29" s="1202" customFormat="1" ht="15">
      <c r="A9" s="2631"/>
      <c r="B9" s="2638" t="s">
        <v>2733</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10" t="s">
        <v>529</v>
      </c>
      <c r="Q9" s="1133" t="str">
        <f t="shared" ref="Q9:Q14" si="6">B9</f>
        <v>用途</v>
      </c>
      <c r="R9" s="1502" t="s">
        <v>8</v>
      </c>
      <c r="S9" s="1503">
        <f t="shared" si="0"/>
        <v>100</v>
      </c>
      <c r="T9" s="1502" t="s">
        <v>8</v>
      </c>
      <c r="U9" s="1503">
        <f t="shared" si="1"/>
        <v>100</v>
      </c>
      <c r="V9" s="1502" t="s">
        <v>8</v>
      </c>
      <c r="W9" s="1503">
        <f t="shared" si="2"/>
        <v>100</v>
      </c>
      <c r="X9" s="1504"/>
      <c r="Y9" s="3461" t="s">
        <v>530</v>
      </c>
      <c r="Z9" s="1132" t="str">
        <f t="shared" ref="Z9:Z14" si="7">Q9</f>
        <v>用途</v>
      </c>
      <c r="AA9" s="1505">
        <f t="shared" si="3"/>
        <v>1</v>
      </c>
      <c r="AB9" s="1505">
        <f t="shared" si="4"/>
        <v>1</v>
      </c>
      <c r="AC9" s="1505">
        <f t="shared" si="5"/>
        <v>1</v>
      </c>
    </row>
    <row r="10" spans="1:29" s="1291" customFormat="1" ht="27">
      <c r="A10" s="2632"/>
      <c r="B10" s="2637" t="s">
        <v>2734</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10"/>
      <c r="Q10" s="1133" t="str">
        <f t="shared" si="6"/>
        <v>土地使用年限（年）</v>
      </c>
      <c r="R10" s="1502" t="s">
        <v>8</v>
      </c>
      <c r="S10" s="1503">
        <f t="shared" si="0"/>
        <v>100</v>
      </c>
      <c r="T10" s="1502" t="s">
        <v>8</v>
      </c>
      <c r="U10" s="1503">
        <f t="shared" si="1"/>
        <v>100</v>
      </c>
      <c r="V10" s="1502" t="s">
        <v>8</v>
      </c>
      <c r="W10" s="1503">
        <f t="shared" si="2"/>
        <v>100</v>
      </c>
      <c r="X10" s="1504"/>
      <c r="Y10" s="3461"/>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10"/>
      <c r="Q11" s="1133">
        <f t="shared" si="6"/>
        <v>111</v>
      </c>
      <c r="R11" s="1502" t="s">
        <v>8</v>
      </c>
      <c r="S11" s="1503">
        <f t="shared" si="0"/>
        <v>100</v>
      </c>
      <c r="T11" s="1502" t="s">
        <v>8</v>
      </c>
      <c r="U11" s="1503">
        <f t="shared" si="1"/>
        <v>100</v>
      </c>
      <c r="V11" s="1502" t="s">
        <v>8</v>
      </c>
      <c r="W11" s="1503">
        <f t="shared" si="2"/>
        <v>100</v>
      </c>
      <c r="X11" s="1504"/>
      <c r="Y11" s="3461"/>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10"/>
      <c r="Q12" s="1133">
        <f t="shared" si="6"/>
        <v>111</v>
      </c>
      <c r="R12" s="1502" t="s">
        <v>8</v>
      </c>
      <c r="S12" s="1503">
        <f t="shared" si="0"/>
        <v>100</v>
      </c>
      <c r="T12" s="1502" t="s">
        <v>8</v>
      </c>
      <c r="U12" s="1503">
        <f t="shared" si="1"/>
        <v>100</v>
      </c>
      <c r="V12" s="1502" t="s">
        <v>8</v>
      </c>
      <c r="W12" s="1503">
        <f t="shared" si="2"/>
        <v>100</v>
      </c>
      <c r="X12" s="1504"/>
      <c r="Y12" s="3461"/>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10"/>
      <c r="Q13" s="1133">
        <f t="shared" si="6"/>
        <v>111</v>
      </c>
      <c r="R13" s="1502" t="s">
        <v>8</v>
      </c>
      <c r="S13" s="1503">
        <f t="shared" si="0"/>
        <v>100</v>
      </c>
      <c r="T13" s="1502" t="s">
        <v>8</v>
      </c>
      <c r="U13" s="1503">
        <f t="shared" si="1"/>
        <v>100</v>
      </c>
      <c r="V13" s="1502" t="s">
        <v>8</v>
      </c>
      <c r="W13" s="1503">
        <f t="shared" si="2"/>
        <v>100</v>
      </c>
      <c r="X13" s="1504"/>
      <c r="Y13" s="3461"/>
      <c r="Z13" s="1132">
        <f t="shared" si="7"/>
        <v>111</v>
      </c>
      <c r="AA13" s="1505">
        <f t="shared" si="3"/>
        <v>1</v>
      </c>
      <c r="AB13" s="1505">
        <f t="shared" si="4"/>
        <v>1</v>
      </c>
      <c r="AC13" s="1505">
        <f t="shared" si="5"/>
        <v>1</v>
      </c>
    </row>
    <row r="14" spans="1:29" ht="85.5">
      <c r="A14" s="2627" t="s">
        <v>2731</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512" t="s">
        <v>534</v>
      </c>
      <c r="Q14" s="1506" t="str">
        <f t="shared" si="6"/>
        <v>交通便捷度</v>
      </c>
      <c r="R14" s="1507" t="s">
        <v>8</v>
      </c>
      <c r="S14" s="1508">
        <f t="shared" si="0"/>
        <v>100</v>
      </c>
      <c r="T14" s="1507" t="s">
        <v>8</v>
      </c>
      <c r="U14" s="1508">
        <f t="shared" si="1"/>
        <v>100</v>
      </c>
      <c r="V14" s="1507" t="s">
        <v>8</v>
      </c>
      <c r="W14" s="1508">
        <f t="shared" si="2"/>
        <v>100</v>
      </c>
      <c r="X14" s="1501"/>
      <c r="Y14" s="3512"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513"/>
      <c r="Q15" s="1506"/>
      <c r="R15" s="1507"/>
      <c r="S15" s="1508"/>
      <c r="T15" s="1507"/>
      <c r="U15" s="1508"/>
      <c r="V15" s="1507"/>
      <c r="W15" s="1508"/>
      <c r="X15" s="1501"/>
      <c r="Y15" s="3513"/>
      <c r="Z15" s="1509"/>
      <c r="AA15" s="1510">
        <v>1</v>
      </c>
      <c r="AB15" s="1510">
        <v>1</v>
      </c>
      <c r="AC15" s="1510">
        <v>1</v>
      </c>
    </row>
    <row r="16" spans="1:29" ht="42.75">
      <c r="A16" s="509"/>
      <c r="B16" s="2447" t="s">
        <v>2525</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513"/>
      <c r="Q16" s="1506" t="str">
        <f>B16</f>
        <v>公共配套设施</v>
      </c>
      <c r="R16" s="1507" t="s">
        <v>8</v>
      </c>
      <c r="S16" s="1508">
        <f>F16</f>
        <v>100</v>
      </c>
      <c r="T16" s="1507" t="s">
        <v>8</v>
      </c>
      <c r="U16" s="1508">
        <f>H16</f>
        <v>100</v>
      </c>
      <c r="V16" s="1507" t="s">
        <v>8</v>
      </c>
      <c r="W16" s="1508">
        <f>J16</f>
        <v>100</v>
      </c>
      <c r="X16" s="1501"/>
      <c r="Y16" s="3513"/>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513"/>
      <c r="Q17" s="1506"/>
      <c r="R17" s="1507"/>
      <c r="S17" s="1508"/>
      <c r="T17" s="1507"/>
      <c r="U17" s="1508"/>
      <c r="V17" s="1507"/>
      <c r="W17" s="1508"/>
      <c r="X17" s="1501"/>
      <c r="Y17" s="3513"/>
      <c r="Z17" s="1509"/>
      <c r="AA17" s="1510">
        <v>1</v>
      </c>
      <c r="AB17" s="1510">
        <v>1</v>
      </c>
      <c r="AC17" s="1510">
        <v>1</v>
      </c>
    </row>
    <row r="18" spans="1:29" ht="28.5">
      <c r="A18" s="509"/>
      <c r="B18" s="2435" t="s">
        <v>2537</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513"/>
      <c r="Q18" s="2429" t="str">
        <f>B18</f>
        <v>基础设施水平</v>
      </c>
      <c r="R18" s="1507" t="s">
        <v>8</v>
      </c>
      <c r="S18" s="1508">
        <f>F18</f>
        <v>100</v>
      </c>
      <c r="T18" s="1507" t="s">
        <v>8</v>
      </c>
      <c r="U18" s="1508">
        <f>H18</f>
        <v>100</v>
      </c>
      <c r="V18" s="1507" t="s">
        <v>8</v>
      </c>
      <c r="W18" s="1508">
        <f>J18</f>
        <v>100</v>
      </c>
      <c r="X18" s="2431"/>
      <c r="Y18" s="3513"/>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13"/>
      <c r="Q19" s="2429"/>
      <c r="R19" s="1507"/>
      <c r="S19" s="1508"/>
      <c r="T19" s="1507"/>
      <c r="U19" s="1508"/>
      <c r="V19" s="1507"/>
      <c r="W19" s="1508"/>
      <c r="X19" s="2431"/>
      <c r="Y19" s="3513"/>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513"/>
      <c r="Q20" s="1506" t="str">
        <f>B20</f>
        <v>自然及人文环境</v>
      </c>
      <c r="R20" s="1507" t="s">
        <v>8</v>
      </c>
      <c r="S20" s="1508">
        <f>F20</f>
        <v>100</v>
      </c>
      <c r="T20" s="1507" t="s">
        <v>8</v>
      </c>
      <c r="U20" s="1508">
        <f>H20</f>
        <v>100</v>
      </c>
      <c r="V20" s="1507" t="s">
        <v>8</v>
      </c>
      <c r="W20" s="1508">
        <f>J20</f>
        <v>100</v>
      </c>
      <c r="X20" s="1501"/>
      <c r="Y20" s="3513"/>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513"/>
      <c r="Q21" s="1506"/>
      <c r="R21" s="1507"/>
      <c r="S21" s="1508"/>
      <c r="T21" s="1507"/>
      <c r="U21" s="1508"/>
      <c r="V21" s="1507"/>
      <c r="W21" s="1508"/>
      <c r="X21" s="1501"/>
      <c r="Y21" s="3513"/>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13"/>
      <c r="Q22" s="1506" t="str">
        <f>B22</f>
        <v>楼层</v>
      </c>
      <c r="R22" s="1507" t="s">
        <v>8</v>
      </c>
      <c r="S22" s="1508">
        <f>F22</f>
        <v>100</v>
      </c>
      <c r="T22" s="1507" t="s">
        <v>8</v>
      </c>
      <c r="U22" s="1508">
        <f>H22</f>
        <v>100</v>
      </c>
      <c r="V22" s="1507" t="s">
        <v>8</v>
      </c>
      <c r="W22" s="1508">
        <f>J22</f>
        <v>100</v>
      </c>
      <c r="X22" s="1501"/>
      <c r="Y22" s="3513"/>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13"/>
      <c r="Q23" s="1506">
        <f>B23</f>
        <v>111</v>
      </c>
      <c r="R23" s="1507" t="s">
        <v>8</v>
      </c>
      <c r="S23" s="1508">
        <f>F23</f>
        <v>100</v>
      </c>
      <c r="T23" s="1507" t="s">
        <v>8</v>
      </c>
      <c r="U23" s="1508">
        <f>H23</f>
        <v>100</v>
      </c>
      <c r="V23" s="1507" t="s">
        <v>8</v>
      </c>
      <c r="W23" s="1508">
        <f>J23</f>
        <v>100</v>
      </c>
      <c r="X23" s="1501"/>
      <c r="Y23" s="3513"/>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13"/>
      <c r="Q24" s="1506">
        <f t="shared" ref="Q24:Q36" si="11">B24</f>
        <v>111</v>
      </c>
      <c r="R24" s="1507" t="s">
        <v>8</v>
      </c>
      <c r="S24" s="1508">
        <f>F24</f>
        <v>100</v>
      </c>
      <c r="T24" s="1507" t="s">
        <v>8</v>
      </c>
      <c r="U24" s="1508">
        <f>H24</f>
        <v>100</v>
      </c>
      <c r="V24" s="1507" t="s">
        <v>8</v>
      </c>
      <c r="W24" s="1508">
        <f>J24</f>
        <v>100</v>
      </c>
      <c r="X24" s="1501"/>
      <c r="Y24" s="3513"/>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513"/>
      <c r="Q25" s="1133">
        <f t="shared" si="11"/>
        <v>111</v>
      </c>
      <c r="R25" s="1502" t="s">
        <v>8</v>
      </c>
      <c r="S25" s="1503">
        <f>F25</f>
        <v>100</v>
      </c>
      <c r="T25" s="1502" t="s">
        <v>8</v>
      </c>
      <c r="U25" s="1503">
        <f>H25</f>
        <v>100</v>
      </c>
      <c r="V25" s="1502" t="s">
        <v>8</v>
      </c>
      <c r="W25" s="1503">
        <f>J25</f>
        <v>100</v>
      </c>
      <c r="X25" s="1504"/>
      <c r="Y25" s="3513"/>
      <c r="Z25" s="1132">
        <f>Q25</f>
        <v>111</v>
      </c>
      <c r="AA25" s="1510">
        <f>D25/F25</f>
        <v>1</v>
      </c>
      <c r="AB25" s="1510">
        <f>D25/H25</f>
        <v>1</v>
      </c>
      <c r="AC25" s="1510">
        <f>D25/J25</f>
        <v>1</v>
      </c>
    </row>
    <row r="26" spans="1:29" ht="15">
      <c r="A26" s="2624" t="s">
        <v>2732</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14"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15"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515"/>
      <c r="Q27" s="1535" t="str">
        <f t="shared" si="11"/>
        <v>项目停车位配比</v>
      </c>
      <c r="R27" s="1511" t="s">
        <v>8</v>
      </c>
      <c r="S27" s="1512">
        <f t="shared" si="12"/>
        <v>100</v>
      </c>
      <c r="T27" s="1511" t="s">
        <v>8</v>
      </c>
      <c r="U27" s="1512">
        <f t="shared" si="13"/>
        <v>100</v>
      </c>
      <c r="V27" s="1511" t="s">
        <v>8</v>
      </c>
      <c r="W27" s="1512">
        <f t="shared" si="14"/>
        <v>100</v>
      </c>
      <c r="X27" s="1513"/>
      <c r="Y27" s="3515"/>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15"/>
      <c r="Q28" s="1506" t="str">
        <f t="shared" si="11"/>
        <v>公共部分装修</v>
      </c>
      <c r="R28" s="1507" t="s">
        <v>8</v>
      </c>
      <c r="S28" s="1508">
        <f t="shared" si="12"/>
        <v>100</v>
      </c>
      <c r="T28" s="1507" t="s">
        <v>8</v>
      </c>
      <c r="U28" s="1508">
        <f t="shared" si="13"/>
        <v>100</v>
      </c>
      <c r="V28" s="1507" t="s">
        <v>8</v>
      </c>
      <c r="W28" s="1508">
        <f t="shared" si="14"/>
        <v>100</v>
      </c>
      <c r="X28" s="1501"/>
      <c r="Y28" s="3515"/>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515"/>
      <c r="Q29" s="1506" t="str">
        <f t="shared" si="11"/>
        <v>成新率</v>
      </c>
      <c r="R29" s="1507" t="s">
        <v>8</v>
      </c>
      <c r="S29" s="1508" t="e">
        <f t="shared" si="12"/>
        <v>#N/A</v>
      </c>
      <c r="T29" s="1507" t="s">
        <v>8</v>
      </c>
      <c r="U29" s="1508" t="e">
        <f t="shared" si="13"/>
        <v>#N/A</v>
      </c>
      <c r="V29" s="1507" t="s">
        <v>8</v>
      </c>
      <c r="W29" s="1508" t="e">
        <f t="shared" si="14"/>
        <v>#N/A</v>
      </c>
      <c r="X29" s="1501"/>
      <c r="Y29" s="3515"/>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515"/>
      <c r="Q30" s="1506" t="str">
        <f t="shared" si="11"/>
        <v>物业等级</v>
      </c>
      <c r="R30" s="1507" t="s">
        <v>8</v>
      </c>
      <c r="S30" s="1508">
        <f t="shared" si="12"/>
        <v>100</v>
      </c>
      <c r="T30" s="1507" t="s">
        <v>8</v>
      </c>
      <c r="U30" s="1508">
        <f t="shared" si="13"/>
        <v>100</v>
      </c>
      <c r="V30" s="1507" t="s">
        <v>8</v>
      </c>
      <c r="W30" s="1508">
        <f t="shared" si="14"/>
        <v>100</v>
      </c>
      <c r="X30" s="1501"/>
      <c r="Y30" s="3515"/>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515"/>
      <c r="Q31" s="1133" t="str">
        <f t="shared" si="11"/>
        <v>停车位面积</v>
      </c>
      <c r="R31" s="1502" t="s">
        <v>8</v>
      </c>
      <c r="S31" s="1503" t="e">
        <f t="shared" si="12"/>
        <v>#N/A</v>
      </c>
      <c r="T31" s="1502" t="s">
        <v>8</v>
      </c>
      <c r="U31" s="1503" t="e">
        <f t="shared" si="13"/>
        <v>#N/A</v>
      </c>
      <c r="V31" s="1502" t="s">
        <v>8</v>
      </c>
      <c r="W31" s="1503" t="e">
        <f t="shared" si="14"/>
        <v>#N/A</v>
      </c>
      <c r="X31" s="1504"/>
      <c r="Y31" s="3515"/>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15" t="s">
        <v>544</v>
      </c>
      <c r="Q32" s="1506" t="str">
        <f t="shared" si="11"/>
        <v>车位类型</v>
      </c>
      <c r="R32" s="1507" t="s">
        <v>8</v>
      </c>
      <c r="S32" s="1508">
        <f t="shared" si="12"/>
        <v>100</v>
      </c>
      <c r="T32" s="1507" t="s">
        <v>8</v>
      </c>
      <c r="U32" s="1508">
        <f t="shared" si="13"/>
        <v>100</v>
      </c>
      <c r="V32" s="1507" t="s">
        <v>8</v>
      </c>
      <c r="W32" s="1508">
        <f t="shared" si="14"/>
        <v>100</v>
      </c>
      <c r="X32" s="1501"/>
      <c r="Y32" s="3515"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15"/>
      <c r="Q33" s="1506" t="str">
        <f t="shared" si="11"/>
        <v>是否直接入户</v>
      </c>
      <c r="R33" s="1507" t="s">
        <v>8</v>
      </c>
      <c r="S33" s="1508">
        <f t="shared" si="12"/>
        <v>100</v>
      </c>
      <c r="T33" s="1507" t="s">
        <v>8</v>
      </c>
      <c r="U33" s="1508">
        <f t="shared" si="13"/>
        <v>100</v>
      </c>
      <c r="V33" s="1507" t="s">
        <v>8</v>
      </c>
      <c r="W33" s="1508">
        <f t="shared" si="14"/>
        <v>100</v>
      </c>
      <c r="X33" s="1501"/>
      <c r="Y33" s="3515"/>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15"/>
      <c r="Q34" s="1506">
        <f t="shared" si="11"/>
        <v>111</v>
      </c>
      <c r="R34" s="1507" t="s">
        <v>8</v>
      </c>
      <c r="S34" s="1508">
        <f t="shared" si="12"/>
        <v>100</v>
      </c>
      <c r="T34" s="1507" t="s">
        <v>8</v>
      </c>
      <c r="U34" s="1508">
        <f t="shared" si="13"/>
        <v>100</v>
      </c>
      <c r="V34" s="1507" t="s">
        <v>8</v>
      </c>
      <c r="W34" s="1508">
        <f t="shared" si="14"/>
        <v>100</v>
      </c>
      <c r="X34" s="1501"/>
      <c r="Y34" s="3515"/>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15"/>
      <c r="Q35" s="1535">
        <f t="shared" si="11"/>
        <v>111</v>
      </c>
      <c r="R35" s="1511" t="s">
        <v>8</v>
      </c>
      <c r="S35" s="1512">
        <f t="shared" si="12"/>
        <v>100</v>
      </c>
      <c r="T35" s="1511" t="s">
        <v>8</v>
      </c>
      <c r="U35" s="1512">
        <f t="shared" si="13"/>
        <v>100</v>
      </c>
      <c r="V35" s="1511" t="s">
        <v>8</v>
      </c>
      <c r="W35" s="1512">
        <f t="shared" si="14"/>
        <v>100</v>
      </c>
      <c r="X35" s="1513"/>
      <c r="Y35" s="3515"/>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15"/>
      <c r="Q36" s="1506">
        <f t="shared" si="11"/>
        <v>111</v>
      </c>
      <c r="R36" s="1507" t="s">
        <v>8</v>
      </c>
      <c r="S36" s="1508">
        <f t="shared" si="12"/>
        <v>100</v>
      </c>
      <c r="T36" s="1507" t="s">
        <v>8</v>
      </c>
      <c r="U36" s="1508">
        <f t="shared" si="13"/>
        <v>100</v>
      </c>
      <c r="V36" s="1507" t="s">
        <v>8</v>
      </c>
      <c r="W36" s="1508">
        <f t="shared" si="14"/>
        <v>100</v>
      </c>
      <c r="X36" s="1501"/>
      <c r="Y36" s="3515"/>
      <c r="Z36" s="1509">
        <f t="shared" si="15"/>
        <v>111</v>
      </c>
      <c r="AA36" s="1510">
        <f t="shared" si="3"/>
        <v>1</v>
      </c>
      <c r="AB36" s="1510">
        <f t="shared" si="4"/>
        <v>1</v>
      </c>
      <c r="AC36" s="1510">
        <f t="shared" si="5"/>
        <v>1</v>
      </c>
    </row>
    <row r="37" spans="1:29" ht="15">
      <c r="A37" s="1760" t="s">
        <v>2063</v>
      </c>
      <c r="B37" s="1761" t="s">
        <v>2064</v>
      </c>
      <c r="C37" s="2470" t="s">
        <v>1</v>
      </c>
      <c r="D37" s="2471"/>
      <c r="E37" s="2472"/>
      <c r="F37" s="2473"/>
      <c r="G37" s="2474"/>
      <c r="H37" s="2475"/>
      <c r="I37" s="2472"/>
      <c r="J37" s="2475"/>
      <c r="K37" s="1540"/>
      <c r="L37" s="2026"/>
      <c r="M37" s="2027"/>
      <c r="N37" s="2016"/>
      <c r="O37" s="2027"/>
      <c r="P37" s="3510" t="str">
        <f>A37</f>
        <v>成交单价</v>
      </c>
      <c r="Q37" s="3510"/>
      <c r="R37" s="3617">
        <f>E37</f>
        <v>0</v>
      </c>
      <c r="S37" s="3617"/>
      <c r="T37" s="3617">
        <f>G37</f>
        <v>0</v>
      </c>
      <c r="U37" s="3617"/>
      <c r="V37" s="3617">
        <f>I37</f>
        <v>0</v>
      </c>
      <c r="W37" s="3617"/>
      <c r="X37" s="1496"/>
      <c r="Y37" s="1515"/>
      <c r="Z37" s="1496"/>
      <c r="AA37" s="1496"/>
      <c r="AB37" s="1496"/>
      <c r="AC37" s="1496"/>
    </row>
    <row r="38" spans="1:29" ht="15.75" thickBot="1">
      <c r="A38" s="609" t="s">
        <v>2737</v>
      </c>
      <c r="B38" s="876"/>
      <c r="C38" s="2476" t="e">
        <f>R39</f>
        <v>#DIV/0!</v>
      </c>
      <c r="D38" s="3014" t="s">
        <v>2965</v>
      </c>
      <c r="E38" s="2477" t="e">
        <f>R38</f>
        <v>#DIV/0!</v>
      </c>
      <c r="F38" s="3015"/>
      <c r="G38" s="2476" t="e">
        <f>T38</f>
        <v>#DIV/0!</v>
      </c>
      <c r="H38" s="3015"/>
      <c r="I38" s="2477" t="e">
        <f>V38</f>
        <v>#DIV/0!</v>
      </c>
      <c r="J38" s="3015"/>
      <c r="K38" s="3023">
        <f>F38+H38+J38</f>
        <v>0</v>
      </c>
      <c r="L38" s="2026"/>
      <c r="M38" s="2027"/>
      <c r="N38" s="2027"/>
      <c r="O38" s="2027"/>
      <c r="P38" s="3510" t="str">
        <f>A38</f>
        <v>比较价格（元/平方米）</v>
      </c>
      <c r="Q38" s="3510"/>
      <c r="R38" s="3617" t="e">
        <f>IF(F1="售价",ROUND(PRODUCT(R37,AA7:AA36),0),ROUND(PRODUCT(R37,AA7:AA36),1))</f>
        <v>#DIV/0!</v>
      </c>
      <c r="S38" s="3617"/>
      <c r="T38" s="3617" t="e">
        <f>IF(F1="售价",ROUND(PRODUCT(T37,AB7:AB36),0),ROUND(PRODUCT(T37,AB7:AB36),1))</f>
        <v>#DIV/0!</v>
      </c>
      <c r="U38" s="3617"/>
      <c r="V38" s="3617" t="e">
        <f>IF(F1="售价",ROUND(PRODUCT(V37,AC7:AC36),0),ROUND(PRODUCT(V37,AC7:AC36),1))</f>
        <v>#DIV/0!</v>
      </c>
      <c r="W38" s="3617"/>
      <c r="X38" s="1496"/>
      <c r="Y38" s="1496"/>
      <c r="Z38" s="1496"/>
      <c r="AA38" s="1496"/>
      <c r="AB38" s="1496"/>
      <c r="AC38" s="1496"/>
    </row>
    <row r="39" spans="1:29" ht="15.75" thickBot="1">
      <c r="A39" s="613" t="s">
        <v>2896</v>
      </c>
      <c r="B39" s="614"/>
      <c r="C39" s="2478" t="e">
        <f>R39</f>
        <v>#DIV/0!</v>
      </c>
      <c r="D39" s="2478"/>
      <c r="E39" s="2478"/>
      <c r="F39" s="2478"/>
      <c r="G39" s="2478"/>
      <c r="H39" s="2478"/>
      <c r="I39" s="2478"/>
      <c r="J39" s="2478"/>
      <c r="K39" s="1541"/>
      <c r="L39" s="2026"/>
      <c r="M39" s="2027"/>
      <c r="N39" s="2027"/>
      <c r="O39" s="2027"/>
      <c r="P39" s="3531" t="str">
        <f>A39</f>
        <v>估价对象XX用房的比较价格（楼面单价，元/平方米）</v>
      </c>
      <c r="Q39" s="3532"/>
      <c r="R39" s="3616" t="e">
        <f>IF(F1="售价",ROUND(IF(D38="简单平均",AVERAGE(R38:W38),R38*F38+T38*H38+V38*J38),0),ROUND(IF(D38="简单平均",AVERAGE(R38:V38),R38*F38+T38*H38+V38*J38),1))</f>
        <v>#DIV/0!</v>
      </c>
      <c r="S39" s="3616"/>
      <c r="T39" s="3616"/>
      <c r="U39" s="3616"/>
      <c r="V39" s="3616"/>
      <c r="W39" s="3616"/>
      <c r="X39" s="1496"/>
      <c r="Y39" s="1496"/>
      <c r="Z39" s="1496"/>
      <c r="AA39" s="1496"/>
      <c r="AB39" s="1496"/>
      <c r="AC39" s="1496"/>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2020-8</v>
      </c>
      <c r="D48" s="2521">
        <f>EDATE(C48,-1)</f>
        <v>44013</v>
      </c>
      <c r="E48" s="2521">
        <f t="shared" ref="E48:O48" si="16">EDATE(D48,-1)</f>
        <v>43983</v>
      </c>
      <c r="F48" s="2521">
        <f t="shared" si="16"/>
        <v>43952</v>
      </c>
      <c r="G48" s="2521">
        <f t="shared" si="16"/>
        <v>43922</v>
      </c>
      <c r="H48" s="2521">
        <f t="shared" si="16"/>
        <v>43891</v>
      </c>
      <c r="I48" s="2521">
        <f t="shared" si="16"/>
        <v>43862</v>
      </c>
      <c r="J48" s="2521">
        <f t="shared" si="16"/>
        <v>43831</v>
      </c>
      <c r="K48" s="2521">
        <f t="shared" si="16"/>
        <v>43800</v>
      </c>
      <c r="L48" s="2521">
        <f t="shared" si="16"/>
        <v>43770</v>
      </c>
      <c r="M48" s="2521">
        <f t="shared" si="16"/>
        <v>43739</v>
      </c>
      <c r="N48" s="2521">
        <f t="shared" si="16"/>
        <v>43709</v>
      </c>
      <c r="O48" s="2521">
        <f t="shared" si="16"/>
        <v>43678</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2536</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2537</v>
      </c>
      <c r="C67" s="2442" t="s">
        <v>2538</v>
      </c>
      <c r="D67" s="2442" t="s">
        <v>2539</v>
      </c>
      <c r="E67" s="2442" t="s">
        <v>2540</v>
      </c>
      <c r="F67" s="2442" t="s">
        <v>2541</v>
      </c>
      <c r="G67" s="2442" t="s">
        <v>2542</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47" priority="17" stopIfTrue="1" operator="containsText" text="超过">
      <formula>NOT(ISERROR(SEARCH("超过",F42)))</formula>
    </cfRule>
  </conditionalFormatting>
  <conditionalFormatting sqref="J44">
    <cfRule type="containsText" dxfId="46" priority="16" stopIfTrue="1" operator="containsText" text="超过">
      <formula>NOT(ISERROR(SEARCH("超过",J44)))</formula>
    </cfRule>
  </conditionalFormatting>
  <conditionalFormatting sqref="H44">
    <cfRule type="containsText" dxfId="45" priority="15" stopIfTrue="1" operator="containsText" text="超过">
      <formula>NOT(ISERROR(SEARCH("超过",H44)))</formula>
    </cfRule>
  </conditionalFormatting>
  <conditionalFormatting sqref="F44">
    <cfRule type="containsText" dxfId="44" priority="14" stopIfTrue="1" operator="containsText" text="超过">
      <formula>NOT(ISERROR(SEARCH("超过",F44)))</formula>
    </cfRule>
  </conditionalFormatting>
  <conditionalFormatting sqref="F43 H43 J43">
    <cfRule type="containsText" dxfId="43" priority="13" stopIfTrue="1" operator="containsText" text="超过">
      <formula>NOT(ISERROR(SEARCH("超过",F43)))</formula>
    </cfRule>
  </conditionalFormatting>
  <conditionalFormatting sqref="E42">
    <cfRule type="expression" dxfId="42" priority="12" stopIfTrue="1">
      <formula>$F$42="超过30%"</formula>
    </cfRule>
  </conditionalFormatting>
  <conditionalFormatting sqref="G44">
    <cfRule type="expression" dxfId="41" priority="11" stopIfTrue="1">
      <formula>$H$54+$H$44="超过30%"</formula>
    </cfRule>
  </conditionalFormatting>
  <conditionalFormatting sqref="E43">
    <cfRule type="expression" dxfId="40" priority="10" stopIfTrue="1">
      <formula>$F$43="超过20%"</formula>
    </cfRule>
  </conditionalFormatting>
  <conditionalFormatting sqref="E44">
    <cfRule type="expression" dxfId="39" priority="9" stopIfTrue="1">
      <formula>$F$44="超过30%"</formula>
    </cfRule>
  </conditionalFormatting>
  <conditionalFormatting sqref="G42">
    <cfRule type="expression" dxfId="38" priority="8" stopIfTrue="1">
      <formula>$H$52+$H$42="超过30%"</formula>
    </cfRule>
  </conditionalFormatting>
  <conditionalFormatting sqref="G43">
    <cfRule type="expression" dxfId="37" priority="7" stopIfTrue="1">
      <formula>$H$43="超过20%"</formula>
    </cfRule>
  </conditionalFormatting>
  <conditionalFormatting sqref="I42">
    <cfRule type="expression" dxfId="36" priority="6" stopIfTrue="1">
      <formula>$J$52+$J$42="超过30%"</formula>
    </cfRule>
  </conditionalFormatting>
  <conditionalFormatting sqref="I43">
    <cfRule type="expression" dxfId="35" priority="5" stopIfTrue="1">
      <formula>$J$53+$J$43="超过20%"</formula>
    </cfRule>
  </conditionalFormatting>
  <conditionalFormatting sqref="I44">
    <cfRule type="expression" dxfId="34" priority="4" stopIfTrue="1">
      <formula>$J$44="超过30%"</formula>
    </cfRule>
  </conditionalFormatting>
  <conditionalFormatting sqref="F38">
    <cfRule type="expression" dxfId="33" priority="3">
      <formula>$D$38="简单平均"</formula>
    </cfRule>
  </conditionalFormatting>
  <conditionalFormatting sqref="H38">
    <cfRule type="expression" dxfId="32" priority="2">
      <formula>$D$38="简单平均"</formula>
    </cfRule>
  </conditionalFormatting>
  <conditionalFormatting sqref="J38">
    <cfRule type="expression" dxfId="31" priority="1">
      <formula>$D$38="简单平均"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S52" sqref="S52"/>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16" t="s">
        <v>792</v>
      </c>
      <c r="D4" s="3517"/>
      <c r="E4" s="3541" t="s">
        <v>793</v>
      </c>
      <c r="F4" s="3542"/>
      <c r="G4" s="3516" t="s">
        <v>794</v>
      </c>
      <c r="H4" s="3517"/>
      <c r="I4" s="3516" t="s">
        <v>795</v>
      </c>
      <c r="J4" s="3517"/>
      <c r="K4" s="508" t="s">
        <v>796</v>
      </c>
      <c r="L4" s="2015"/>
      <c r="M4" s="2016"/>
      <c r="N4" s="2016"/>
      <c r="O4" s="2016"/>
      <c r="P4" s="3518" t="s">
        <v>797</v>
      </c>
      <c r="Q4" s="3519"/>
      <c r="R4" s="3504" t="s">
        <v>793</v>
      </c>
      <c r="S4" s="3505"/>
      <c r="T4" s="3504" t="s">
        <v>794</v>
      </c>
      <c r="U4" s="3505"/>
      <c r="V4" s="3524" t="s">
        <v>795</v>
      </c>
      <c r="W4" s="3524"/>
      <c r="X4" s="1501"/>
      <c r="Y4" s="3504" t="s">
        <v>797</v>
      </c>
      <c r="Z4" s="3505"/>
      <c r="AA4" s="3499" t="s">
        <v>793</v>
      </c>
      <c r="AB4" s="3500" t="s">
        <v>794</v>
      </c>
      <c r="AC4" s="3499" t="s">
        <v>795</v>
      </c>
    </row>
    <row r="5" spans="1:29" ht="15">
      <c r="A5" s="509"/>
      <c r="B5" s="510"/>
      <c r="C5" s="3527" t="s">
        <v>2890</v>
      </c>
      <c r="D5" s="3528"/>
      <c r="E5" s="3543" t="s">
        <v>2891</v>
      </c>
      <c r="F5" s="3544"/>
      <c r="G5" s="3527" t="s">
        <v>2892</v>
      </c>
      <c r="H5" s="3528"/>
      <c r="I5" s="3527" t="s">
        <v>2893</v>
      </c>
      <c r="J5" s="3528"/>
      <c r="K5" s="508"/>
      <c r="L5" s="2015"/>
      <c r="M5" s="2016"/>
      <c r="N5" s="2016"/>
      <c r="O5" s="2016"/>
      <c r="P5" s="3520"/>
      <c r="Q5" s="3521"/>
      <c r="R5" s="3506"/>
      <c r="S5" s="3507"/>
      <c r="T5" s="3506"/>
      <c r="U5" s="3507"/>
      <c r="V5" s="3524"/>
      <c r="W5" s="3524"/>
      <c r="X5" s="1501"/>
      <c r="Y5" s="3506"/>
      <c r="Z5" s="3507"/>
      <c r="AA5" s="3500"/>
      <c r="AB5" s="3500"/>
      <c r="AC5" s="3500"/>
    </row>
    <row r="6" spans="1:29" ht="15.75" thickBot="1">
      <c r="A6" s="511"/>
      <c r="B6" s="512"/>
      <c r="C6" s="3525" t="s">
        <v>2894</v>
      </c>
      <c r="D6" s="3526"/>
      <c r="E6" s="3545" t="s">
        <v>2894</v>
      </c>
      <c r="F6" s="3546"/>
      <c r="G6" s="3525" t="s">
        <v>2894</v>
      </c>
      <c r="H6" s="3526"/>
      <c r="I6" s="3525" t="s">
        <v>2894</v>
      </c>
      <c r="J6" s="3526"/>
      <c r="K6" s="508" t="s">
        <v>522</v>
      </c>
      <c r="L6" s="2015"/>
      <c r="M6" s="2016"/>
      <c r="N6" s="2016"/>
      <c r="O6" s="2016"/>
      <c r="P6" s="3522"/>
      <c r="Q6" s="3523"/>
      <c r="R6" s="3506"/>
      <c r="S6" s="3507"/>
      <c r="T6" s="3508"/>
      <c r="U6" s="3509"/>
      <c r="V6" s="3524"/>
      <c r="W6" s="3524"/>
      <c r="X6" s="1501"/>
      <c r="Y6" s="3508"/>
      <c r="Z6" s="3509"/>
      <c r="AA6" s="3501"/>
      <c r="AB6" s="3501"/>
      <c r="AC6" s="3501"/>
    </row>
    <row r="7" spans="1:29" s="1202" customFormat="1" ht="15.75" thickBot="1">
      <c r="A7" s="2629"/>
      <c r="B7" s="2636" t="s">
        <v>523</v>
      </c>
      <c r="C7" s="513">
        <f>'数据-取费表'!B2</f>
        <v>44062</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02" t="s">
        <v>524</v>
      </c>
      <c r="Q7" s="3511"/>
      <c r="R7" s="1502" t="s">
        <v>8</v>
      </c>
      <c r="S7" s="1503">
        <f t="shared" ref="S7:S14" si="0">F7</f>
        <v>0</v>
      </c>
      <c r="T7" s="1502" t="s">
        <v>8</v>
      </c>
      <c r="U7" s="1503">
        <f t="shared" ref="U7:U14" si="1">H7</f>
        <v>0</v>
      </c>
      <c r="V7" s="1502" t="s">
        <v>8</v>
      </c>
      <c r="W7" s="1503">
        <f t="shared" ref="W7:W14" si="2">J7</f>
        <v>0</v>
      </c>
      <c r="X7" s="1504"/>
      <c r="Y7" s="3502" t="s">
        <v>524</v>
      </c>
      <c r="Z7" s="3503"/>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02" t="s">
        <v>527</v>
      </c>
      <c r="Q8" s="3503"/>
      <c r="R8" s="1502" t="s">
        <v>8</v>
      </c>
      <c r="S8" s="1503">
        <f t="shared" si="0"/>
        <v>0</v>
      </c>
      <c r="T8" s="1502" t="s">
        <v>8</v>
      </c>
      <c r="U8" s="1503">
        <f t="shared" si="1"/>
        <v>0</v>
      </c>
      <c r="V8" s="1502" t="s">
        <v>8</v>
      </c>
      <c r="W8" s="1503">
        <f t="shared" si="2"/>
        <v>0</v>
      </c>
      <c r="X8" s="1504"/>
      <c r="Y8" s="3502" t="s">
        <v>527</v>
      </c>
      <c r="Z8" s="3503"/>
      <c r="AA8" s="1505" t="e">
        <f t="shared" ref="AA8:AA34" si="3">D8/F8</f>
        <v>#DIV/0!</v>
      </c>
      <c r="AB8" s="1505" t="e">
        <f t="shared" ref="AB8:AB34" si="4">D8/H8</f>
        <v>#DIV/0!</v>
      </c>
      <c r="AC8" s="1505" t="e">
        <f t="shared" ref="AC8:AC34" si="5">D8/J8</f>
        <v>#DIV/0!</v>
      </c>
    </row>
    <row r="9" spans="1:29" s="1202" customFormat="1" ht="15">
      <c r="A9" s="2631"/>
      <c r="B9" s="2638" t="s">
        <v>2733</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10" t="s">
        <v>529</v>
      </c>
      <c r="Q9" s="1133" t="str">
        <f t="shared" ref="Q9:Q14" si="6">B9</f>
        <v>用途</v>
      </c>
      <c r="R9" s="1502" t="s">
        <v>8</v>
      </c>
      <c r="S9" s="1503">
        <f t="shared" si="0"/>
        <v>100</v>
      </c>
      <c r="T9" s="1502" t="s">
        <v>8</v>
      </c>
      <c r="U9" s="1503">
        <f t="shared" si="1"/>
        <v>100</v>
      </c>
      <c r="V9" s="1502" t="s">
        <v>8</v>
      </c>
      <c r="W9" s="1503">
        <f t="shared" si="2"/>
        <v>100</v>
      </c>
      <c r="X9" s="1504"/>
      <c r="Y9" s="3461" t="s">
        <v>530</v>
      </c>
      <c r="Z9" s="1132" t="str">
        <f t="shared" ref="Z9:Z14" si="7">Q9</f>
        <v>用途</v>
      </c>
      <c r="AA9" s="1505">
        <f t="shared" si="3"/>
        <v>1</v>
      </c>
      <c r="AB9" s="1505">
        <f t="shared" si="4"/>
        <v>1</v>
      </c>
      <c r="AC9" s="1505">
        <f t="shared" si="5"/>
        <v>1</v>
      </c>
    </row>
    <row r="10" spans="1:29" s="1291" customFormat="1" ht="27">
      <c r="A10" s="2632"/>
      <c r="B10" s="2637" t="s">
        <v>2734</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10"/>
      <c r="Q10" s="1133" t="str">
        <f t="shared" si="6"/>
        <v>土地使用年限（年）</v>
      </c>
      <c r="R10" s="1502" t="s">
        <v>8</v>
      </c>
      <c r="S10" s="1503">
        <f t="shared" si="0"/>
        <v>100</v>
      </c>
      <c r="T10" s="1502" t="s">
        <v>8</v>
      </c>
      <c r="U10" s="1503">
        <f t="shared" si="1"/>
        <v>100</v>
      </c>
      <c r="V10" s="1502" t="s">
        <v>8</v>
      </c>
      <c r="W10" s="1503">
        <f t="shared" si="2"/>
        <v>100</v>
      </c>
      <c r="X10" s="1504"/>
      <c r="Y10" s="3461"/>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510"/>
      <c r="Q11" s="1133">
        <f t="shared" si="6"/>
        <v>111</v>
      </c>
      <c r="R11" s="1502" t="s">
        <v>8</v>
      </c>
      <c r="S11" s="1503">
        <f t="shared" si="0"/>
        <v>100</v>
      </c>
      <c r="T11" s="1502" t="s">
        <v>8</v>
      </c>
      <c r="U11" s="1503">
        <f t="shared" si="1"/>
        <v>100</v>
      </c>
      <c r="V11" s="1502" t="s">
        <v>8</v>
      </c>
      <c r="W11" s="1503">
        <f t="shared" si="2"/>
        <v>100</v>
      </c>
      <c r="X11" s="1504"/>
      <c r="Y11" s="3461"/>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510"/>
      <c r="Q12" s="1133">
        <f t="shared" si="6"/>
        <v>111</v>
      </c>
      <c r="R12" s="1502" t="s">
        <v>8</v>
      </c>
      <c r="S12" s="1503">
        <f t="shared" si="0"/>
        <v>100</v>
      </c>
      <c r="T12" s="1502" t="s">
        <v>8</v>
      </c>
      <c r="U12" s="1503">
        <f t="shared" si="1"/>
        <v>100</v>
      </c>
      <c r="V12" s="1502" t="s">
        <v>8</v>
      </c>
      <c r="W12" s="1503">
        <f t="shared" si="2"/>
        <v>100</v>
      </c>
      <c r="X12" s="1504"/>
      <c r="Y12" s="3461"/>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510"/>
      <c r="Q13" s="1133">
        <f t="shared" si="6"/>
        <v>111</v>
      </c>
      <c r="R13" s="1502" t="s">
        <v>8</v>
      </c>
      <c r="S13" s="1503">
        <f t="shared" si="0"/>
        <v>100</v>
      </c>
      <c r="T13" s="1502" t="s">
        <v>8</v>
      </c>
      <c r="U13" s="1503">
        <f t="shared" si="1"/>
        <v>100</v>
      </c>
      <c r="V13" s="1502" t="s">
        <v>8</v>
      </c>
      <c r="W13" s="1503">
        <f t="shared" si="2"/>
        <v>100</v>
      </c>
      <c r="X13" s="1504"/>
      <c r="Y13" s="3461"/>
      <c r="Z13" s="1132">
        <f t="shared" si="7"/>
        <v>111</v>
      </c>
      <c r="AA13" s="1505">
        <f t="shared" si="3"/>
        <v>1</v>
      </c>
      <c r="AB13" s="1505">
        <f t="shared" si="4"/>
        <v>1</v>
      </c>
      <c r="AC13" s="1505">
        <f t="shared" si="5"/>
        <v>1</v>
      </c>
    </row>
    <row r="14" spans="1:29" ht="85.5">
      <c r="A14" s="2627" t="s">
        <v>2731</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512" t="s">
        <v>534</v>
      </c>
      <c r="Q14" s="1506" t="str">
        <f t="shared" si="6"/>
        <v>交通便捷度</v>
      </c>
      <c r="R14" s="1507" t="s">
        <v>8</v>
      </c>
      <c r="S14" s="1508">
        <f t="shared" si="0"/>
        <v>100</v>
      </c>
      <c r="T14" s="1507" t="s">
        <v>8</v>
      </c>
      <c r="U14" s="1508">
        <f t="shared" si="1"/>
        <v>100</v>
      </c>
      <c r="V14" s="1507" t="s">
        <v>8</v>
      </c>
      <c r="W14" s="1508">
        <f t="shared" si="2"/>
        <v>100</v>
      </c>
      <c r="X14" s="1501"/>
      <c r="Y14" s="3512"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513"/>
      <c r="Q15" s="1506"/>
      <c r="R15" s="1507"/>
      <c r="S15" s="1508"/>
      <c r="T15" s="1507"/>
      <c r="U15" s="1508"/>
      <c r="V15" s="1507"/>
      <c r="W15" s="1508"/>
      <c r="X15" s="1501"/>
      <c r="Y15" s="3513"/>
      <c r="Z15" s="1509"/>
      <c r="AA15" s="1510">
        <v>1</v>
      </c>
      <c r="AB15" s="1510">
        <v>1</v>
      </c>
      <c r="AC15" s="1510">
        <v>1</v>
      </c>
    </row>
    <row r="16" spans="1:29" ht="42.75">
      <c r="A16" s="526"/>
      <c r="B16" s="2447" t="s">
        <v>2525</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513"/>
      <c r="Q16" s="1506" t="str">
        <f>B16</f>
        <v>公共配套设施</v>
      </c>
      <c r="R16" s="1507" t="s">
        <v>8</v>
      </c>
      <c r="S16" s="1508">
        <f>F16</f>
        <v>100</v>
      </c>
      <c r="T16" s="1507" t="s">
        <v>8</v>
      </c>
      <c r="U16" s="1508">
        <f>H16</f>
        <v>100</v>
      </c>
      <c r="V16" s="1507" t="s">
        <v>8</v>
      </c>
      <c r="W16" s="1508">
        <f>J16</f>
        <v>100</v>
      </c>
      <c r="X16" s="1501"/>
      <c r="Y16" s="3513"/>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513"/>
      <c r="Q17" s="1506"/>
      <c r="R17" s="1507"/>
      <c r="S17" s="1508"/>
      <c r="T17" s="1507"/>
      <c r="U17" s="1508"/>
      <c r="V17" s="1507"/>
      <c r="W17" s="1508"/>
      <c r="X17" s="1501"/>
      <c r="Y17" s="3513"/>
      <c r="Z17" s="1509"/>
      <c r="AA17" s="1510">
        <v>1</v>
      </c>
      <c r="AB17" s="1510">
        <v>1</v>
      </c>
      <c r="AC17" s="1510">
        <v>1</v>
      </c>
    </row>
    <row r="18" spans="1:29" ht="28.5">
      <c r="A18" s="526"/>
      <c r="B18" s="2435" t="s">
        <v>2537</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513"/>
      <c r="Q18" s="2429" t="str">
        <f>B18</f>
        <v>基础设施水平</v>
      </c>
      <c r="R18" s="1507" t="s">
        <v>8</v>
      </c>
      <c r="S18" s="1508">
        <f>F18</f>
        <v>100</v>
      </c>
      <c r="T18" s="1507" t="s">
        <v>8</v>
      </c>
      <c r="U18" s="1508">
        <f>H18</f>
        <v>100</v>
      </c>
      <c r="V18" s="1507" t="s">
        <v>8</v>
      </c>
      <c r="W18" s="1508">
        <f>J18</f>
        <v>100</v>
      </c>
      <c r="X18" s="2431"/>
      <c r="Y18" s="3513"/>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13"/>
      <c r="Q19" s="2429"/>
      <c r="R19" s="1507"/>
      <c r="S19" s="1508"/>
      <c r="T19" s="1507"/>
      <c r="U19" s="1508"/>
      <c r="V19" s="1507"/>
      <c r="W19" s="1508"/>
      <c r="X19" s="2431"/>
      <c r="Y19" s="3513"/>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513"/>
      <c r="Q20" s="1506" t="str">
        <f>B20</f>
        <v>自然及人文环境</v>
      </c>
      <c r="R20" s="1507" t="s">
        <v>8</v>
      </c>
      <c r="S20" s="1508">
        <f>F20</f>
        <v>100</v>
      </c>
      <c r="T20" s="1507" t="s">
        <v>8</v>
      </c>
      <c r="U20" s="1508">
        <f>H20</f>
        <v>100</v>
      </c>
      <c r="V20" s="1507" t="s">
        <v>8</v>
      </c>
      <c r="W20" s="1508">
        <f>J20</f>
        <v>100</v>
      </c>
      <c r="X20" s="1501"/>
      <c r="Y20" s="3513"/>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513"/>
      <c r="Q21" s="1506"/>
      <c r="R21" s="1507"/>
      <c r="S21" s="1508"/>
      <c r="T21" s="1507"/>
      <c r="U21" s="1508"/>
      <c r="V21" s="1507"/>
      <c r="W21" s="1508"/>
      <c r="X21" s="1501"/>
      <c r="Y21" s="3513"/>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13"/>
      <c r="Q22" s="1506" t="str">
        <f>B22</f>
        <v>楼层</v>
      </c>
      <c r="R22" s="1507" t="s">
        <v>8</v>
      </c>
      <c r="S22" s="1508">
        <f>F22</f>
        <v>100</v>
      </c>
      <c r="T22" s="1507" t="s">
        <v>8</v>
      </c>
      <c r="U22" s="1508">
        <f>H22</f>
        <v>100</v>
      </c>
      <c r="V22" s="1507" t="s">
        <v>8</v>
      </c>
      <c r="W22" s="1508">
        <f>J22</f>
        <v>100</v>
      </c>
      <c r="X22" s="1501"/>
      <c r="Y22" s="3513"/>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13"/>
      <c r="Q23" s="1506">
        <f>B23</f>
        <v>111</v>
      </c>
      <c r="R23" s="1507" t="s">
        <v>8</v>
      </c>
      <c r="S23" s="1508">
        <f>F23</f>
        <v>100</v>
      </c>
      <c r="T23" s="1507" t="s">
        <v>8</v>
      </c>
      <c r="U23" s="1508">
        <f>H23</f>
        <v>100</v>
      </c>
      <c r="V23" s="1507" t="s">
        <v>8</v>
      </c>
      <c r="W23" s="1508">
        <f>J23</f>
        <v>100</v>
      </c>
      <c r="X23" s="1501"/>
      <c r="Y23" s="3513"/>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13"/>
      <c r="Q24" s="1506">
        <f t="shared" ref="Q24:Q34" si="11">B24</f>
        <v>111</v>
      </c>
      <c r="R24" s="1507" t="s">
        <v>8</v>
      </c>
      <c r="S24" s="1508">
        <f>F24</f>
        <v>100</v>
      </c>
      <c r="T24" s="1507" t="s">
        <v>8</v>
      </c>
      <c r="U24" s="1508">
        <f>H24</f>
        <v>100</v>
      </c>
      <c r="V24" s="1507" t="s">
        <v>8</v>
      </c>
      <c r="W24" s="1508">
        <f>J24</f>
        <v>100</v>
      </c>
      <c r="X24" s="1501"/>
      <c r="Y24" s="3513"/>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513"/>
      <c r="Q25" s="1133">
        <f t="shared" si="11"/>
        <v>111</v>
      </c>
      <c r="R25" s="1502" t="s">
        <v>8</v>
      </c>
      <c r="S25" s="1503">
        <f>F25</f>
        <v>100</v>
      </c>
      <c r="T25" s="1502" t="s">
        <v>8</v>
      </c>
      <c r="U25" s="1503">
        <f>H25</f>
        <v>100</v>
      </c>
      <c r="V25" s="1502" t="s">
        <v>8</v>
      </c>
      <c r="W25" s="1503">
        <f>J25</f>
        <v>100</v>
      </c>
      <c r="X25" s="1504"/>
      <c r="Y25" s="3513"/>
      <c r="Z25" s="1132">
        <f>Q25</f>
        <v>111</v>
      </c>
      <c r="AA25" s="1510">
        <f>D25/F25</f>
        <v>1</v>
      </c>
      <c r="AB25" s="1510">
        <f>D25/H25</f>
        <v>1</v>
      </c>
      <c r="AC25" s="1510">
        <f>D25/J25</f>
        <v>1</v>
      </c>
    </row>
    <row r="26" spans="1:29" ht="15">
      <c r="A26" s="2624" t="s">
        <v>2732</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514"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15"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515"/>
      <c r="Q27" s="1535" t="str">
        <f t="shared" si="11"/>
        <v>成新率</v>
      </c>
      <c r="R27" s="1511" t="s">
        <v>8</v>
      </c>
      <c r="S27" s="1512" t="e">
        <f t="shared" si="12"/>
        <v>#N/A</v>
      </c>
      <c r="T27" s="1511" t="s">
        <v>8</v>
      </c>
      <c r="U27" s="1512" t="e">
        <f t="shared" si="13"/>
        <v>#N/A</v>
      </c>
      <c r="V27" s="1511" t="s">
        <v>8</v>
      </c>
      <c r="W27" s="1512" t="e">
        <f t="shared" si="14"/>
        <v>#N/A</v>
      </c>
      <c r="X27" s="1513"/>
      <c r="Y27" s="3515"/>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15"/>
      <c r="Q28" s="1506" t="str">
        <f t="shared" si="11"/>
        <v>物业等级</v>
      </c>
      <c r="R28" s="1507" t="s">
        <v>8</v>
      </c>
      <c r="S28" s="1508">
        <f t="shared" si="12"/>
        <v>100</v>
      </c>
      <c r="T28" s="1507" t="s">
        <v>8</v>
      </c>
      <c r="U28" s="1508">
        <f t="shared" si="13"/>
        <v>100</v>
      </c>
      <c r="V28" s="1507" t="s">
        <v>8</v>
      </c>
      <c r="W28" s="1508">
        <f t="shared" si="14"/>
        <v>100</v>
      </c>
      <c r="X28" s="1501"/>
      <c r="Y28" s="3515"/>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515"/>
      <c r="Q29" s="1506" t="str">
        <f t="shared" si="11"/>
        <v>有无电梯</v>
      </c>
      <c r="R29" s="1507" t="s">
        <v>8</v>
      </c>
      <c r="S29" s="1508">
        <f t="shared" si="12"/>
        <v>100</v>
      </c>
      <c r="T29" s="1507" t="s">
        <v>8</v>
      </c>
      <c r="U29" s="1508">
        <f t="shared" si="13"/>
        <v>100</v>
      </c>
      <c r="V29" s="1507" t="s">
        <v>8</v>
      </c>
      <c r="W29" s="1508">
        <f t="shared" si="14"/>
        <v>100</v>
      </c>
      <c r="X29" s="1501"/>
      <c r="Y29" s="3515"/>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515"/>
      <c r="Q30" s="1506" t="str">
        <f t="shared" si="11"/>
        <v>建筑面积</v>
      </c>
      <c r="R30" s="1507" t="s">
        <v>8</v>
      </c>
      <c r="S30" s="1508" t="e">
        <f t="shared" si="12"/>
        <v>#N/A</v>
      </c>
      <c r="T30" s="1507" t="s">
        <v>8</v>
      </c>
      <c r="U30" s="1508" t="e">
        <f t="shared" si="13"/>
        <v>#N/A</v>
      </c>
      <c r="V30" s="1507" t="s">
        <v>8</v>
      </c>
      <c r="W30" s="1508" t="e">
        <f t="shared" si="14"/>
        <v>#N/A</v>
      </c>
      <c r="X30" s="1501"/>
      <c r="Y30" s="3515"/>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515"/>
      <c r="Q31" s="1133" t="str">
        <f t="shared" si="11"/>
        <v>是否封闭</v>
      </c>
      <c r="R31" s="1502" t="s">
        <v>8</v>
      </c>
      <c r="S31" s="1503">
        <f t="shared" si="12"/>
        <v>100</v>
      </c>
      <c r="T31" s="1502" t="s">
        <v>8</v>
      </c>
      <c r="U31" s="1503">
        <f t="shared" si="13"/>
        <v>100</v>
      </c>
      <c r="V31" s="1502" t="s">
        <v>8</v>
      </c>
      <c r="W31" s="1503">
        <f t="shared" si="14"/>
        <v>100</v>
      </c>
      <c r="X31" s="1504"/>
      <c r="Y31" s="3515"/>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515" t="s">
        <v>544</v>
      </c>
      <c r="Q32" s="1506">
        <f t="shared" si="11"/>
        <v>111</v>
      </c>
      <c r="R32" s="1507" t="s">
        <v>8</v>
      </c>
      <c r="S32" s="1508">
        <f t="shared" si="12"/>
        <v>100</v>
      </c>
      <c r="T32" s="1507" t="s">
        <v>8</v>
      </c>
      <c r="U32" s="1508">
        <f t="shared" si="13"/>
        <v>100</v>
      </c>
      <c r="V32" s="1507" t="s">
        <v>8</v>
      </c>
      <c r="W32" s="1508">
        <f t="shared" si="14"/>
        <v>100</v>
      </c>
      <c r="X32" s="1501"/>
      <c r="Y32" s="3515"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515"/>
      <c r="Q33" s="1506">
        <f t="shared" si="11"/>
        <v>111</v>
      </c>
      <c r="R33" s="1507" t="s">
        <v>8</v>
      </c>
      <c r="S33" s="1508">
        <f t="shared" si="12"/>
        <v>100</v>
      </c>
      <c r="T33" s="1507" t="s">
        <v>8</v>
      </c>
      <c r="U33" s="1508">
        <f t="shared" si="13"/>
        <v>100</v>
      </c>
      <c r="V33" s="1507" t="s">
        <v>8</v>
      </c>
      <c r="W33" s="1508">
        <f t="shared" si="14"/>
        <v>100</v>
      </c>
      <c r="X33" s="1501"/>
      <c r="Y33" s="3515"/>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515"/>
      <c r="Q34" s="1506">
        <f t="shared" si="11"/>
        <v>111</v>
      </c>
      <c r="R34" s="1507" t="s">
        <v>8</v>
      </c>
      <c r="S34" s="1508">
        <f t="shared" si="12"/>
        <v>100</v>
      </c>
      <c r="T34" s="1507" t="s">
        <v>8</v>
      </c>
      <c r="U34" s="1508">
        <f t="shared" si="13"/>
        <v>100</v>
      </c>
      <c r="V34" s="1507" t="s">
        <v>8</v>
      </c>
      <c r="W34" s="1508">
        <f t="shared" si="14"/>
        <v>100</v>
      </c>
      <c r="X34" s="1501"/>
      <c r="Y34" s="3515"/>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510" t="str">
        <f>A35</f>
        <v>成交单价（元/平方米）</v>
      </c>
      <c r="Q35" s="3510"/>
      <c r="R35" s="3617">
        <f>E35</f>
        <v>0</v>
      </c>
      <c r="S35" s="3617"/>
      <c r="T35" s="3617">
        <f>G35</f>
        <v>0</v>
      </c>
      <c r="U35" s="3617"/>
      <c r="V35" s="3617">
        <f>I35</f>
        <v>0</v>
      </c>
      <c r="W35" s="3617"/>
      <c r="X35" s="1496"/>
      <c r="Y35" s="1515"/>
      <c r="Z35" s="1496"/>
      <c r="AA35" s="1496"/>
      <c r="AB35" s="1496"/>
      <c r="AC35" s="1496"/>
    </row>
    <row r="36" spans="1:29" ht="15.75" thickBot="1">
      <c r="A36" s="609" t="s">
        <v>2737</v>
      </c>
      <c r="B36" s="876"/>
      <c r="C36" s="2476" t="e">
        <f>R37</f>
        <v>#DIV/0!</v>
      </c>
      <c r="D36" s="3014" t="s">
        <v>2966</v>
      </c>
      <c r="E36" s="2477" t="e">
        <f>R36</f>
        <v>#DIV/0!</v>
      </c>
      <c r="F36" s="3015"/>
      <c r="G36" s="2476" t="e">
        <f>T36</f>
        <v>#DIV/0!</v>
      </c>
      <c r="H36" s="3015"/>
      <c r="I36" s="2477" t="e">
        <f>V36</f>
        <v>#DIV/0!</v>
      </c>
      <c r="J36" s="3015"/>
      <c r="K36" s="3023">
        <f>F36+H36+J36</f>
        <v>0</v>
      </c>
      <c r="L36" s="2026"/>
      <c r="M36" s="2027"/>
      <c r="N36" s="2016"/>
      <c r="O36" s="2027"/>
      <c r="P36" s="3510" t="str">
        <f>A36</f>
        <v>比较价格（元/平方米）</v>
      </c>
      <c r="Q36" s="3510"/>
      <c r="R36" s="3617" t="e">
        <f>IF(F1="售价",ROUND(PRODUCT(R35,AA7:AA34),0),ROUND(PRODUCT(R35,AA7:AA34),1))</f>
        <v>#DIV/0!</v>
      </c>
      <c r="S36" s="3617"/>
      <c r="T36" s="3617" t="e">
        <f>IF(F1="售价",ROUND(PRODUCT(T35,AB7:AB34),0),ROUND(PRODUCT(T35,AB7:AB34),1))</f>
        <v>#DIV/0!</v>
      </c>
      <c r="U36" s="3617"/>
      <c r="V36" s="3617" t="e">
        <f>IF(F1="售价",ROUND(PRODUCT(V35,AC7:AC34),0),ROUND(PRODUCT(V35,AC7:AC34),1))</f>
        <v>#DIV/0!</v>
      </c>
      <c r="W36" s="3617"/>
      <c r="X36" s="1496"/>
      <c r="Y36" s="1496"/>
      <c r="Z36" s="1496"/>
      <c r="AA36" s="1496"/>
      <c r="AB36" s="1496"/>
      <c r="AC36" s="1496"/>
    </row>
    <row r="37" spans="1:29" ht="15.75" thickBot="1">
      <c r="A37" s="613" t="s">
        <v>2896</v>
      </c>
      <c r="B37" s="614"/>
      <c r="C37" s="2478" t="e">
        <f>R37</f>
        <v>#DIV/0!</v>
      </c>
      <c r="D37" s="2478"/>
      <c r="E37" s="2478"/>
      <c r="F37" s="2478"/>
      <c r="G37" s="2478"/>
      <c r="H37" s="2478"/>
      <c r="I37" s="2478"/>
      <c r="J37" s="2478"/>
      <c r="K37" s="1541"/>
      <c r="L37" s="2026"/>
      <c r="M37" s="2027"/>
      <c r="N37" s="2027"/>
      <c r="O37" s="2027"/>
      <c r="P37" s="3531" t="str">
        <f>A37</f>
        <v>估价对象XX用房的比较价格（楼面单价，元/平方米）</v>
      </c>
      <c r="Q37" s="3532"/>
      <c r="R37" s="3616" t="e">
        <f>IF(F1="售价",ROUND(IF(D36="简单平均",AVERAGE(R36:W36),R36*F36+T36*H36+V36*J36),0),ROUND(IF(D36="简单平均",AVERAGE(R36:V36),R36*F36+T36*H36+V36*J36),1))</f>
        <v>#DIV/0!</v>
      </c>
      <c r="S37" s="3616"/>
      <c r="T37" s="3616"/>
      <c r="U37" s="3616"/>
      <c r="V37" s="3616"/>
      <c r="W37" s="3616"/>
      <c r="X37" s="1496"/>
      <c r="Y37" s="1496"/>
      <c r="Z37" s="1496"/>
      <c r="AA37" s="1496"/>
      <c r="AB37" s="1496"/>
      <c r="AC37" s="1496"/>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2020-8</v>
      </c>
      <c r="D46" s="2521">
        <f>EDATE(C46,-1)</f>
        <v>44013</v>
      </c>
      <c r="E46" s="2521">
        <f t="shared" ref="E46:O46" si="16">EDATE(D46,-1)</f>
        <v>43983</v>
      </c>
      <c r="F46" s="2521">
        <f t="shared" si="16"/>
        <v>43952</v>
      </c>
      <c r="G46" s="2521">
        <f t="shared" si="16"/>
        <v>43922</v>
      </c>
      <c r="H46" s="2521">
        <f t="shared" si="16"/>
        <v>43891</v>
      </c>
      <c r="I46" s="2521">
        <f t="shared" si="16"/>
        <v>43862</v>
      </c>
      <c r="J46" s="2521">
        <f t="shared" si="16"/>
        <v>43831</v>
      </c>
      <c r="K46" s="2521">
        <f t="shared" si="16"/>
        <v>43800</v>
      </c>
      <c r="L46" s="2521">
        <f t="shared" si="16"/>
        <v>43770</v>
      </c>
      <c r="M46" s="2521">
        <f t="shared" si="16"/>
        <v>43739</v>
      </c>
      <c r="N46" s="2521">
        <f t="shared" si="16"/>
        <v>43709</v>
      </c>
      <c r="O46" s="2521">
        <f t="shared" si="16"/>
        <v>43678</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2536</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2537</v>
      </c>
      <c r="C65" s="2442" t="s">
        <v>2538</v>
      </c>
      <c r="D65" s="2442" t="s">
        <v>2539</v>
      </c>
      <c r="E65" s="2442" t="s">
        <v>2540</v>
      </c>
      <c r="F65" s="2442" t="s">
        <v>2541</v>
      </c>
      <c r="G65" s="2442" t="s">
        <v>2542</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30" priority="17" stopIfTrue="1" operator="containsText" text="超过">
      <formula>NOT(ISERROR(SEARCH("超过",F40)))</formula>
    </cfRule>
  </conditionalFormatting>
  <conditionalFormatting sqref="J42">
    <cfRule type="containsText" dxfId="29" priority="16" stopIfTrue="1" operator="containsText" text="超过">
      <formula>NOT(ISERROR(SEARCH("超过",J42)))</formula>
    </cfRule>
  </conditionalFormatting>
  <conditionalFormatting sqref="H42">
    <cfRule type="containsText" dxfId="28" priority="15" stopIfTrue="1" operator="containsText" text="超过">
      <formula>NOT(ISERROR(SEARCH("超过",H42)))</formula>
    </cfRule>
  </conditionalFormatting>
  <conditionalFormatting sqref="F42">
    <cfRule type="containsText" dxfId="27" priority="14" stopIfTrue="1" operator="containsText" text="超过">
      <formula>NOT(ISERROR(SEARCH("超过",F42)))</formula>
    </cfRule>
  </conditionalFormatting>
  <conditionalFormatting sqref="F41 H41 J41">
    <cfRule type="containsText" dxfId="26" priority="13" stopIfTrue="1" operator="containsText" text="超过">
      <formula>NOT(ISERROR(SEARCH("超过",F41)))</formula>
    </cfRule>
  </conditionalFormatting>
  <conditionalFormatting sqref="E40">
    <cfRule type="expression" dxfId="25" priority="12" stopIfTrue="1">
      <formula>$F$40="超过30%"</formula>
    </cfRule>
  </conditionalFormatting>
  <conditionalFormatting sqref="G42">
    <cfRule type="expression" dxfId="24" priority="11" stopIfTrue="1">
      <formula>$H$54+$H$42="超过30%"</formula>
    </cfRule>
  </conditionalFormatting>
  <conditionalFormatting sqref="E41">
    <cfRule type="expression" dxfId="23" priority="10" stopIfTrue="1">
      <formula>$F$41="超过20%"</formula>
    </cfRule>
  </conditionalFormatting>
  <conditionalFormatting sqref="E42">
    <cfRule type="expression" dxfId="22" priority="9" stopIfTrue="1">
      <formula>$F$42="超过30%"</formula>
    </cfRule>
  </conditionalFormatting>
  <conditionalFormatting sqref="G40">
    <cfRule type="expression" dxfId="21" priority="8" stopIfTrue="1">
      <formula>$H$52+$H$40="超过30%"</formula>
    </cfRule>
  </conditionalFormatting>
  <conditionalFormatting sqref="G41">
    <cfRule type="expression" dxfId="20" priority="7" stopIfTrue="1">
      <formula>$H$53+$H$41="超过20%"</formula>
    </cfRule>
  </conditionalFormatting>
  <conditionalFormatting sqref="I40">
    <cfRule type="expression" dxfId="19" priority="6" stopIfTrue="1">
      <formula>$J$40="超过30%"</formula>
    </cfRule>
  </conditionalFormatting>
  <conditionalFormatting sqref="I41">
    <cfRule type="expression" dxfId="18" priority="5" stopIfTrue="1">
      <formula>$J$41="超过20%"</formula>
    </cfRule>
  </conditionalFormatting>
  <conditionalFormatting sqref="I42">
    <cfRule type="expression" dxfId="17" priority="4" stopIfTrue="1">
      <formula>$J$42="超过30%"</formula>
    </cfRule>
  </conditionalFormatting>
  <conditionalFormatting sqref="F36">
    <cfRule type="expression" dxfId="16" priority="3">
      <formula>$D$36="简单平均"</formula>
    </cfRule>
  </conditionalFormatting>
  <conditionalFormatting sqref="H36">
    <cfRule type="expression" dxfId="15" priority="2">
      <formula>$D$36="简单平均"</formula>
    </cfRule>
  </conditionalFormatting>
  <conditionalFormatting sqref="J36">
    <cfRule type="expression" dxfId="14" priority="1">
      <formula>$D$36="简单平均"</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中诚信托有限责任公司：</v>
      </c>
    </row>
    <row r="4" spans="1:4" ht="37.5">
      <c r="A4" s="1706" t="str">
        <f>"受贵公司委托，我公司对"&amp;项目基本情况!K2&amp;项目基本情况!B9&amp;"进行了预评估。"</f>
        <v>受贵公司委托，我公司对河南省郑州市高新区站北路北、新荣路东出让国有建设用地使用权抵押价格进行了预评估。</v>
      </c>
    </row>
    <row r="5" spans="1:4" ht="18.75">
      <c r="A5" s="1709" t="s">
        <v>1896</v>
      </c>
    </row>
    <row r="6" spans="1:4" ht="131.2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郑州高新碧桂园房地产开发有限公司使用的、位于河南省郑州市高新区站北路北、新荣路东出让国有建设用地使用权。根据《不动产权证书》[豫（2020）郑州市不动产权第0097105号]，估价对象（分摊）出让国有建设用地使用权面积为52485.58平方米。根据《国有建设用地使用权出让合同》[电子监管号：4101002020B07222]及附件、《建设工程规划许可证》[郑规建（建筑）字第410100202019033号]，估价对象规划建筑面积为274652.19平方米。</v>
      </c>
    </row>
    <row r="7" spans="1:4" ht="93.75">
      <c r="A7" s="2590" t="s">
        <v>2725</v>
      </c>
    </row>
    <row r="8" spans="1:4" ht="18.75">
      <c r="A8" s="1709" t="s">
        <v>1897</v>
      </c>
    </row>
    <row r="9" spans="1:4" ht="93.75">
      <c r="A9" s="1711" t="str">
        <f>IF(项目基本情况!B8="抵押",IF(项目基本情况!B5=项目基本情况!B6,定义!C51,定义!B51),定义!D51)</f>
        <v>郑州高新碧桂园房地产开发有限公司拟使用河南省郑州市高新区站北路北、新荣路东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12" t="s">
        <v>2012</v>
      </c>
    </row>
    <row r="11" spans="1:4" ht="18.75">
      <c r="A11" s="1695" t="str">
        <f>TEXT(项目基本情况!D3,"yyyy年m月d日;;")&amp;IF(项目基本情况!B3=项目基本情况!D3,"（评估专业人员勘察现场之日）","")</f>
        <v>2020年8月19日（评估专业人员勘察现场之日）</v>
      </c>
    </row>
    <row r="12" spans="1:4" ht="18.75">
      <c r="A12" s="1712" t="s">
        <v>2011</v>
      </c>
    </row>
    <row r="13" spans="1:4" ht="18.75">
      <c r="A13" s="1706" t="s">
        <v>2057</v>
      </c>
    </row>
    <row r="14" spans="1:4" ht="37.5">
      <c r="A14" s="1706" t="str">
        <f>"根据"&amp;项目基本情况!F12&amp;"，本次评估估价对象证载（地类）用途为"&amp;项目基本情况!B12&amp;"。"</f>
        <v>根据《不动产权证书》[豫（2020）郑州市不动产权第0097105号]，本次评估估价对象证载（地类）用途为城镇住宅、交通服务场站。</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96"/>
      <c r="D15" s="1697"/>
    </row>
    <row r="16" spans="1:4" ht="18.75">
      <c r="A16" s="1706" t="s">
        <v>2058</v>
      </c>
    </row>
    <row r="17" spans="1:1" ht="7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正在进行基础及主体结构施工。</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2059</v>
      </c>
    </row>
    <row r="20" spans="1:1" ht="93.7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豫（2020）郑州市不动产权第0097105号]，估价对象（分摊）出让国有建设用地使用权面积为52485.58平方米。根据《国有建设用地使用权出让合同》[电子监管号：4101002020B07222]及附件、《建设工程规划许可证》[郑规建（建筑）字第410100202019033号]，估价对象规划建筑面积为274652.19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2060</v>
      </c>
    </row>
    <row r="23" spans="1:1" ht="18.75">
      <c r="A23" s="2592" t="s">
        <v>2726</v>
      </c>
    </row>
    <row r="24" spans="1:1" ht="18.75">
      <c r="A24" s="1706" t="s">
        <v>2061</v>
      </c>
    </row>
    <row r="25" spans="1:1" ht="93.75">
      <c r="A25" s="1706" t="str">
        <f>定义!C53</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住宅，剩余土地使用年限为住宅69.7年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IF(项目基本情况!E9="——","",定义!C57)</f>
        <v/>
      </c>
    </row>
    <row r="29" spans="1:1" ht="18.75">
      <c r="A29" s="1712" t="s">
        <v>2013</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2014</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activeCell="S52" sqref="S52"/>
      <selection pane="bottomLeft" activeCell="S52" sqref="S52"/>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2288</v>
      </c>
      <c r="C1" s="3626" t="s">
        <v>2289</v>
      </c>
      <c r="D1" s="3627"/>
      <c r="E1" s="3627"/>
      <c r="F1" s="3627"/>
      <c r="G1" s="3627"/>
      <c r="H1" s="3627"/>
      <c r="I1" s="3627"/>
      <c r="J1" s="3627"/>
      <c r="K1" s="3627"/>
      <c r="L1" s="3627"/>
      <c r="M1" s="3627"/>
      <c r="N1" s="3627"/>
      <c r="O1" s="3627"/>
      <c r="P1" s="3627"/>
      <c r="Q1" s="3627"/>
      <c r="R1" s="3627"/>
      <c r="S1" s="3628"/>
      <c r="T1" s="2114" t="s">
        <v>2290</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2291</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2889</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2888</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2887</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2900</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2886</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2885</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2292</v>
      </c>
      <c r="B17" s="2158" t="s">
        <v>2293</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23" t="s">
        <v>20</v>
      </c>
      <c r="D22" s="3624"/>
      <c r="E22" s="3624"/>
      <c r="F22" s="3624"/>
      <c r="G22" s="3624"/>
      <c r="H22" s="3624"/>
      <c r="I22" s="3624"/>
      <c r="J22" s="3624"/>
      <c r="K22" s="3624"/>
      <c r="L22" s="3624"/>
      <c r="M22" s="3624"/>
      <c r="N22" s="3624"/>
      <c r="O22" s="3624"/>
      <c r="P22" s="3624"/>
      <c r="Q22" s="3625"/>
      <c r="R22" s="484" t="e">
        <f>ROUND(S22*10000/B22,0)</f>
        <v>#DIV/0!</v>
      </c>
      <c r="S22" s="53">
        <f>SUM(S24:S10000)</f>
        <v>0</v>
      </c>
    </row>
    <row r="23" spans="1:45" s="1542" customFormat="1" ht="24">
      <c r="A23" s="17" t="s">
        <v>824</v>
      </c>
      <c r="B23" s="2861" t="s">
        <v>2908</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949">
        <v>1</v>
      </c>
      <c r="D24" s="950"/>
      <c r="E24" s="949">
        <v>1</v>
      </c>
      <c r="F24" s="950"/>
      <c r="G24" s="949">
        <v>1</v>
      </c>
      <c r="H24" s="950"/>
      <c r="I24" s="949">
        <v>1</v>
      </c>
      <c r="J24" s="950"/>
      <c r="K24" s="949">
        <v>1</v>
      </c>
      <c r="L24" s="950"/>
      <c r="M24" s="949">
        <v>1</v>
      </c>
      <c r="N24" s="950"/>
      <c r="O24" s="949">
        <v>1</v>
      </c>
      <c r="P24" s="950"/>
      <c r="Q24" s="949">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2764</v>
      </c>
      <c r="C1" s="2721">
        <f>项目基本情况!D3</f>
        <v>44062</v>
      </c>
      <c r="H1" s="2655">
        <f>IF(C1&gt;C13,0,MATCH(C1,C$13:C$100,-1))+IF(SUMIF(C13:C100,C1,D13:D100)=0,13,12)</f>
        <v>13</v>
      </c>
      <c r="I1" s="2655">
        <f ca="1">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2795</v>
      </c>
      <c r="C2" s="2722">
        <f>'数据-取费表'!B22</f>
        <v>3</v>
      </c>
      <c r="D2" s="2717" t="s">
        <v>2765</v>
      </c>
      <c r="E2" s="2720">
        <f ca="1">INDIRECT("I"&amp;$I$1)/100</f>
        <v>4.7500000000000001E-2</v>
      </c>
      <c r="G2" s="2657"/>
      <c r="H2" s="2657"/>
      <c r="I2" s="2657" t="s">
        <v>2766</v>
      </c>
      <c r="K2" s="2657"/>
      <c r="L2" s="2657"/>
      <c r="M2" s="2657"/>
      <c r="N2" s="2657" t="s">
        <v>2767</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2797</v>
      </c>
      <c r="C3" s="2719">
        <f>'数据-取费表'!B19</f>
        <v>0</v>
      </c>
      <c r="D3" s="2717" t="s">
        <v>2765</v>
      </c>
      <c r="E3" s="2720">
        <f ca="1">INDIRECT("J"&amp;$J$1)/100</f>
        <v>0</v>
      </c>
      <c r="G3" s="2659" t="s">
        <v>2768</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2796</v>
      </c>
      <c r="C4" s="2720">
        <f ca="1">N4/100</f>
        <v>1.4999999999999999E-2</v>
      </c>
      <c r="G4" s="2665" t="s">
        <v>2769</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2770</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2771</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2772</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2773</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2774</v>
      </c>
      <c r="C10" s="2684"/>
      <c r="D10" s="2684"/>
      <c r="E10" s="2684"/>
      <c r="F10" s="2684"/>
      <c r="G10" s="2684"/>
      <c r="H10" s="2684"/>
      <c r="I10" s="2658"/>
      <c r="J10" s="2658"/>
      <c r="K10" s="2684"/>
      <c r="L10" s="2685" t="s">
        <v>2775</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2776</v>
      </c>
      <c r="C11" s="2689" t="s">
        <v>2777</v>
      </c>
      <c r="D11" s="2690" t="s">
        <v>2778</v>
      </c>
      <c r="E11" s="2691"/>
      <c r="F11" s="2690" t="s">
        <v>2779</v>
      </c>
      <c r="G11" s="2692"/>
      <c r="H11" s="2691"/>
      <c r="I11" s="2690" t="s">
        <v>2780</v>
      </c>
      <c r="J11" s="2691"/>
      <c r="K11" s="2687"/>
      <c r="L11" s="2688" t="s">
        <v>2776</v>
      </c>
      <c r="M11" s="2689" t="s">
        <v>2777</v>
      </c>
      <c r="N11" s="2688" t="s">
        <v>2781</v>
      </c>
      <c r="O11" s="2690" t="s">
        <v>2782</v>
      </c>
      <c r="P11" s="2692"/>
      <c r="Q11" s="2692"/>
      <c r="R11" s="2692"/>
      <c r="S11" s="2692"/>
      <c r="T11" s="2691"/>
      <c r="U11" s="2690" t="s">
        <v>2783</v>
      </c>
      <c r="V11" s="2692"/>
      <c r="W11" s="2691"/>
      <c r="X11" s="2688" t="s">
        <v>2784</v>
      </c>
      <c r="Y11" s="2688" t="s">
        <v>2785</v>
      </c>
      <c r="Z11" s="2688" t="s">
        <v>2786</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2787</v>
      </c>
      <c r="E12" s="2697" t="s">
        <v>2788</v>
      </c>
      <c r="F12" s="2697" t="s">
        <v>2789</v>
      </c>
      <c r="G12" s="2697" t="s">
        <v>2790</v>
      </c>
      <c r="H12" s="2697" t="s">
        <v>2772</v>
      </c>
      <c r="I12" s="2698" t="s">
        <v>2791</v>
      </c>
      <c r="J12" s="2698" t="s">
        <v>2791</v>
      </c>
      <c r="K12" s="2694"/>
      <c r="L12" s="2695"/>
      <c r="M12" s="2696"/>
      <c r="N12" s="2695"/>
      <c r="O12" s="2698" t="s">
        <v>2792</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2793</v>
      </c>
      <c r="C13" s="2702">
        <v>42301</v>
      </c>
      <c r="D13" s="2703">
        <v>4.3499999999999996</v>
      </c>
      <c r="E13" s="2703">
        <v>4.3499999999999996</v>
      </c>
      <c r="F13" s="2703">
        <v>4.75</v>
      </c>
      <c r="G13" s="2703">
        <v>4.75</v>
      </c>
      <c r="H13" s="2703">
        <v>4.9000000000000004</v>
      </c>
      <c r="I13" s="2703">
        <v>2.75</v>
      </c>
      <c r="J13" s="2703">
        <v>3.25</v>
      </c>
      <c r="K13" s="2700"/>
      <c r="L13" s="2701" t="s">
        <v>2793</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2794</v>
      </c>
      <c r="Y42" s="2707" t="s">
        <v>2794</v>
      </c>
      <c r="Z42" s="2707" t="s">
        <v>2794</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2794</v>
      </c>
      <c r="Y43" s="2707" t="s">
        <v>2794</v>
      </c>
      <c r="Z43" s="2707" t="s">
        <v>2794</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2794</v>
      </c>
      <c r="Y44" s="2707" t="s">
        <v>2794</v>
      </c>
      <c r="Z44" s="2707" t="s">
        <v>2794</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2794</v>
      </c>
      <c r="Y45" s="2707" t="s">
        <v>2794</v>
      </c>
      <c r="Z45" s="2707" t="s">
        <v>2794</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2794</v>
      </c>
      <c r="Y46" s="2707" t="s">
        <v>2794</v>
      </c>
      <c r="Z46" s="2707" t="s">
        <v>2794</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2794</v>
      </c>
      <c r="Y47" s="2707" t="s">
        <v>2794</v>
      </c>
      <c r="Z47" s="2707" t="s">
        <v>2794</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2794</v>
      </c>
      <c r="Y48" s="2707" t="s">
        <v>2794</v>
      </c>
      <c r="Z48" s="2707" t="s">
        <v>2794</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2794</v>
      </c>
      <c r="Y49" s="2707" t="s">
        <v>2794</v>
      </c>
      <c r="Z49" s="2707" t="s">
        <v>2794</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2794</v>
      </c>
      <c r="Y50" s="2707" t="s">
        <v>2794</v>
      </c>
      <c r="Z50" s="2707" t="s">
        <v>2794</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2794</v>
      </c>
      <c r="V51" s="2707" t="s">
        <v>2794</v>
      </c>
      <c r="W51" s="2707" t="s">
        <v>2794</v>
      </c>
      <c r="X51" s="2707" t="s">
        <v>2794</v>
      </c>
      <c r="Y51" s="2707" t="s">
        <v>2794</v>
      </c>
      <c r="Z51" s="2707" t="s">
        <v>2794</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2794</v>
      </c>
      <c r="J55" s="2707" t="s">
        <v>2794</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60" zoomScaleSheetLayoutView="100" workbookViewId="0">
      <selection activeCell="C5" sqref="C5"/>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3003</v>
      </c>
      <c r="D1" s="2798" t="s">
        <v>3028</v>
      </c>
      <c r="E1" s="2242" t="s">
        <v>2356</v>
      </c>
      <c r="F1" s="2243">
        <f ca="1">J53</f>
        <v>36.75</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5"/>
      <c r="J3" s="1315"/>
      <c r="K3" s="1525"/>
      <c r="L3" s="1315"/>
      <c r="M3" s="1315"/>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2437</v>
      </c>
      <c r="C5" s="55">
        <f ca="1">C6+C10+C12</f>
        <v>0</v>
      </c>
      <c r="D5" s="2349" t="s">
        <v>2440</v>
      </c>
      <c r="E5" s="2343"/>
      <c r="F5" s="2344"/>
      <c r="G5" s="1945"/>
      <c r="H5" s="771">
        <v>1</v>
      </c>
      <c r="I5" s="772" t="s">
        <v>2437</v>
      </c>
      <c r="J5" s="55">
        <f ca="1">J6+J10+J12</f>
        <v>0</v>
      </c>
      <c r="K5" s="2349" t="s">
        <v>2440</v>
      </c>
      <c r="L5" s="2343"/>
      <c r="M5" s="2344"/>
    </row>
    <row r="6" spans="1:33" ht="18" customHeight="1">
      <c r="A6" s="1745" t="s">
        <v>1815</v>
      </c>
      <c r="B6" s="3585" t="s">
        <v>2442</v>
      </c>
      <c r="C6" s="773">
        <f ca="1">ROUND(F6*F8*F7*(1-F9)/10000,0)</f>
        <v>0</v>
      </c>
      <c r="D6" s="2350" t="s">
        <v>2441</v>
      </c>
      <c r="E6" s="774" t="s">
        <v>1729</v>
      </c>
      <c r="F6" s="775">
        <f ca="1">INDIRECT("'数据-取费表'!u"&amp;$G$1)</f>
        <v>2</v>
      </c>
      <c r="G6" s="1945"/>
      <c r="H6" s="2357" t="s">
        <v>2447</v>
      </c>
      <c r="I6" s="3585" t="s">
        <v>2442</v>
      </c>
      <c r="J6" s="773">
        <f ca="1">ROUND(M6*M8*M7*(1-M9)/10000,0)</f>
        <v>0</v>
      </c>
      <c r="K6" s="339" t="s">
        <v>1728</v>
      </c>
      <c r="L6" s="774" t="s">
        <v>1729</v>
      </c>
      <c r="M6" s="775">
        <f ca="1">INDIRECT("'数据-取费表'!z"&amp;$G$1)</f>
        <v>0</v>
      </c>
    </row>
    <row r="7" spans="1:33" ht="18" customHeight="1">
      <c r="A7" s="2353"/>
      <c r="B7" s="3586"/>
      <c r="C7" s="778"/>
      <c r="D7" s="779"/>
      <c r="E7" s="774" t="s">
        <v>1730</v>
      </c>
      <c r="F7" s="775">
        <f ca="1">IF(INDIRECT("'数据-取费表'!ah"&amp;$G$1)="",INDIRECT("'数据-取费表'!k"&amp;$G$1),INDIRECT("'数据-取费表'!ah"&amp;$G$1))</f>
        <v>0</v>
      </c>
      <c r="G7" s="1945"/>
      <c r="H7" s="2342"/>
      <c r="I7" s="3586"/>
      <c r="J7" s="778"/>
      <c r="K7" s="779"/>
      <c r="L7" s="774" t="s">
        <v>1730</v>
      </c>
      <c r="M7" s="775">
        <f ca="1">F7</f>
        <v>0</v>
      </c>
    </row>
    <row r="8" spans="1:33" ht="18" customHeight="1">
      <c r="A8" s="2346"/>
      <c r="B8" s="3587"/>
      <c r="C8" s="778"/>
      <c r="D8" s="779"/>
      <c r="E8" s="774" t="s">
        <v>1731</v>
      </c>
      <c r="F8" s="775">
        <f ca="1">INDIRECT("'数据-取费表'!ai"&amp;$G$1)</f>
        <v>365</v>
      </c>
      <c r="G8" s="1945"/>
      <c r="H8" s="2342"/>
      <c r="I8" s="3587"/>
      <c r="J8" s="778"/>
      <c r="K8" s="779"/>
      <c r="L8" s="774" t="s">
        <v>1731</v>
      </c>
      <c r="M8" s="775">
        <f ca="1">INDIRECT("'数据-取费表'!ai"&amp;$G$1)</f>
        <v>365</v>
      </c>
    </row>
    <row r="9" spans="1:33" ht="18" customHeight="1">
      <c r="A9" s="776"/>
      <c r="B9" s="3588"/>
      <c r="C9" s="778"/>
      <c r="D9" s="779"/>
      <c r="E9" s="774" t="s">
        <v>1732</v>
      </c>
      <c r="F9" s="784">
        <f ca="1">INDIRECT("'数据-取费表'!w"&amp;$G$1)</f>
        <v>0.1</v>
      </c>
      <c r="G9" s="1945"/>
      <c r="H9" s="2358"/>
      <c r="I9" s="3587"/>
      <c r="J9" s="778"/>
      <c r="K9" s="779"/>
      <c r="L9" s="785" t="s">
        <v>1732</v>
      </c>
      <c r="M9" s="786">
        <f ca="1">INDIRECT("'数据-取费表'!ab"&amp;$G$1)</f>
        <v>0</v>
      </c>
    </row>
    <row r="10" spans="1:33" ht="18" customHeight="1">
      <c r="A10" s="1745" t="s">
        <v>2445</v>
      </c>
      <c r="B10" s="2347" t="s">
        <v>2438</v>
      </c>
      <c r="C10" s="789">
        <f ca="1">ROUND(IF(F10="押一",C6/12*F11,IF(F10="押二",C6/12*2*F11,IF(F10="押三",C6/12*3*F11,C11*F11))),0)</f>
        <v>0</v>
      </c>
      <c r="D10" s="2354" t="s">
        <v>2931</v>
      </c>
      <c r="E10" s="2351" t="s">
        <v>2443</v>
      </c>
      <c r="F10" s="2465"/>
      <c r="G10" s="1945"/>
      <c r="H10" s="2414" t="s">
        <v>2448</v>
      </c>
      <c r="I10" s="2419" t="s">
        <v>2438</v>
      </c>
      <c r="J10" s="773">
        <f ca="1">ROUND(IF(M10="押一",J6/12*M11,IF(M10="押二",J6/12*2*M11,IF(M10="押三",J6/12*3*M11,J11*M11))),0)</f>
        <v>0</v>
      </c>
      <c r="K10" s="2354" t="s">
        <v>2931</v>
      </c>
      <c r="L10" s="2351" t="s">
        <v>2443</v>
      </c>
      <c r="M10" s="2465"/>
    </row>
    <row r="11" spans="1:33" ht="18" customHeight="1">
      <c r="A11" s="780"/>
      <c r="B11" s="2348" t="s">
        <v>2552</v>
      </c>
      <c r="C11" s="2352"/>
      <c r="D11" s="779"/>
      <c r="E11" s="2351" t="s">
        <v>2444</v>
      </c>
      <c r="F11" s="786">
        <f ca="1">'数据-取费表'!B39</f>
        <v>1.4999999999999999E-2</v>
      </c>
      <c r="G11" s="1945"/>
      <c r="H11" s="2415"/>
      <c r="I11" s="2348" t="s">
        <v>2552</v>
      </c>
      <c r="J11" s="2352"/>
      <c r="K11" s="2416"/>
      <c r="L11" s="2351" t="s">
        <v>2444</v>
      </c>
      <c r="M11" s="2345">
        <f ca="1">'数据-取费表'!B39</f>
        <v>1.4999999999999999E-2</v>
      </c>
    </row>
    <row r="12" spans="1:33" ht="18" customHeight="1" thickBot="1">
      <c r="A12" s="2390" t="s">
        <v>2446</v>
      </c>
      <c r="B12" s="2391" t="s">
        <v>2439</v>
      </c>
      <c r="C12" s="2392"/>
      <c r="D12" s="2393"/>
      <c r="E12" s="2394"/>
      <c r="F12" s="2395"/>
      <c r="G12" s="1945"/>
      <c r="H12" s="2404" t="s">
        <v>2449</v>
      </c>
      <c r="I12" s="2417" t="s">
        <v>2439</v>
      </c>
      <c r="J12" s="2418"/>
      <c r="K12" s="2393"/>
      <c r="L12" s="2394"/>
      <c r="M12" s="2407"/>
    </row>
    <row r="13" spans="1:33" ht="18" customHeight="1" thickTop="1">
      <c r="A13" s="1744">
        <v>2</v>
      </c>
      <c r="B13" s="1742" t="s">
        <v>1733</v>
      </c>
      <c r="C13" s="782">
        <f ca="1">ROUND(C29*F13,0)</f>
        <v>0</v>
      </c>
      <c r="D13" s="1749" t="s">
        <v>2282</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0</v>
      </c>
      <c r="D14" s="1893" t="s">
        <v>1736</v>
      </c>
      <c r="E14" s="1894"/>
      <c r="F14" s="795"/>
      <c r="G14" s="1945"/>
      <c r="H14" s="1577" t="s">
        <v>1821</v>
      </c>
      <c r="I14" s="2111" t="s">
        <v>2802</v>
      </c>
      <c r="J14" s="53">
        <f ca="1">C29</f>
        <v>0</v>
      </c>
      <c r="K14" s="26"/>
      <c r="L14" s="791"/>
      <c r="M14" s="792"/>
    </row>
    <row r="15" spans="1:33" s="1947" customFormat="1" ht="18" customHeight="1" thickBot="1">
      <c r="A15" s="1576"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6" t="s">
        <v>1878</v>
      </c>
      <c r="B17" s="774" t="s">
        <v>647</v>
      </c>
      <c r="C17" s="53">
        <f ca="1">ROUND(F17*(F43+INDIRECT("'数据-取费表'!S"&amp;$G$1))/10000,0)</f>
        <v>0</v>
      </c>
      <c r="D17" s="774" t="s">
        <v>1742</v>
      </c>
      <c r="E17" s="774" t="s">
        <v>1743</v>
      </c>
      <c r="F17" s="56">
        <f>'数据-取费表'!B35</f>
        <v>200</v>
      </c>
      <c r="G17" s="3261"/>
      <c r="H17" s="1577" t="s">
        <v>1821</v>
      </c>
      <c r="I17" s="774" t="s">
        <v>650</v>
      </c>
      <c r="J17" s="3019">
        <f ca="1">ROUND(IF(AND(项目基本情况!B11="自然人",项目基本情况!B10="北京市"),J6*M17/(1+'数据-取费表'!F30),J18+J19+J20),0)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0</v>
      </c>
      <c r="D18" s="774" t="s">
        <v>1737</v>
      </c>
      <c r="E18" s="774" t="s">
        <v>1738</v>
      </c>
      <c r="F18" s="799">
        <f>'数据-取费表'!B36</f>
        <v>1.4999999999999999E-2</v>
      </c>
      <c r="G18" s="3261"/>
      <c r="H18" s="1576"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0</v>
      </c>
      <c r="D19" s="259" t="s">
        <v>1748</v>
      </c>
      <c r="E19" s="1896"/>
      <c r="F19" s="56"/>
      <c r="G19" s="1945"/>
      <c r="H19" s="1576"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7" t="s">
        <v>1880</v>
      </c>
      <c r="B20" s="774" t="s">
        <v>660</v>
      </c>
      <c r="C20" s="53">
        <f ca="1">ROUND(C19*F20,0)</f>
        <v>0</v>
      </c>
      <c r="D20" s="801" t="s">
        <v>1750</v>
      </c>
      <c r="E20" s="774" t="s">
        <v>1738</v>
      </c>
      <c r="F20" s="799">
        <f>'数据-取费表'!B37</f>
        <v>0.02</v>
      </c>
      <c r="G20" s="3261"/>
      <c r="H20" s="1579" t="s">
        <v>1871</v>
      </c>
      <c r="I20" s="339" t="s">
        <v>1751</v>
      </c>
      <c r="J20" s="54">
        <f ca="1">ROUND(M20*M21/10000,0)</f>
        <v>0</v>
      </c>
      <c r="K20" s="803" t="s">
        <v>1752</v>
      </c>
      <c r="L20" s="774" t="s">
        <v>1753</v>
      </c>
      <c r="M20" s="632">
        <f>'数据-取费表'!B52</f>
        <v>18</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2283</v>
      </c>
      <c r="E21" s="774" t="s">
        <v>1756</v>
      </c>
      <c r="F21" s="799">
        <f>'数据-取费表'!B38</f>
        <v>0.03</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0</v>
      </c>
      <c r="K22" s="2337" t="s">
        <v>1760</v>
      </c>
      <c r="L22" s="774" t="s">
        <v>1738</v>
      </c>
      <c r="M22" s="806">
        <f ca="1">INDIRECT("'数据-取费表'!Ak"&amp;$G$1)</f>
        <v>1.4999999999999999E-2</v>
      </c>
    </row>
    <row r="23" spans="1:33" s="1947" customFormat="1" ht="18" customHeight="1">
      <c r="A23" s="1576" t="s">
        <v>1822</v>
      </c>
      <c r="B23" s="774" t="s">
        <v>2514</v>
      </c>
      <c r="C23" s="53">
        <f ca="1">ROUND(IF('数据-取费表'!B22&lt;=1,(C19+C20)*F24*F23/2,(C19+C20)*(POWER((1+F24),F23/2)-1)),0)</f>
        <v>0</v>
      </c>
      <c r="D23" s="2423" t="str">
        <f>IF(F23&lt;=1,"(建造成本+管理费用)×利率×(建设周期÷2)","(建造成本+管理费用)×((1+利率)^(建设周期÷2)-1)")</f>
        <v>(建造成本+管理费用)×((1+利率)^(建设周期÷2)-1)</v>
      </c>
      <c r="E23" s="774" t="s">
        <v>1761</v>
      </c>
      <c r="F23" s="632">
        <f>'数据-取费表'!B20</f>
        <v>3</v>
      </c>
      <c r="G23" s="3261"/>
      <c r="H23" s="1577" t="s">
        <v>1881</v>
      </c>
      <c r="I23" s="774" t="s">
        <v>673</v>
      </c>
      <c r="J23" s="53">
        <f ca="1">ROUND(J13*M23,0)</f>
        <v>0</v>
      </c>
      <c r="K23" s="2337" t="s">
        <v>1762</v>
      </c>
      <c r="L23" s="774" t="s">
        <v>1738</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2.2000000000000001E-3</v>
      </c>
      <c r="D24" s="2423" t="str">
        <f>IF(F23&lt;=1,"销售费用×利率×(建设周期÷2)","销售费用×((1+利率)^(建设周期÷2)-1)")</f>
        <v>销售费用×((1+利率)^(建设周期÷2)-1)</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3" t="s">
        <v>2798</v>
      </c>
      <c r="J25" s="782">
        <f ca="1">J5-J16</f>
        <v>0</v>
      </c>
      <c r="K25" s="2401" t="s">
        <v>1768</v>
      </c>
      <c r="L25" s="2402"/>
      <c r="M25" s="2403"/>
    </row>
    <row r="26" spans="1:33" ht="18" customHeight="1">
      <c r="A26" s="1576" t="s">
        <v>1822</v>
      </c>
      <c r="B26" s="774" t="s">
        <v>2419</v>
      </c>
      <c r="C26" s="53">
        <f ca="1">ROUND((C19+C20)*F26,0)</f>
        <v>0</v>
      </c>
      <c r="D26" s="801" t="s">
        <v>1769</v>
      </c>
      <c r="E26" s="785" t="s">
        <v>1770</v>
      </c>
      <c r="F26" s="784">
        <f ca="1">INDIRECT("'数据-取费表'!q"&amp;$G$1)</f>
        <v>0.2</v>
      </c>
      <c r="G26" s="1945"/>
      <c r="H26" s="2355" t="s">
        <v>1771</v>
      </c>
      <c r="I26" s="2112" t="s">
        <v>2803</v>
      </c>
      <c r="J26" s="773">
        <f ca="1">IF(J5&lt;&gt;0,ROUND(J25*(1-((1+M28)/(1+M26))^M27)/(M26-M28),0),0)</f>
        <v>0</v>
      </c>
      <c r="K26" s="803" t="s">
        <v>1772</v>
      </c>
      <c r="L26" s="774" t="s">
        <v>2401</v>
      </c>
      <c r="M26" s="784">
        <f ca="1">INDIRECT("'数据-取费表'!I"&amp;$G$1)</f>
        <v>5.5E-2</v>
      </c>
    </row>
    <row r="27" spans="1:33" ht="18" customHeight="1">
      <c r="A27" s="1576" t="s">
        <v>1823</v>
      </c>
      <c r="B27" s="774" t="s">
        <v>680</v>
      </c>
      <c r="C27" s="53">
        <f ca="1">ROUND(F21*F26,4)</f>
        <v>6.0000000000000001E-3</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2284</v>
      </c>
      <c r="E28" s="774" t="s">
        <v>1776</v>
      </c>
      <c r="F28" s="799">
        <f>'数据-取费表'!B41</f>
        <v>5.6000000000000001E-2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2285</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7" t="s">
        <v>1821</v>
      </c>
      <c r="B31" s="774" t="s">
        <v>650</v>
      </c>
      <c r="C31" s="3019">
        <f ca="1">ROUND(IF(AND(项目基本情况!B11="自然人",项目基本情况!B10="北京市"),C6*F31/(1+'数据-取费表'!F30),C32+C33+C34),0)</f>
        <v>0</v>
      </c>
      <c r="D31" s="1893" t="s">
        <v>1783</v>
      </c>
      <c r="E31" s="1891" t="s">
        <v>1784</v>
      </c>
      <c r="F31" s="3018" t="str">
        <f>IF(项目基本情况!B11="企业","——",IF('数据-取费表'!B10="住宅",IF(F6*F7*F8/12/(1+'数据-取费表'!F30)&gt;100000,4%,2.5%),IF(F6*F7*F8/12/(1+'数据-取费表'!F30)&gt;100000,12%,7%)))</f>
        <v>——</v>
      </c>
      <c r="G31" s="1945"/>
      <c r="H31" s="3258" t="s">
        <v>2991</v>
      </c>
      <c r="I31" s="1949"/>
      <c r="J31" s="1950"/>
      <c r="K31" s="1951"/>
      <c r="L31" s="1952"/>
      <c r="M31" s="1953"/>
    </row>
    <row r="32" spans="1:33" ht="18" customHeight="1">
      <c r="A32" s="1576" t="s">
        <v>1822</v>
      </c>
      <c r="B32" s="774" t="s">
        <v>1785</v>
      </c>
      <c r="C32" s="53">
        <f ca="1">ROUND(C6*F32/(1+'数据-取费表'!C42),1)</f>
        <v>0</v>
      </c>
      <c r="D32" s="1891"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0</v>
      </c>
      <c r="D33" s="800" t="s">
        <v>3029</v>
      </c>
      <c r="E33" s="774" t="s">
        <v>1787</v>
      </c>
      <c r="F33" s="799">
        <f>IF(D33="按租金收入计税",'数据-取费表'!B51,'数据-取费表'!B50)</f>
        <v>0.12</v>
      </c>
      <c r="G33" s="1945"/>
      <c r="H33" s="1960"/>
      <c r="I33" s="1960"/>
      <c r="J33" s="1960"/>
      <c r="K33" s="1961"/>
      <c r="L33" s="1960"/>
      <c r="M33" s="1960"/>
    </row>
    <row r="34" spans="1:18" ht="18" customHeight="1">
      <c r="A34" s="1579" t="s">
        <v>1824</v>
      </c>
      <c r="B34" s="339" t="s">
        <v>1789</v>
      </c>
      <c r="C34" s="54">
        <f ca="1">ROUND(F34*F35/10000,1)</f>
        <v>0</v>
      </c>
      <c r="D34" s="803" t="s">
        <v>1790</v>
      </c>
      <c r="E34" s="774" t="s">
        <v>1791</v>
      </c>
      <c r="F34" s="632">
        <f>'数据-取费表'!B52</f>
        <v>18</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7" t="s">
        <v>1880</v>
      </c>
      <c r="B36" s="774" t="s">
        <v>1793</v>
      </c>
      <c r="C36" s="53">
        <f ca="1">ROUND(C29*F36,1)</f>
        <v>0</v>
      </c>
      <c r="D36" s="1891" t="s">
        <v>1794</v>
      </c>
      <c r="E36" s="774" t="s">
        <v>1787</v>
      </c>
      <c r="F36" s="806">
        <f ca="1">INDIRECT("'数据-取费表'!Ak"&amp;$G$1)</f>
        <v>1.4999999999999999E-2</v>
      </c>
      <c r="G36" s="1945"/>
      <c r="H36" s="1960"/>
      <c r="I36" s="828" t="s">
        <v>1806</v>
      </c>
      <c r="J36" s="829">
        <f ca="1">INDIRECT("'数据-取费表'!j"&amp;$G$1)</f>
        <v>8.5000000000000006E-2</v>
      </c>
      <c r="K36" s="1964"/>
      <c r="L36" s="1960"/>
      <c r="M36" s="1960"/>
    </row>
    <row r="37" spans="1:18" ht="18" customHeight="1">
      <c r="A37" s="1577" t="s">
        <v>1881</v>
      </c>
      <c r="B37" s="774" t="s">
        <v>673</v>
      </c>
      <c r="C37" s="53">
        <f ca="1">ROUND(C13*F37,1)</f>
        <v>0</v>
      </c>
      <c r="D37" s="1891" t="s">
        <v>1795</v>
      </c>
      <c r="E37" s="774" t="s">
        <v>1787</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3" t="s">
        <v>2798</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2286</v>
      </c>
      <c r="C40" s="773">
        <f ca="1">ROUND(C39*(1-((1+F42)/(1+F40))^F41)/(F40-F42),0)</f>
        <v>0</v>
      </c>
      <c r="D40" s="803" t="s">
        <v>1798</v>
      </c>
      <c r="E40" s="774" t="s">
        <v>2401</v>
      </c>
      <c r="F40" s="784">
        <f ca="1">INDIRECT("'数据-取费表'!I"&amp;$G$1)</f>
        <v>5.5E-2</v>
      </c>
      <c r="G40" s="1945"/>
      <c r="H40" s="1945"/>
      <c r="I40" s="826" t="s">
        <v>1810</v>
      </c>
      <c r="J40" s="834" t="e">
        <f ca="1">1-J39</f>
        <v>#DIV/0!</v>
      </c>
      <c r="K40" s="1965"/>
      <c r="L40" s="1945"/>
      <c r="M40" s="1945"/>
    </row>
    <row r="41" spans="1:18" ht="18" customHeight="1">
      <c r="A41" s="776"/>
      <c r="B41" s="777"/>
      <c r="C41" s="778"/>
      <c r="D41" s="810" t="s">
        <v>1799</v>
      </c>
      <c r="E41" s="774" t="s">
        <v>2922</v>
      </c>
      <c r="F41" s="811">
        <f ca="1">IF(INDIRECT("'数据-取费表'!af"&amp;$G$1)=0,INDIRECT("'数据-取费表'!ae"&amp;$G$1),INDIRECT("'数据-取费表'!af"&amp;$G$1))</f>
        <v>36.75</v>
      </c>
      <c r="G41" s="1945"/>
      <c r="H41" s="1900"/>
      <c r="I41" s="832" t="s">
        <v>1811</v>
      </c>
      <c r="J41" s="835"/>
      <c r="K41" s="1964"/>
      <c r="L41" s="1900"/>
      <c r="M41" s="1900"/>
    </row>
    <row r="42" spans="1:18" ht="18" customHeight="1">
      <c r="A42" s="780"/>
      <c r="B42" s="781"/>
      <c r="C42" s="782"/>
      <c r="D42" s="805"/>
      <c r="E42" s="774" t="s">
        <v>1800</v>
      </c>
      <c r="F42" s="784">
        <f ca="1">INDIRECT("'数据-取费表'!v"&amp;$G$1)</f>
        <v>0.03</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2280</v>
      </c>
      <c r="B46" s="1967"/>
      <c r="C46" s="2426">
        <f ca="1">C67-C40</f>
        <v>0</v>
      </c>
      <c r="D46" s="3262"/>
      <c r="E46" s="3262"/>
      <c r="F46" s="3262"/>
      <c r="I46" s="2233" t="s">
        <v>2325</v>
      </c>
      <c r="J46" s="2234"/>
      <c r="K46" s="2235"/>
      <c r="L46" s="2811">
        <f>IF(OR(M47="住宅",D1="土地（套用方法）"),0,IF(L48&gt;J51,L60,J60))</f>
        <v>0</v>
      </c>
      <c r="M46" s="3263"/>
      <c r="O46" s="2249" t="s">
        <v>2392</v>
      </c>
      <c r="P46" s="1526"/>
      <c r="Q46" s="1534"/>
      <c r="R46" s="1526"/>
    </row>
    <row r="47" spans="1:18" s="1942" customFormat="1" ht="18" customHeight="1" thickBot="1">
      <c r="A47" s="2227">
        <v>1</v>
      </c>
      <c r="B47" s="2228" t="s">
        <v>629</v>
      </c>
      <c r="C47" s="2426">
        <f ca="1">C48+C52+C54</f>
        <v>0</v>
      </c>
      <c r="D47" s="3262"/>
      <c r="E47" s="3262"/>
      <c r="F47" s="3262"/>
      <c r="I47" s="2802" t="s">
        <v>2326</v>
      </c>
      <c r="J47" s="2236" t="s">
        <v>3030</v>
      </c>
      <c r="K47" s="2808" t="s">
        <v>2331</v>
      </c>
      <c r="L47" s="2812">
        <f ca="1">INDIRECT("'数据-取费表'!d"&amp;$G$1)</f>
        <v>40</v>
      </c>
      <c r="M47" s="1534" t="str">
        <f>IF(ISNUMBER(FIND("住宅",C1)),"住宅","非住宅")</f>
        <v>非住宅</v>
      </c>
      <c r="O47" s="2250" t="s">
        <v>2357</v>
      </c>
      <c r="P47" s="2251" t="s">
        <v>2358</v>
      </c>
      <c r="Q47" s="2252" t="s">
        <v>2359</v>
      </c>
      <c r="R47" s="2251" t="s">
        <v>2360</v>
      </c>
    </row>
    <row r="48" spans="1:18" s="1942" customFormat="1" ht="18" customHeight="1" thickBot="1">
      <c r="A48" s="2484" t="s">
        <v>2516</v>
      </c>
      <c r="B48" s="2485" t="s">
        <v>2517</v>
      </c>
      <c r="C48" s="2229">
        <f ca="1">ROUND(F48*F50*F49*(1-F51)/10000,0)</f>
        <v>0</v>
      </c>
      <c r="D48" s="2230" t="s">
        <v>630</v>
      </c>
      <c r="E48" s="2231" t="s">
        <v>2281</v>
      </c>
      <c r="F48" s="2232"/>
      <c r="G48" s="1972"/>
      <c r="I48" s="2799" t="s">
        <v>2327</v>
      </c>
      <c r="J48" s="2237" t="s">
        <v>2332</v>
      </c>
      <c r="K48" s="2809" t="s">
        <v>2333</v>
      </c>
      <c r="L48" s="1822">
        <f ca="1">INDIRECT("'数据-取费表'!f"&amp;$G$1)</f>
        <v>39.75</v>
      </c>
      <c r="M48" s="3263"/>
      <c r="O48" s="2253" t="s">
        <v>2361</v>
      </c>
      <c r="P48" s="2254" t="s">
        <v>2387</v>
      </c>
      <c r="Q48" s="2255">
        <f ca="1">C40+J29</f>
        <v>0</v>
      </c>
      <c r="R48" s="2254" t="s">
        <v>2362</v>
      </c>
    </row>
    <row r="49" spans="1:18" s="1942" customFormat="1" ht="18" customHeight="1" thickBot="1">
      <c r="A49" s="776"/>
      <c r="B49" s="777"/>
      <c r="C49" s="778"/>
      <c r="D49" s="779"/>
      <c r="E49" s="774" t="s">
        <v>1730</v>
      </c>
      <c r="F49" s="775">
        <f ca="1">F7</f>
        <v>0</v>
      </c>
      <c r="G49" s="1972"/>
      <c r="H49" s="1975"/>
      <c r="I49" s="2799" t="s">
        <v>2328</v>
      </c>
      <c r="J49" s="2238"/>
      <c r="K49" s="2810" t="s">
        <v>2334</v>
      </c>
      <c r="L49" s="2239"/>
      <c r="M49" s="3263"/>
      <c r="O49" s="2253" t="s">
        <v>2363</v>
      </c>
      <c r="P49" s="2254" t="s">
        <v>2388</v>
      </c>
      <c r="Q49" s="2255" t="str">
        <f ca="1">J60</f>
        <v>0</v>
      </c>
      <c r="R49" s="2254" t="s">
        <v>2364</v>
      </c>
    </row>
    <row r="50" spans="1:18" s="1942" customFormat="1" ht="18" customHeight="1" thickBot="1">
      <c r="A50" s="776"/>
      <c r="B50" s="777"/>
      <c r="C50" s="778"/>
      <c r="D50" s="779"/>
      <c r="E50" s="774" t="s">
        <v>1731</v>
      </c>
      <c r="F50" s="775">
        <f ca="1">F8</f>
        <v>365</v>
      </c>
      <c r="G50" s="1977"/>
      <c r="H50" s="1975"/>
      <c r="I50" s="2799" t="s">
        <v>2329</v>
      </c>
      <c r="J50" s="2806">
        <f>SUMPRODUCT((I63:I65=J47)*(J62:L62=J48)*(J63:L65))</f>
        <v>60</v>
      </c>
      <c r="K50" s="2810" t="s">
        <v>2335</v>
      </c>
      <c r="L50" s="2239"/>
      <c r="M50" s="3263"/>
      <c r="O50" s="2256" t="s">
        <v>2365</v>
      </c>
      <c r="P50" s="2254" t="s">
        <v>2389</v>
      </c>
      <c r="Q50" s="2255">
        <f ca="1">C29</f>
        <v>0</v>
      </c>
      <c r="R50" s="2254" t="s">
        <v>2362</v>
      </c>
    </row>
    <row r="51" spans="1:18" s="1942" customFormat="1" ht="18" customHeight="1" thickBot="1">
      <c r="A51" s="776"/>
      <c r="B51" s="777"/>
      <c r="C51" s="778"/>
      <c r="D51" s="779"/>
      <c r="E51" s="774" t="s">
        <v>634</v>
      </c>
      <c r="F51" s="2226"/>
      <c r="H51" s="1975"/>
      <c r="I51" s="2803" t="s">
        <v>2330</v>
      </c>
      <c r="J51" s="2807">
        <f>IF(J49="",J50,J49+J50-YEAR('数据-取费表'!B2))</f>
        <v>60</v>
      </c>
      <c r="K51" s="2799" t="s">
        <v>2336</v>
      </c>
      <c r="L51" s="2813">
        <f ca="1">ROUND(-PV(INDIRECT("'数据-取费表'!h"&amp;$G$1),J51,(C39-C13*J36),0),0)</f>
        <v>0</v>
      </c>
      <c r="M51" s="3263"/>
      <c r="O51" s="2256" t="s">
        <v>2366</v>
      </c>
      <c r="P51" s="2254" t="s">
        <v>2367</v>
      </c>
      <c r="Q51" s="2257" t="e">
        <f ca="1">J58</f>
        <v>#VALUE!</v>
      </c>
      <c r="R51" s="2258"/>
    </row>
    <row r="52" spans="1:18" s="1942" customFormat="1" ht="18" customHeight="1" thickBot="1">
      <c r="A52" s="771" t="s">
        <v>2515</v>
      </c>
      <c r="B52" s="2347" t="s">
        <v>2438</v>
      </c>
      <c r="C52" s="789">
        <f ca="1">ROUND(IF(F52="押一",C48/12*F11,IF(F52="押二",C48/12*2*F11,IF(F52="押三",C48/12*3*F11,C53*F11))),0)</f>
        <v>0</v>
      </c>
      <c r="D52" s="2354" t="s">
        <v>2932</v>
      </c>
      <c r="E52" s="2351" t="s">
        <v>2443</v>
      </c>
      <c r="F52" s="2465"/>
      <c r="I52" s="2804" t="s">
        <v>2403</v>
      </c>
      <c r="J52" s="2240"/>
      <c r="K52" s="2804" t="s">
        <v>2402</v>
      </c>
      <c r="L52" s="2240"/>
      <c r="M52" s="3263"/>
      <c r="O52" s="2256" t="s">
        <v>2368</v>
      </c>
      <c r="P52" s="2254" t="s">
        <v>2369</v>
      </c>
      <c r="Q52" s="2257">
        <f>J52</f>
        <v>0</v>
      </c>
      <c r="R52" s="2258"/>
    </row>
    <row r="53" spans="1:18" s="1942" customFormat="1" ht="39.75" customHeight="1" thickBot="1">
      <c r="A53" s="776"/>
      <c r="B53" s="2348" t="s">
        <v>2552</v>
      </c>
      <c r="C53" s="2352"/>
      <c r="D53" s="2354"/>
      <c r="E53" s="2351"/>
      <c r="F53" s="790"/>
      <c r="I53" s="2805" t="s">
        <v>2935</v>
      </c>
      <c r="J53" s="2858">
        <f ca="1">IF(M47="住宅",IF(D1="——",MAX(J51,L48),MAX(J51,L48-'数据-取费表'!B20)),IF(D1="——",MIN(J51,L48),MIN(J51,L48-'数据-取费表'!B20)))</f>
        <v>36.75</v>
      </c>
      <c r="K53" s="3629" t="s">
        <v>2924</v>
      </c>
      <c r="L53" s="3630"/>
      <c r="M53" s="3263"/>
      <c r="O53" s="2256" t="s">
        <v>2370</v>
      </c>
      <c r="P53" s="2254" t="s">
        <v>2371</v>
      </c>
      <c r="Q53" s="2255">
        <f ca="1">J53</f>
        <v>36.75</v>
      </c>
      <c r="R53" s="2254" t="s">
        <v>2372</v>
      </c>
    </row>
    <row r="54" spans="1:18" s="1942" customFormat="1" ht="18" customHeight="1" thickBot="1">
      <c r="A54" s="2390" t="s">
        <v>2446</v>
      </c>
      <c r="B54" s="2391" t="s">
        <v>2439</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3"/>
      <c r="O54" s="2253" t="s">
        <v>2373</v>
      </c>
      <c r="P54" s="2254" t="s">
        <v>2390</v>
      </c>
      <c r="Q54" s="2255">
        <f ca="1">Q48+Q49</f>
        <v>0</v>
      </c>
      <c r="R54" s="2258" t="s">
        <v>2374</v>
      </c>
    </row>
    <row r="55" spans="1:18" s="1942" customFormat="1" ht="18" customHeight="1" thickTop="1" thickBot="1">
      <c r="A55" s="787">
        <v>2</v>
      </c>
      <c r="B55" s="788" t="s">
        <v>638</v>
      </c>
      <c r="C55" s="789">
        <f ca="1">C13</f>
        <v>0</v>
      </c>
      <c r="D55" s="785"/>
      <c r="E55" s="785"/>
      <c r="F55" s="790"/>
      <c r="I55" s="2816" t="s">
        <v>2337</v>
      </c>
      <c r="J55" s="2788" t="e">
        <f ca="1">ROUND(IF(J47="钢混",J57/J50,1-(1-2%)*(J50-J57)/J50),3)</f>
        <v>#VALUE!</v>
      </c>
      <c r="K55" s="2817" t="s">
        <v>2338</v>
      </c>
      <c r="L55" s="2241"/>
      <c r="M55" s="3263"/>
      <c r="O55" s="2259" t="s">
        <v>2393</v>
      </c>
      <c r="P55" s="1526"/>
      <c r="Q55" s="1534"/>
      <c r="R55" s="1526"/>
    </row>
    <row r="56" spans="1:18" s="1942" customFormat="1" ht="42.75" customHeight="1" thickBot="1">
      <c r="A56" s="1578"/>
      <c r="B56" s="2111" t="s">
        <v>2287</v>
      </c>
      <c r="C56" s="53">
        <f ca="1">C29</f>
        <v>0</v>
      </c>
      <c r="D56" s="2481"/>
      <c r="E56" s="774"/>
      <c r="F56" s="799"/>
      <c r="I56" s="2818" t="s">
        <v>2339</v>
      </c>
      <c r="J56" s="2828" t="s">
        <v>1669</v>
      </c>
      <c r="K56" s="2799" t="s">
        <v>2344</v>
      </c>
      <c r="L56" s="1822" t="str">
        <f ca="1">IF(L48&lt;J51,"——",L48-J51)</f>
        <v>——</v>
      </c>
      <c r="M56" s="3263"/>
      <c r="O56" s="2250" t="s">
        <v>2357</v>
      </c>
      <c r="P56" s="2251" t="s">
        <v>2358</v>
      </c>
      <c r="Q56" s="2252" t="s">
        <v>2359</v>
      </c>
      <c r="R56" s="2251" t="s">
        <v>2360</v>
      </c>
    </row>
    <row r="57" spans="1:18" s="1942" customFormat="1" ht="28.5" customHeight="1" thickBot="1">
      <c r="A57" s="787" t="s">
        <v>1739</v>
      </c>
      <c r="B57" s="788" t="s">
        <v>645</v>
      </c>
      <c r="C57" s="789">
        <f ca="1">ROUND(C58+C63+C64+C65,0)</f>
        <v>0</v>
      </c>
      <c r="D57" s="26" t="s">
        <v>1741</v>
      </c>
      <c r="E57" s="2482"/>
      <c r="F57" s="56"/>
      <c r="I57" s="2819" t="s">
        <v>2340</v>
      </c>
      <c r="J57" s="2820" t="str">
        <f ca="1">IF(OR(M47="住宅",J51&lt;L48,J56="是"),"——",J51-L48)</f>
        <v>——</v>
      </c>
      <c r="K57" s="2799" t="s">
        <v>2345</v>
      </c>
      <c r="L57" s="1822" t="str">
        <f ca="1">IF(L48&lt;J51,"——",IF(L55="比较法",L49,IF(L55="基准地价",L50,L51)))</f>
        <v>——</v>
      </c>
      <c r="M57" s="3263"/>
      <c r="O57" s="2253" t="s">
        <v>2361</v>
      </c>
      <c r="P57" s="2254" t="s">
        <v>2391</v>
      </c>
      <c r="Q57" s="2255">
        <f ca="1">C40+J29</f>
        <v>0</v>
      </c>
      <c r="R57" s="2254" t="s">
        <v>2362</v>
      </c>
    </row>
    <row r="58" spans="1:18" s="1942" customFormat="1" ht="28.5" customHeight="1" thickBot="1">
      <c r="A58" s="1577" t="s">
        <v>1815</v>
      </c>
      <c r="B58" s="774" t="s">
        <v>650</v>
      </c>
      <c r="C58" s="3019">
        <f ca="1">ROUND(IF(AND(项目基本情况!B11="自然人",项目基本情况!B10="北京市"),C48*F58/(1+'数据-取费表'!F30),C59+C60+C61),0)</f>
        <v>0</v>
      </c>
      <c r="D58" s="2480" t="s">
        <v>651</v>
      </c>
      <c r="E58" s="2481" t="s">
        <v>684</v>
      </c>
      <c r="F58" s="3018" t="str">
        <f>IF(项目基本情况!B11="企业","——",IF('数据-取费表'!B10="住宅",IF(F48*F49*F50/12/(1+'数据-取费表'!F30)&gt;100000,4%,2.5%),IF(F48*F49*F50/12/(1+'数据-取费表'!F30)&gt;100000,12%,7%)))</f>
        <v>——</v>
      </c>
      <c r="I58" s="2819" t="s">
        <v>2341</v>
      </c>
      <c r="J58" s="2789" t="e">
        <f ca="1">IF(J55&lt;0.4,0.4,J55)</f>
        <v>#VALUE!</v>
      </c>
      <c r="K58" s="2799" t="s">
        <v>2346</v>
      </c>
      <c r="L58" s="1822" t="e">
        <f ca="1">ROUND(POWER(1+L52,L47-L48)*(POWER(1+L52,L48)-1)/(POWER(1+L52,L47)-1),4)</f>
        <v>#DIV/0!</v>
      </c>
      <c r="M58" s="3263"/>
      <c r="O58" s="2253" t="s">
        <v>2363</v>
      </c>
      <c r="P58" s="2254" t="s">
        <v>2394</v>
      </c>
      <c r="Q58" s="2255">
        <f ca="1">L60</f>
        <v>0</v>
      </c>
      <c r="R58" s="2258" t="s">
        <v>2396</v>
      </c>
    </row>
    <row r="59" spans="1:18" s="1942" customFormat="1" ht="28.5" customHeight="1" thickBot="1">
      <c r="A59" s="1576" t="s">
        <v>1822</v>
      </c>
      <c r="B59" s="774" t="s">
        <v>654</v>
      </c>
      <c r="C59" s="53">
        <f ca="1">ROUND(C47*F59/1.05,1)</f>
        <v>0</v>
      </c>
      <c r="D59" s="2481" t="s">
        <v>1747</v>
      </c>
      <c r="E59" s="774" t="s">
        <v>1738</v>
      </c>
      <c r="F59" s="799">
        <f t="shared" ref="F59:F65" si="0">F32</f>
        <v>5.6000000000000001E-2</v>
      </c>
      <c r="I59" s="2819" t="s">
        <v>2342</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3"/>
      <c r="O59" s="2256" t="s">
        <v>2365</v>
      </c>
      <c r="P59" s="2254" t="s">
        <v>2395</v>
      </c>
      <c r="Q59" s="2255">
        <f>IF(L55="比较法",L49,IF(L55="基准地价",L50,0))</f>
        <v>0</v>
      </c>
      <c r="R59" s="2254" t="s">
        <v>2362</v>
      </c>
    </row>
    <row r="60" spans="1:18" s="1942" customFormat="1" ht="18" customHeight="1" thickBot="1">
      <c r="A60" s="1576" t="s">
        <v>1823</v>
      </c>
      <c r="B60" s="774" t="s">
        <v>1749</v>
      </c>
      <c r="C60" s="53">
        <f ca="1">IF(D60="按租金收入计税",ROUND(C47*F60,1),IF(D60="按房产原值计税",ROUND(C56*F60*0.7,1),INDIRECT("'数据-取费表'!Aj"&amp;$G$1)))</f>
        <v>0</v>
      </c>
      <c r="D60" s="2481" t="str">
        <f>D33</f>
        <v>按租金收入计税</v>
      </c>
      <c r="E60" s="774" t="s">
        <v>1738</v>
      </c>
      <c r="F60" s="799">
        <f t="shared" si="0"/>
        <v>0.12</v>
      </c>
      <c r="I60" s="2821" t="s">
        <v>2343</v>
      </c>
      <c r="J60" s="2822" t="str">
        <f ca="1">IF(OR(M47="住宅",J51&lt;L48,J56="是"),"0",ROUND(J59/(1+J52)^J53,0))</f>
        <v>0</v>
      </c>
      <c r="K60" s="2823" t="s">
        <v>2348</v>
      </c>
      <c r="L60" s="2822">
        <f ca="1">IF(OR(M47="住宅",L48&lt;J51),0,ROUND(L57*(L58/L59-1),0))</f>
        <v>0</v>
      </c>
      <c r="M60" s="3263"/>
      <c r="O60" s="2256" t="s">
        <v>2366</v>
      </c>
      <c r="P60" s="2254" t="s">
        <v>2375</v>
      </c>
      <c r="Q60" s="2257">
        <f>L52</f>
        <v>0</v>
      </c>
      <c r="R60" s="2258"/>
    </row>
    <row r="61" spans="1:18" s="1942" customFormat="1" ht="18" customHeight="1" thickBot="1">
      <c r="A61" s="1579" t="s">
        <v>1824</v>
      </c>
      <c r="B61" s="339" t="s">
        <v>662</v>
      </c>
      <c r="C61" s="54">
        <f ca="1">ROUND(F61*F62/10000,1)</f>
        <v>0</v>
      </c>
      <c r="D61" s="803" t="s">
        <v>663</v>
      </c>
      <c r="E61" s="774" t="s">
        <v>664</v>
      </c>
      <c r="F61" s="632">
        <f t="shared" si="0"/>
        <v>18</v>
      </c>
      <c r="K61" s="1968"/>
      <c r="O61" s="2256" t="s">
        <v>2368</v>
      </c>
      <c r="P61" s="2254" t="s">
        <v>2376</v>
      </c>
      <c r="Q61" s="2255" t="e">
        <f ca="1">L58</f>
        <v>#DIV/0!</v>
      </c>
      <c r="R61" s="2258" t="s">
        <v>2377</v>
      </c>
    </row>
    <row r="62" spans="1:18" s="1942" customFormat="1" ht="15.75" thickBot="1">
      <c r="A62" s="804"/>
      <c r="B62" s="783"/>
      <c r="C62" s="69"/>
      <c r="D62" s="805"/>
      <c r="E62" s="774" t="s">
        <v>668</v>
      </c>
      <c r="F62" s="775">
        <f t="shared" ca="1" si="0"/>
        <v>0</v>
      </c>
      <c r="I62" s="2824" t="s">
        <v>2349</v>
      </c>
      <c r="J62" s="2825" t="s">
        <v>2350</v>
      </c>
      <c r="K62" s="2825" t="s">
        <v>2351</v>
      </c>
      <c r="L62" s="2825" t="s">
        <v>2332</v>
      </c>
      <c r="M62" s="2826" t="s">
        <v>2903</v>
      </c>
      <c r="O62" s="2256" t="s">
        <v>2370</v>
      </c>
      <c r="P62" s="2254" t="str">
        <f>K59</f>
        <v>建设期及建筑物耐用年限下的土地年期修正系数Kn</v>
      </c>
      <c r="Q62" s="2255" t="e">
        <f ca="1">L59</f>
        <v>#DIV/0!</v>
      </c>
      <c r="R62" s="2258" t="s">
        <v>2379</v>
      </c>
    </row>
    <row r="63" spans="1:18" s="1942" customFormat="1" ht="15.75" thickBot="1">
      <c r="A63" s="1577" t="s">
        <v>1880</v>
      </c>
      <c r="B63" s="774" t="s">
        <v>670</v>
      </c>
      <c r="C63" s="53">
        <f ca="1">ROUND(C56*F63,1)</f>
        <v>0</v>
      </c>
      <c r="D63" s="2481" t="s">
        <v>1794</v>
      </c>
      <c r="E63" s="774" t="s">
        <v>1738</v>
      </c>
      <c r="F63" s="806">
        <f t="shared" ca="1" si="0"/>
        <v>1.4999999999999999E-2</v>
      </c>
      <c r="I63" s="2824" t="s">
        <v>2352</v>
      </c>
      <c r="J63" s="2825">
        <v>70</v>
      </c>
      <c r="K63" s="2825">
        <v>50</v>
      </c>
      <c r="L63" s="2825">
        <v>80</v>
      </c>
      <c r="M63" s="2827">
        <v>0.02</v>
      </c>
      <c r="O63" s="2253" t="s">
        <v>2373</v>
      </c>
      <c r="P63" s="2254" t="s">
        <v>2390</v>
      </c>
      <c r="Q63" s="2255">
        <f ca="1">Q57+Q58</f>
        <v>0</v>
      </c>
      <c r="R63" s="2258" t="s">
        <v>2374</v>
      </c>
    </row>
    <row r="64" spans="1:18" s="1942" customFormat="1" ht="16.5" thickBot="1">
      <c r="A64" s="1577" t="s">
        <v>1881</v>
      </c>
      <c r="B64" s="774" t="s">
        <v>673</v>
      </c>
      <c r="C64" s="53">
        <f ca="1">ROUND(C55*F64,1)</f>
        <v>0</v>
      </c>
      <c r="D64" s="2481" t="s">
        <v>674</v>
      </c>
      <c r="E64" s="774" t="s">
        <v>1738</v>
      </c>
      <c r="F64" s="807">
        <f t="shared" ca="1" si="0"/>
        <v>1.5E-3</v>
      </c>
      <c r="I64" s="2824" t="s">
        <v>2353</v>
      </c>
      <c r="J64" s="2825">
        <v>50</v>
      </c>
      <c r="K64" s="2825">
        <v>35</v>
      </c>
      <c r="L64" s="2825">
        <v>60</v>
      </c>
      <c r="M64" s="835">
        <v>0</v>
      </c>
      <c r="O64" s="2259" t="s">
        <v>2397</v>
      </c>
      <c r="P64" s="1526"/>
      <c r="Q64" s="1534"/>
      <c r="R64" s="1526"/>
    </row>
    <row r="65" spans="1:18" s="1942" customFormat="1" ht="15.75" thickBot="1">
      <c r="A65" s="1577" t="s">
        <v>1882</v>
      </c>
      <c r="B65" s="774" t="s">
        <v>660</v>
      </c>
      <c r="C65" s="53">
        <f ca="1">ROUND(C47*F65,1)</f>
        <v>0</v>
      </c>
      <c r="D65" s="2481" t="s">
        <v>677</v>
      </c>
      <c r="E65" s="774" t="s">
        <v>1738</v>
      </c>
      <c r="F65" s="784">
        <f t="shared" ca="1" si="0"/>
        <v>0.01</v>
      </c>
      <c r="I65" s="2824" t="s">
        <v>2354</v>
      </c>
      <c r="J65" s="2825">
        <v>40</v>
      </c>
      <c r="K65" s="2825">
        <v>30</v>
      </c>
      <c r="L65" s="2825">
        <v>50</v>
      </c>
      <c r="M65" s="2827">
        <v>0.02</v>
      </c>
      <c r="O65" s="2250" t="s">
        <v>2357</v>
      </c>
      <c r="P65" s="2251" t="s">
        <v>2358</v>
      </c>
      <c r="Q65" s="2252" t="s">
        <v>2359</v>
      </c>
      <c r="R65" s="2251" t="s">
        <v>2360</v>
      </c>
    </row>
    <row r="66" spans="1:18" s="1942" customFormat="1" ht="24.75" thickBot="1">
      <c r="A66" s="787" t="s">
        <v>1767</v>
      </c>
      <c r="B66" s="2724" t="s">
        <v>2798</v>
      </c>
      <c r="C66" s="789">
        <f ca="1">C47-C57</f>
        <v>0</v>
      </c>
      <c r="D66" s="2480" t="s">
        <v>694</v>
      </c>
      <c r="E66" s="2479"/>
      <c r="F66" s="809"/>
      <c r="K66" s="1968"/>
      <c r="O66" s="2253" t="s">
        <v>2361</v>
      </c>
      <c r="P66" s="2254" t="s">
        <v>2391</v>
      </c>
      <c r="Q66" s="2255">
        <f ca="1">C40+J29</f>
        <v>0</v>
      </c>
      <c r="R66" s="2254" t="s">
        <v>2362</v>
      </c>
    </row>
    <row r="67" spans="1:18" s="1942" customFormat="1" ht="20.25" thickBot="1">
      <c r="A67" s="771" t="s">
        <v>1771</v>
      </c>
      <c r="B67" s="2112" t="s">
        <v>2286</v>
      </c>
      <c r="C67" s="773">
        <f ca="1">ROUND(C66*(1-((1+F69)/(1+F67))^F68)/(F67-F69),0)</f>
        <v>0</v>
      </c>
      <c r="D67" s="803" t="s">
        <v>698</v>
      </c>
      <c r="E67" s="774" t="s">
        <v>699</v>
      </c>
      <c r="F67" s="784">
        <f ca="1">F40</f>
        <v>5.5E-2</v>
      </c>
      <c r="K67" s="1968"/>
      <c r="O67" s="2253" t="s">
        <v>2363</v>
      </c>
      <c r="P67" s="2254" t="s">
        <v>2394</v>
      </c>
      <c r="Q67" s="2255">
        <f ca="1">L60</f>
        <v>0</v>
      </c>
      <c r="R67" s="2258" t="s">
        <v>2396</v>
      </c>
    </row>
    <row r="68" spans="1:18" ht="21.75" thickBot="1">
      <c r="A68" s="776"/>
      <c r="B68" s="777"/>
      <c r="C68" s="778"/>
      <c r="D68" s="810" t="s">
        <v>1799</v>
      </c>
      <c r="E68" s="774" t="s">
        <v>1775</v>
      </c>
      <c r="F68" s="811">
        <f ca="1">F41</f>
        <v>36.75</v>
      </c>
      <c r="O68" s="2256" t="s">
        <v>2365</v>
      </c>
      <c r="P68" s="2254" t="s">
        <v>2395</v>
      </c>
      <c r="Q68" s="2260">
        <f ca="1">L51</f>
        <v>0</v>
      </c>
      <c r="R68" s="2261" t="s">
        <v>2398</v>
      </c>
    </row>
    <row r="69" spans="1:18" ht="20.25" thickBot="1">
      <c r="A69" s="780"/>
      <c r="B69" s="781"/>
      <c r="C69" s="782"/>
      <c r="D69" s="805"/>
      <c r="E69" s="774" t="s">
        <v>704</v>
      </c>
      <c r="F69" s="2226"/>
      <c r="O69" s="2256" t="s">
        <v>2366</v>
      </c>
      <c r="P69" s="2262" t="s">
        <v>2380</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2381</v>
      </c>
      <c r="P70" s="2262" t="s">
        <v>2382</v>
      </c>
      <c r="Q70" s="2255">
        <f ca="1">C39</f>
        <v>0</v>
      </c>
      <c r="R70" s="2254" t="s">
        <v>2362</v>
      </c>
    </row>
    <row r="71" spans="1:18" ht="15.75" thickBot="1">
      <c r="O71" s="2256" t="s">
        <v>2383</v>
      </c>
      <c r="P71" s="2262" t="s">
        <v>2384</v>
      </c>
      <c r="Q71" s="2255">
        <f ca="1">C13</f>
        <v>0</v>
      </c>
      <c r="R71" s="2254" t="s">
        <v>2362</v>
      </c>
    </row>
    <row r="72" spans="1:18" ht="15.75" thickBot="1">
      <c r="O72" s="2256" t="s">
        <v>2385</v>
      </c>
      <c r="P72" s="2262" t="s">
        <v>2386</v>
      </c>
      <c r="Q72" s="2257">
        <f ca="1">J36</f>
        <v>8.5000000000000006E-2</v>
      </c>
      <c r="R72" s="2258"/>
    </row>
    <row r="73" spans="1:18" ht="15.75" thickBot="1">
      <c r="O73" s="2256" t="s">
        <v>2368</v>
      </c>
      <c r="P73" s="2254" t="s">
        <v>2375</v>
      </c>
      <c r="Q73" s="2257">
        <f>L52</f>
        <v>0</v>
      </c>
      <c r="R73" s="2258"/>
    </row>
    <row r="74" spans="1:18" ht="20.25" thickBot="1">
      <c r="O74" s="2256" t="s">
        <v>2370</v>
      </c>
      <c r="P74" s="2254" t="s">
        <v>2376</v>
      </c>
      <c r="Q74" s="2255" t="e">
        <f ca="1">L58</f>
        <v>#DIV/0!</v>
      </c>
      <c r="R74" s="2258" t="s">
        <v>2377</v>
      </c>
    </row>
    <row r="75" spans="1:18" ht="15.75" thickBot="1">
      <c r="O75" s="2256" t="s">
        <v>2399</v>
      </c>
      <c r="P75" s="2254" t="str">
        <f>K59</f>
        <v>建设期及建筑物耐用年限下的土地年期修正系数Kn</v>
      </c>
      <c r="Q75" s="2255" t="e">
        <f ca="1">L59</f>
        <v>#DIV/0!</v>
      </c>
      <c r="R75" s="2258" t="s">
        <v>2379</v>
      </c>
    </row>
    <row r="76" spans="1:18" ht="15.75" thickBot="1">
      <c r="O76" s="2253" t="s">
        <v>2373</v>
      </c>
      <c r="P76" s="2254" t="s">
        <v>2390</v>
      </c>
      <c r="Q76" s="2255">
        <f ca="1">Q66+Q67</f>
        <v>0</v>
      </c>
      <c r="R76" s="2258" t="s">
        <v>2374</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0" zoomScaleNormal="60" zoomScaleSheetLayoutView="100" workbookViewId="0">
      <selection activeCell="D40" sqref="D40"/>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3373</v>
      </c>
      <c r="D1" s="2798" t="s">
        <v>3028</v>
      </c>
      <c r="E1" s="2242" t="s">
        <v>862</v>
      </c>
      <c r="F1" s="2243">
        <f ca="1">J53</f>
        <v>46.76</v>
      </c>
      <c r="G1" s="3259">
        <f>MATCH(C1,'数据-取费表'!A6:A16,0)+5</f>
        <v>8</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461</v>
      </c>
      <c r="B2" s="765">
        <f ca="1">C40+J29+L46</f>
        <v>12663</v>
      </c>
      <c r="C2" s="3264"/>
      <c r="D2" s="3265"/>
      <c r="E2" s="3266"/>
      <c r="F2" s="3266"/>
      <c r="G2" s="3260"/>
      <c r="H2" s="1940"/>
      <c r="I2" s="1940"/>
      <c r="J2" s="1940"/>
      <c r="K2" s="1941"/>
      <c r="L2" s="1940"/>
      <c r="M2" s="1940"/>
    </row>
    <row r="3" spans="1:33" ht="18" customHeight="1" thickBot="1">
      <c r="A3" s="822" t="s">
        <v>513</v>
      </c>
      <c r="B3" s="823">
        <f ca="1">IF(ISERROR(B2*10000/F43),0,ROUND(B2*10000/F43,0))</f>
        <v>1998</v>
      </c>
      <c r="C3" s="3264"/>
      <c r="D3" s="3265"/>
      <c r="E3" s="3266"/>
      <c r="F3" s="3266"/>
      <c r="G3" s="3260"/>
      <c r="H3" s="766" t="s">
        <v>689</v>
      </c>
      <c r="I3" s="1315"/>
      <c r="J3" s="1315"/>
      <c r="K3" s="1525"/>
      <c r="L3" s="1315"/>
      <c r="M3" s="1315"/>
    </row>
    <row r="4" spans="1:33" ht="18" customHeight="1">
      <c r="A4" s="767" t="s">
        <v>624</v>
      </c>
      <c r="B4" s="768" t="s">
        <v>625</v>
      </c>
      <c r="C4" s="768" t="s">
        <v>626</v>
      </c>
      <c r="D4" s="768" t="s">
        <v>627</v>
      </c>
      <c r="E4" s="769" t="s">
        <v>628</v>
      </c>
      <c r="F4" s="770"/>
      <c r="G4" s="1945"/>
      <c r="H4" s="767" t="s">
        <v>624</v>
      </c>
      <c r="I4" s="768" t="s">
        <v>625</v>
      </c>
      <c r="J4" s="768" t="s">
        <v>626</v>
      </c>
      <c r="K4" s="768" t="s">
        <v>627</v>
      </c>
      <c r="L4" s="769" t="s">
        <v>628</v>
      </c>
      <c r="M4" s="770"/>
    </row>
    <row r="5" spans="1:33" ht="18" customHeight="1">
      <c r="A5" s="771">
        <v>1</v>
      </c>
      <c r="B5" s="772" t="s">
        <v>2437</v>
      </c>
      <c r="C5" s="55">
        <f ca="1">C6+C10+C12</f>
        <v>833</v>
      </c>
      <c r="D5" s="2349" t="s">
        <v>2440</v>
      </c>
      <c r="E5" s="2343"/>
      <c r="F5" s="2344"/>
      <c r="G5" s="1945"/>
      <c r="H5" s="771">
        <v>1</v>
      </c>
      <c r="I5" s="772" t="s">
        <v>2437</v>
      </c>
      <c r="J5" s="55">
        <f ca="1">J6+J10+J12</f>
        <v>0</v>
      </c>
      <c r="K5" s="2349" t="s">
        <v>2440</v>
      </c>
      <c r="L5" s="2343"/>
      <c r="M5" s="2344"/>
    </row>
    <row r="6" spans="1:33" ht="18" customHeight="1">
      <c r="A6" s="1745" t="s">
        <v>1815</v>
      </c>
      <c r="B6" s="3585" t="s">
        <v>2442</v>
      </c>
      <c r="C6" s="773">
        <f ca="1">ROUND(F6*F8*F7*(1-F9)/10000,0)</f>
        <v>833</v>
      </c>
      <c r="D6" s="2350" t="s">
        <v>2441</v>
      </c>
      <c r="E6" s="774" t="s">
        <v>631</v>
      </c>
      <c r="F6" s="775">
        <f ca="1">INDIRECT("'数据-取费表'!u"&amp;$G$1)</f>
        <v>0.4</v>
      </c>
      <c r="G6" s="1945"/>
      <c r="H6" s="2357" t="s">
        <v>1815</v>
      </c>
      <c r="I6" s="3585" t="s">
        <v>2442</v>
      </c>
      <c r="J6" s="773">
        <f ca="1">ROUND(M6*M8*M7*(1-M9)/10000,0)</f>
        <v>0</v>
      </c>
      <c r="K6" s="339" t="s">
        <v>630</v>
      </c>
      <c r="L6" s="774" t="s">
        <v>631</v>
      </c>
      <c r="M6" s="775">
        <f ca="1">INDIRECT("'数据-取费表'!z"&amp;$G$1)</f>
        <v>0</v>
      </c>
    </row>
    <row r="7" spans="1:33" ht="18" customHeight="1">
      <c r="A7" s="2353"/>
      <c r="B7" s="3586"/>
      <c r="C7" s="778"/>
      <c r="D7" s="779"/>
      <c r="E7" s="774" t="s">
        <v>632</v>
      </c>
      <c r="F7" s="775">
        <f ca="1">IF(INDIRECT("'数据-取费表'!ah"&amp;$G$1)="",INDIRECT("'数据-取费表'!k"&amp;$G$1),INDIRECT("'数据-取费表'!ah"&amp;$G$1))</f>
        <v>63386.549999999996</v>
      </c>
      <c r="G7" s="1945"/>
      <c r="H7" s="2342"/>
      <c r="I7" s="3586"/>
      <c r="J7" s="778"/>
      <c r="K7" s="779"/>
      <c r="L7" s="774" t="s">
        <v>632</v>
      </c>
      <c r="M7" s="775">
        <f ca="1">F7</f>
        <v>63386.549999999996</v>
      </c>
    </row>
    <row r="8" spans="1:33" ht="18" customHeight="1">
      <c r="A8" s="2346"/>
      <c r="B8" s="3587"/>
      <c r="C8" s="778"/>
      <c r="D8" s="779"/>
      <c r="E8" s="774" t="s">
        <v>633</v>
      </c>
      <c r="F8" s="775">
        <f ca="1">INDIRECT("'数据-取费表'!ai"&amp;$G$1)</f>
        <v>365</v>
      </c>
      <c r="G8" s="1945"/>
      <c r="H8" s="2342"/>
      <c r="I8" s="3587"/>
      <c r="J8" s="778"/>
      <c r="K8" s="779"/>
      <c r="L8" s="774" t="s">
        <v>633</v>
      </c>
      <c r="M8" s="775">
        <f ca="1">INDIRECT("'数据-取费表'!ai"&amp;$G$1)</f>
        <v>365</v>
      </c>
    </row>
    <row r="9" spans="1:33" ht="18" customHeight="1">
      <c r="A9" s="776"/>
      <c r="B9" s="3588"/>
      <c r="C9" s="778"/>
      <c r="D9" s="779"/>
      <c r="E9" s="774" t="s">
        <v>634</v>
      </c>
      <c r="F9" s="784">
        <f ca="1">INDIRECT("'数据-取费表'!w"&amp;$G$1)</f>
        <v>0.1</v>
      </c>
      <c r="G9" s="1945"/>
      <c r="H9" s="2358"/>
      <c r="I9" s="3587"/>
      <c r="J9" s="778"/>
      <c r="K9" s="779"/>
      <c r="L9" s="785" t="s">
        <v>634</v>
      </c>
      <c r="M9" s="786">
        <f ca="1">INDIRECT("'数据-取费表'!ab"&amp;$G$1)</f>
        <v>0</v>
      </c>
    </row>
    <row r="10" spans="1:33" ht="18" customHeight="1">
      <c r="A10" s="1745" t="s">
        <v>1816</v>
      </c>
      <c r="B10" s="2347" t="s">
        <v>2438</v>
      </c>
      <c r="C10" s="789">
        <f ca="1">ROUND(IF(F10="押一",C6/12*F11,IF(F10="押二",C6/12*2*F11,IF(F10="押三",C6/12*3*F11,C11*F11))),0)</f>
        <v>0</v>
      </c>
      <c r="D10" s="2354" t="s">
        <v>2931</v>
      </c>
      <c r="E10" s="2351" t="s">
        <v>2443</v>
      </c>
      <c r="F10" s="2465"/>
      <c r="G10" s="1945"/>
      <c r="H10" s="2414" t="s">
        <v>1816</v>
      </c>
      <c r="I10" s="2419" t="s">
        <v>2438</v>
      </c>
      <c r="J10" s="773">
        <f ca="1">ROUND(IF(M10="押一",J6/12*M11,IF(M10="押二",J6/12*2*M11,IF(M10="押三",J6/12*3*M11,J11*M11))),0)</f>
        <v>0</v>
      </c>
      <c r="K10" s="2354" t="s">
        <v>2931</v>
      </c>
      <c r="L10" s="2351" t="s">
        <v>2443</v>
      </c>
      <c r="M10" s="2465"/>
    </row>
    <row r="11" spans="1:33" ht="18" customHeight="1">
      <c r="A11" s="780"/>
      <c r="B11" s="2348" t="s">
        <v>2552</v>
      </c>
      <c r="C11" s="2352"/>
      <c r="D11" s="779"/>
      <c r="E11" s="2351" t="s">
        <v>2435</v>
      </c>
      <c r="F11" s="786">
        <f ca="1">'数据-取费表'!B39</f>
        <v>1.4999999999999999E-2</v>
      </c>
      <c r="G11" s="1945"/>
      <c r="H11" s="2415"/>
      <c r="I11" s="2348" t="s">
        <v>2552</v>
      </c>
      <c r="J11" s="2352"/>
      <c r="K11" s="2416"/>
      <c r="L11" s="2351" t="s">
        <v>2435</v>
      </c>
      <c r="M11" s="2345">
        <f ca="1">'数据-取费表'!B39</f>
        <v>1.4999999999999999E-2</v>
      </c>
    </row>
    <row r="12" spans="1:33" ht="18" customHeight="1" thickBot="1">
      <c r="A12" s="2390" t="s">
        <v>2446</v>
      </c>
      <c r="B12" s="2391" t="s">
        <v>2439</v>
      </c>
      <c r="C12" s="2392"/>
      <c r="D12" s="2393"/>
      <c r="E12" s="2394"/>
      <c r="F12" s="2395"/>
      <c r="G12" s="1945"/>
      <c r="H12" s="2404" t="s">
        <v>2446</v>
      </c>
      <c r="I12" s="2417" t="s">
        <v>2439</v>
      </c>
      <c r="J12" s="2418"/>
      <c r="K12" s="2393"/>
      <c r="L12" s="2394"/>
      <c r="M12" s="2407"/>
    </row>
    <row r="13" spans="1:33" ht="18" customHeight="1" thickTop="1">
      <c r="A13" s="1744">
        <v>2</v>
      </c>
      <c r="B13" s="1742" t="s">
        <v>638</v>
      </c>
      <c r="C13" s="782">
        <f ca="1">ROUND(C29*F13,0)</f>
        <v>21517</v>
      </c>
      <c r="D13" s="1749" t="s">
        <v>2282</v>
      </c>
      <c r="E13" s="1749" t="s">
        <v>637</v>
      </c>
      <c r="F13" s="2389">
        <f ca="1">INDIRECT("'数据-取费表'!y"&amp;$G$1)</f>
        <v>1</v>
      </c>
      <c r="G13" s="1945"/>
      <c r="H13" s="1744">
        <v>2</v>
      </c>
      <c r="I13" s="1742" t="s">
        <v>638</v>
      </c>
      <c r="J13" s="1734">
        <f ca="1">ROUND(J14*J15,0)</f>
        <v>0</v>
      </c>
      <c r="K13" s="1736" t="s">
        <v>636</v>
      </c>
      <c r="L13" s="2405"/>
      <c r="M13" s="2406"/>
    </row>
    <row r="14" spans="1:33" ht="18" customHeight="1">
      <c r="A14" s="1576" t="s">
        <v>1822</v>
      </c>
      <c r="B14" s="774" t="s">
        <v>639</v>
      </c>
      <c r="C14" s="794">
        <f ca="1">INDIRECT("'数据-取费表'!m"&amp;$G$1)+INDIRECT("'数据-取费表'!t"&amp;$G$1)</f>
        <v>15213</v>
      </c>
      <c r="D14" s="3277" t="s">
        <v>640</v>
      </c>
      <c r="E14" s="3278"/>
      <c r="F14" s="795"/>
      <c r="G14" s="1945"/>
      <c r="H14" s="1577" t="s">
        <v>1815</v>
      </c>
      <c r="I14" s="2111" t="s">
        <v>2801</v>
      </c>
      <c r="J14" s="53">
        <f ca="1">C29</f>
        <v>21517</v>
      </c>
      <c r="K14" s="26"/>
      <c r="L14" s="791"/>
      <c r="M14" s="792"/>
    </row>
    <row r="15" spans="1:33" s="1947" customFormat="1" ht="18" customHeight="1" thickBot="1">
      <c r="A15" s="1576" t="s">
        <v>1823</v>
      </c>
      <c r="B15" s="774" t="s">
        <v>641</v>
      </c>
      <c r="C15" s="53">
        <f ca="1">ROUND(C14*F15,0)</f>
        <v>456</v>
      </c>
      <c r="D15" s="796" t="s">
        <v>642</v>
      </c>
      <c r="E15" s="796" t="s">
        <v>643</v>
      </c>
      <c r="F15" s="797">
        <f>'数据-取费表'!B33</f>
        <v>0.03</v>
      </c>
      <c r="G15" s="3261"/>
      <c r="H15" s="2404" t="s">
        <v>1880</v>
      </c>
      <c r="I15" s="2399" t="s">
        <v>637</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1824</v>
      </c>
      <c r="B16" s="774" t="s">
        <v>644</v>
      </c>
      <c r="C16" s="53">
        <f ca="1">ROUND(INDIRECT("'数据-取费表'!m"&amp;$G$1)*F16,0)</f>
        <v>0</v>
      </c>
      <c r="D16" s="774" t="s">
        <v>642</v>
      </c>
      <c r="E16" s="774" t="s">
        <v>643</v>
      </c>
      <c r="F16" s="799">
        <f ca="1">IF(INDIRECT("'数据-取费表'!c"&amp;$G$1)="住宅",'数据-取费表'!B34,0)</f>
        <v>0</v>
      </c>
      <c r="G16" s="1945"/>
      <c r="H16" s="1744" t="s">
        <v>1739</v>
      </c>
      <c r="I16" s="1742" t="s">
        <v>645</v>
      </c>
      <c r="J16" s="782">
        <f ca="1">ROUND(J17+J22+J23+J24,0)</f>
        <v>2044</v>
      </c>
      <c r="K16" s="1736" t="s">
        <v>646</v>
      </c>
      <c r="L16" s="3279"/>
      <c r="M16" s="2344"/>
    </row>
    <row r="17" spans="1:33" s="1947" customFormat="1" ht="18" customHeight="1">
      <c r="A17" s="1576" t="s">
        <v>1878</v>
      </c>
      <c r="B17" s="774" t="s">
        <v>647</v>
      </c>
      <c r="C17" s="53">
        <f ca="1">ROUND(F17*(F43+INDIRECT("'数据-取费表'!S"&amp;$G$1))/10000,0)</f>
        <v>1268</v>
      </c>
      <c r="D17" s="774" t="s">
        <v>648</v>
      </c>
      <c r="E17" s="774" t="s">
        <v>649</v>
      </c>
      <c r="F17" s="56">
        <f>'数据-取费表'!B35</f>
        <v>200</v>
      </c>
      <c r="G17" s="3261"/>
      <c r="H17" s="1577" t="s">
        <v>1815</v>
      </c>
      <c r="I17" s="774" t="s">
        <v>650</v>
      </c>
      <c r="J17" s="3019">
        <f ca="1">ROUND(IF(AND(项目基本情况!B11="自然人",项目基本情况!B10="北京市"),J6*M17/(1+'数据-取费表'!F30),J18+J19+J20),0)</f>
        <v>1829</v>
      </c>
      <c r="K17" s="3277" t="s">
        <v>651</v>
      </c>
      <c r="L17" s="3276" t="s">
        <v>652</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228</v>
      </c>
      <c r="D18" s="774" t="s">
        <v>642</v>
      </c>
      <c r="E18" s="774" t="s">
        <v>643</v>
      </c>
      <c r="F18" s="799">
        <f>'数据-取费表'!B36</f>
        <v>1.4999999999999999E-2</v>
      </c>
      <c r="G18" s="3261"/>
      <c r="H18" s="1576" t="s">
        <v>1822</v>
      </c>
      <c r="I18" s="774" t="s">
        <v>654</v>
      </c>
      <c r="J18" s="53">
        <f ca="1">ROUND(J6*M18/(1+'数据-取费表'!C42),1)</f>
        <v>0</v>
      </c>
      <c r="K18" s="3276"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1815</v>
      </c>
      <c r="B19" s="774" t="s">
        <v>656</v>
      </c>
      <c r="C19" s="53">
        <f ca="1">SUM(C14:C18)</f>
        <v>17165</v>
      </c>
      <c r="D19" s="259" t="s">
        <v>657</v>
      </c>
      <c r="E19" s="3281"/>
      <c r="F19" s="56"/>
      <c r="G19" s="1945"/>
      <c r="H19" s="1576" t="s">
        <v>1823</v>
      </c>
      <c r="I19" s="774" t="s">
        <v>658</v>
      </c>
      <c r="J19" s="53">
        <f ca="1">IF(K19="按租金收入计税",ROUND(J6*M19/(1+'数据-取费表'!C42),1),ROUND(C29*F33*0.7,1))</f>
        <v>1807.4</v>
      </c>
      <c r="K19" s="800" t="s">
        <v>659</v>
      </c>
      <c r="L19" s="774" t="s">
        <v>643</v>
      </c>
      <c r="M19" s="799">
        <f>IF(K19="按租金收入计税",'数据-取费表'!B51,'数据-取费表'!B50)</f>
        <v>1.2E-2</v>
      </c>
    </row>
    <row r="20" spans="1:33" s="1947" customFormat="1" ht="18" customHeight="1">
      <c r="A20" s="1577" t="s">
        <v>1880</v>
      </c>
      <c r="B20" s="774" t="s">
        <v>660</v>
      </c>
      <c r="C20" s="53">
        <f ca="1">ROUND(C19*F20,0)</f>
        <v>343</v>
      </c>
      <c r="D20" s="801" t="s">
        <v>661</v>
      </c>
      <c r="E20" s="774" t="s">
        <v>643</v>
      </c>
      <c r="F20" s="799">
        <f>'数据-取费表'!B37</f>
        <v>0.02</v>
      </c>
      <c r="G20" s="3261"/>
      <c r="H20" s="1579" t="s">
        <v>1824</v>
      </c>
      <c r="I20" s="339" t="s">
        <v>662</v>
      </c>
      <c r="J20" s="54">
        <f ca="1">ROUND(M20*M21/10000,0)</f>
        <v>22</v>
      </c>
      <c r="K20" s="803" t="s">
        <v>663</v>
      </c>
      <c r="L20" s="774" t="s">
        <v>664</v>
      </c>
      <c r="M20" s="632">
        <f>'数据-取费表'!B52</f>
        <v>18</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665</v>
      </c>
      <c r="C21" s="53" t="s">
        <v>1755</v>
      </c>
      <c r="D21" s="801" t="s">
        <v>2283</v>
      </c>
      <c r="E21" s="774" t="s">
        <v>667</v>
      </c>
      <c r="F21" s="799">
        <f>'数据-取费表'!B38</f>
        <v>0.03</v>
      </c>
      <c r="G21" s="3261"/>
      <c r="H21" s="2359"/>
      <c r="I21" s="783"/>
      <c r="J21" s="69"/>
      <c r="K21" s="805"/>
      <c r="L21" s="774" t="s">
        <v>668</v>
      </c>
      <c r="M21" s="775">
        <f ca="1">INDIRECT("'数据-取费表'!r"&amp;$G$1)</f>
        <v>12113.07</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669</v>
      </c>
      <c r="C22" s="53"/>
      <c r="D22" s="2424" t="str">
        <f>IF(F23&lt;=1,"单利计息。","复利计息。")&amp;"建造成本、管理费用、销售费用产生的利息。"</f>
        <v>复利计息。建造成本、管理费用、销售费用产生的利息。</v>
      </c>
      <c r="E22" s="3281"/>
      <c r="F22" s="56"/>
      <c r="G22" s="1945"/>
      <c r="H22" s="1577" t="s">
        <v>1880</v>
      </c>
      <c r="I22" s="774" t="s">
        <v>670</v>
      </c>
      <c r="J22" s="53">
        <f ca="1">ROUND(J14*M22,0)</f>
        <v>215</v>
      </c>
      <c r="K22" s="3276" t="s">
        <v>671</v>
      </c>
      <c r="L22" s="774" t="s">
        <v>643</v>
      </c>
      <c r="M22" s="806">
        <f ca="1">INDIRECT("'数据-取费表'!Ak"&amp;$G$1)</f>
        <v>0.01</v>
      </c>
    </row>
    <row r="23" spans="1:33" s="1947" customFormat="1" ht="18" customHeight="1">
      <c r="A23" s="1576" t="s">
        <v>1822</v>
      </c>
      <c r="B23" s="774" t="s">
        <v>2418</v>
      </c>
      <c r="C23" s="53">
        <f ca="1">ROUND(IF('数据-取费表'!B22&lt;=1,(C19+C20)*F24*F23/2,(C19+C20)*(POWER((1+F24),F23/2)-1)),0)</f>
        <v>1262</v>
      </c>
      <c r="D23" s="2423" t="str">
        <f>IF(F23&lt;=1,"(建造成本+管理费用)×利率×(建设周期÷2)","(建造成本+管理费用)×((1+利率)^(建设周期÷2)-1)")</f>
        <v>(建造成本+管理费用)×((1+利率)^(建设周期÷2)-1)</v>
      </c>
      <c r="E23" s="774" t="s">
        <v>672</v>
      </c>
      <c r="F23" s="632">
        <f>'数据-取费表'!B20</f>
        <v>3</v>
      </c>
      <c r="G23" s="3261"/>
      <c r="H23" s="1577" t="s">
        <v>1881</v>
      </c>
      <c r="I23" s="774" t="s">
        <v>673</v>
      </c>
      <c r="J23" s="53">
        <f ca="1">ROUND(J13*M23,0)</f>
        <v>0</v>
      </c>
      <c r="K23" s="3276" t="s">
        <v>674</v>
      </c>
      <c r="L23" s="774" t="s">
        <v>643</v>
      </c>
      <c r="M23" s="807">
        <f ca="1">INDIRECT("'数据-取费表'!Al"&amp;$G$1)</f>
        <v>1E-3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675</v>
      </c>
      <c r="C24" s="53">
        <f ca="1">ROUND(IF('数据-取费表'!B22&lt;=1,F21*F24*F23/2,F21*(POWER((1+F24),F23/2)-1)),4)</f>
        <v>2.2000000000000001E-3</v>
      </c>
      <c r="D24" s="2423" t="str">
        <f>IF(F23&lt;=1,"销售费用×利率×(建设周期÷2)","销售费用×((1+利率)^(建设周期÷2)-1)")</f>
        <v>销售费用×((1+利率)^(建设周期÷2)-1)</v>
      </c>
      <c r="E24" s="774" t="s">
        <v>676</v>
      </c>
      <c r="F24" s="808">
        <f ca="1">'数据-取费表'!B40</f>
        <v>4.7500000000000001E-2</v>
      </c>
      <c r="G24" s="3261"/>
      <c r="H24" s="2404" t="s">
        <v>1882</v>
      </c>
      <c r="I24" s="2399" t="s">
        <v>660</v>
      </c>
      <c r="J24" s="2397">
        <f ca="1">ROUND(J5*M24,0)</f>
        <v>0</v>
      </c>
      <c r="K24" s="2398" t="s">
        <v>677</v>
      </c>
      <c r="L24" s="2399" t="s">
        <v>643</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679</v>
      </c>
      <c r="E25" s="3281"/>
      <c r="F25" s="56"/>
      <c r="G25" s="1945"/>
      <c r="H25" s="1744" t="s">
        <v>1767</v>
      </c>
      <c r="I25" s="2723" t="s">
        <v>2798</v>
      </c>
      <c r="J25" s="782">
        <f ca="1">J5-J16</f>
        <v>-2044</v>
      </c>
      <c r="K25" s="2401" t="s">
        <v>694</v>
      </c>
      <c r="L25" s="2402"/>
      <c r="M25" s="2403"/>
    </row>
    <row r="26" spans="1:33" ht="18" customHeight="1">
      <c r="A26" s="1576" t="s">
        <v>1822</v>
      </c>
      <c r="B26" s="774" t="s">
        <v>2419</v>
      </c>
      <c r="C26" s="53">
        <f ca="1">ROUND((C19+C20)*F26,0)</f>
        <v>875</v>
      </c>
      <c r="D26" s="801" t="s">
        <v>695</v>
      </c>
      <c r="E26" s="785" t="s">
        <v>696</v>
      </c>
      <c r="F26" s="784">
        <f ca="1">INDIRECT("'数据-取费表'!q"&amp;$G$1)</f>
        <v>0.05</v>
      </c>
      <c r="G26" s="1945"/>
      <c r="H26" s="2355" t="s">
        <v>1771</v>
      </c>
      <c r="I26" s="2112" t="s">
        <v>2803</v>
      </c>
      <c r="J26" s="773">
        <f ca="1">IF(J5&lt;&gt;0,ROUND(J25*(1-((1+M28)/(1+M26))^M27)/(M26-M28),0),0)</f>
        <v>0</v>
      </c>
      <c r="K26" s="803" t="s">
        <v>698</v>
      </c>
      <c r="L26" s="774" t="s">
        <v>2401</v>
      </c>
      <c r="M26" s="784">
        <f ca="1">INDIRECT("'数据-取费表'!I"&amp;$G$1)</f>
        <v>0.05</v>
      </c>
    </row>
    <row r="27" spans="1:33" ht="18" customHeight="1">
      <c r="A27" s="1576" t="s">
        <v>1823</v>
      </c>
      <c r="B27" s="774" t="s">
        <v>680</v>
      </c>
      <c r="C27" s="53">
        <f ca="1">ROUND(F21*F26,4)</f>
        <v>1.5E-3</v>
      </c>
      <c r="D27" s="801" t="s">
        <v>700</v>
      </c>
      <c r="E27" s="796"/>
      <c r="F27" s="797"/>
      <c r="G27" s="1945"/>
      <c r="H27" s="2356"/>
      <c r="I27" s="777"/>
      <c r="J27" s="778"/>
      <c r="K27" s="810" t="s">
        <v>701</v>
      </c>
      <c r="L27" s="774" t="s">
        <v>702</v>
      </c>
      <c r="M27" s="811">
        <f ca="1">INDIRECT("'数据-取费表'!ag"&amp;$G$1)</f>
        <v>0</v>
      </c>
    </row>
    <row r="28" spans="1:33" s="1947" customFormat="1" ht="18" customHeight="1">
      <c r="A28" s="1578" t="s">
        <v>1832</v>
      </c>
      <c r="B28" s="774" t="s">
        <v>681</v>
      </c>
      <c r="C28" s="53">
        <f>ROUND(F28/(1+'数据-取费表'!C42),4)</f>
        <v>5.33E-2</v>
      </c>
      <c r="D28" s="801" t="s">
        <v>2284</v>
      </c>
      <c r="E28" s="774" t="s">
        <v>643</v>
      </c>
      <c r="F28" s="799">
        <f>'数据-取费表'!B41</f>
        <v>5.6000000000000001E-2</v>
      </c>
      <c r="G28" s="3261"/>
      <c r="H28" s="1744"/>
      <c r="I28" s="781"/>
      <c r="J28" s="782"/>
      <c r="K28" s="805"/>
      <c r="L28" s="774" t="s">
        <v>704</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2285</v>
      </c>
      <c r="C29" s="2397">
        <f ca="1">ROUND((C19+C20+C23+C26)/(1-F21-C24-C27-C28),0)</f>
        <v>21517</v>
      </c>
      <c r="D29" s="2398"/>
      <c r="E29" s="2399"/>
      <c r="F29" s="2400"/>
      <c r="G29" s="3261"/>
      <c r="H29" s="812" t="s">
        <v>1778</v>
      </c>
      <c r="I29" s="813" t="s">
        <v>1779</v>
      </c>
      <c r="J29" s="814">
        <f ca="1">ROUND(J26/(1+F40)^F41,0)</f>
        <v>0</v>
      </c>
      <c r="K29" s="815" t="s">
        <v>682</v>
      </c>
      <c r="L29" s="816"/>
      <c r="M29" s="817">
        <f ca="1">INDIRECT("'数据-取费表'!k"&amp;$G$1)</f>
        <v>63386.549999999996</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1739</v>
      </c>
      <c r="B30" s="1742" t="s">
        <v>645</v>
      </c>
      <c r="C30" s="782">
        <f ca="1">ROUND(C31+C36+C37+C38,0)</f>
        <v>406</v>
      </c>
      <c r="D30" s="1736" t="s">
        <v>646</v>
      </c>
      <c r="E30" s="3279"/>
      <c r="F30" s="2344"/>
      <c r="G30" s="1945"/>
      <c r="H30" s="1948"/>
      <c r="I30" s="1949"/>
      <c r="J30" s="1950"/>
      <c r="K30" s="1951"/>
      <c r="L30" s="1952"/>
      <c r="M30" s="1953"/>
    </row>
    <row r="31" spans="1:33" ht="18" customHeight="1">
      <c r="A31" s="1577" t="s">
        <v>1815</v>
      </c>
      <c r="B31" s="774" t="s">
        <v>650</v>
      </c>
      <c r="C31" s="3019">
        <f ca="1">ROUND(IF(AND(项目基本情况!B11="自然人",项目基本情况!B10="北京市"),C6*F31/(1+'数据-取费表'!F30),C32+C33+C34),0)</f>
        <v>161</v>
      </c>
      <c r="D31" s="3277" t="s">
        <v>651</v>
      </c>
      <c r="E31" s="3276" t="s">
        <v>684</v>
      </c>
      <c r="F31" s="3018" t="str">
        <f>IF(项目基本情况!B11="企业","——",IF('数据-取费表'!B10="住宅",IF(F6*F7*F8/12/(1+'数据-取费表'!F30)&gt;100000,4%,2.5%),IF(F6*F7*F8/12/(1+'数据-取费表'!F30)&gt;100000,12%,7%)))</f>
        <v>——</v>
      </c>
      <c r="G31" s="1945"/>
      <c r="H31" s="3258" t="s">
        <v>2990</v>
      </c>
      <c r="I31" s="1949"/>
      <c r="J31" s="1950"/>
      <c r="K31" s="1951"/>
      <c r="L31" s="1952"/>
      <c r="M31" s="1953"/>
    </row>
    <row r="32" spans="1:33" ht="18" customHeight="1">
      <c r="A32" s="1576" t="s">
        <v>1822</v>
      </c>
      <c r="B32" s="774" t="s">
        <v>654</v>
      </c>
      <c r="C32" s="53">
        <f ca="1">ROUND(C6*F32/(1+'数据-取费表'!C42),1)</f>
        <v>44.4</v>
      </c>
      <c r="D32" s="3276" t="s">
        <v>655</v>
      </c>
      <c r="E32" s="774" t="s">
        <v>643</v>
      </c>
      <c r="F32" s="799">
        <f>'数据-取费表'!B41</f>
        <v>5.6000000000000001E-2</v>
      </c>
      <c r="G32" s="1945"/>
      <c r="H32" s="1954"/>
      <c r="I32" s="1955"/>
      <c r="J32" s="1956"/>
      <c r="K32" s="1957"/>
      <c r="L32" s="1958"/>
      <c r="M32" s="1959"/>
    </row>
    <row r="33" spans="1:18" ht="18" customHeight="1">
      <c r="A33" s="1576" t="s">
        <v>1823</v>
      </c>
      <c r="B33" s="774" t="s">
        <v>658</v>
      </c>
      <c r="C33" s="53">
        <f ca="1">IF(D33="按租金收入计税",ROUND(C6*F33/(1+'数据-取费表'!C42),1),IF(D33="按房产原值计税",ROUND(C29*F33*0.7,1),INDIRECT("'数据-取费表'!Aj"&amp;$G$1)))</f>
        <v>95.2</v>
      </c>
      <c r="D33" s="800" t="s">
        <v>3029</v>
      </c>
      <c r="E33" s="774" t="s">
        <v>643</v>
      </c>
      <c r="F33" s="799">
        <f>IF(D33="按租金收入计税",'数据-取费表'!B51,'数据-取费表'!B50)</f>
        <v>0.12</v>
      </c>
      <c r="G33" s="1945"/>
      <c r="H33" s="1960"/>
      <c r="I33" s="1960"/>
      <c r="J33" s="1960"/>
      <c r="K33" s="1961"/>
      <c r="L33" s="1960"/>
      <c r="M33" s="1960"/>
    </row>
    <row r="34" spans="1:18" ht="18" customHeight="1">
      <c r="A34" s="1579" t="s">
        <v>1824</v>
      </c>
      <c r="B34" s="339" t="s">
        <v>662</v>
      </c>
      <c r="C34" s="54">
        <f ca="1">ROUND(F34*F35/10000,1)</f>
        <v>21.8</v>
      </c>
      <c r="D34" s="803" t="s">
        <v>663</v>
      </c>
      <c r="E34" s="774" t="s">
        <v>664</v>
      </c>
      <c r="F34" s="632">
        <f>'数据-取费表'!B52</f>
        <v>18</v>
      </c>
      <c r="G34" s="1945"/>
      <c r="H34" s="1948"/>
      <c r="I34" s="824" t="s">
        <v>1804</v>
      </c>
      <c r="J34" s="825"/>
      <c r="K34" s="1963"/>
      <c r="L34" s="1962"/>
      <c r="M34" s="1962"/>
    </row>
    <row r="35" spans="1:18" ht="18" customHeight="1">
      <c r="A35" s="804"/>
      <c r="B35" s="783"/>
      <c r="C35" s="69"/>
      <c r="D35" s="805"/>
      <c r="E35" s="774" t="s">
        <v>668</v>
      </c>
      <c r="F35" s="775">
        <f ca="1">INDIRECT("'数据-取费表'!r"&amp;$G$1)</f>
        <v>12113.07</v>
      </c>
      <c r="G35" s="1945"/>
      <c r="H35" s="1948"/>
      <c r="I35" s="826" t="s">
        <v>1805</v>
      </c>
      <c r="J35" s="827">
        <f ca="1">ROUND(C13*J36,0)</f>
        <v>1829</v>
      </c>
      <c r="K35" s="1961"/>
      <c r="L35" s="1960"/>
      <c r="M35" s="1960"/>
    </row>
    <row r="36" spans="1:18" ht="18" customHeight="1">
      <c r="A36" s="1577" t="s">
        <v>1880</v>
      </c>
      <c r="B36" s="774" t="s">
        <v>670</v>
      </c>
      <c r="C36" s="53">
        <f ca="1">ROUND(C29*F36,1)</f>
        <v>215.2</v>
      </c>
      <c r="D36" s="3276" t="s">
        <v>685</v>
      </c>
      <c r="E36" s="774" t="s">
        <v>643</v>
      </c>
      <c r="F36" s="806">
        <f ca="1">INDIRECT("'数据-取费表'!Ak"&amp;$G$1)</f>
        <v>0.01</v>
      </c>
      <c r="G36" s="1945"/>
      <c r="H36" s="1960"/>
      <c r="I36" s="828" t="s">
        <v>1806</v>
      </c>
      <c r="J36" s="829">
        <f ca="1">INDIRECT("'数据-取费表'!j"&amp;$G$1)</f>
        <v>8.5000000000000006E-2</v>
      </c>
      <c r="K36" s="1964"/>
      <c r="L36" s="1960"/>
      <c r="M36" s="1960"/>
    </row>
    <row r="37" spans="1:18" ht="18" customHeight="1">
      <c r="A37" s="1577" t="s">
        <v>1881</v>
      </c>
      <c r="B37" s="774" t="s">
        <v>673</v>
      </c>
      <c r="C37" s="53">
        <f ca="1">ROUND(C13*F37,1)</f>
        <v>21.5</v>
      </c>
      <c r="D37" s="3276" t="s">
        <v>674</v>
      </c>
      <c r="E37" s="774" t="s">
        <v>643</v>
      </c>
      <c r="F37" s="807">
        <f ca="1">INDIRECT("'数据-取费表'!Al"&amp;$G$1)</f>
        <v>1E-3</v>
      </c>
      <c r="G37" s="1945"/>
      <c r="H37" s="1960"/>
      <c r="I37" s="830" t="s">
        <v>1807</v>
      </c>
      <c r="J37" s="831"/>
      <c r="K37" s="1964"/>
      <c r="L37" s="1960"/>
      <c r="M37" s="1960"/>
    </row>
    <row r="38" spans="1:18" ht="18" customHeight="1" thickBot="1">
      <c r="A38" s="2404" t="s">
        <v>1882</v>
      </c>
      <c r="B38" s="2399" t="s">
        <v>660</v>
      </c>
      <c r="C38" s="2397">
        <f ca="1">ROUND(C5*F38,1)</f>
        <v>8.3000000000000007</v>
      </c>
      <c r="D38" s="2398" t="s">
        <v>677</v>
      </c>
      <c r="E38" s="2399" t="s">
        <v>643</v>
      </c>
      <c r="F38" s="2395">
        <f ca="1">INDIRECT("'数据-取费表'!Am"&amp;$G$1)</f>
        <v>0.01</v>
      </c>
      <c r="G38" s="1945"/>
      <c r="H38" s="1960"/>
      <c r="I38" s="832" t="s">
        <v>1808</v>
      </c>
      <c r="J38" s="833"/>
      <c r="K38" s="1965"/>
      <c r="L38" s="1960"/>
      <c r="M38" s="1960"/>
    </row>
    <row r="39" spans="1:18" ht="24.6" customHeight="1" thickTop="1">
      <c r="A39" s="1744" t="s">
        <v>1767</v>
      </c>
      <c r="B39" s="2723" t="s">
        <v>2798</v>
      </c>
      <c r="C39" s="782">
        <f ca="1">C5-C30</f>
        <v>427</v>
      </c>
      <c r="D39" s="2401" t="s">
        <v>694</v>
      </c>
      <c r="E39" s="2402"/>
      <c r="F39" s="2403"/>
      <c r="G39" s="1945"/>
      <c r="H39" s="1960"/>
      <c r="I39" s="826" t="s">
        <v>1809</v>
      </c>
      <c r="J39" s="834">
        <f ca="1">ROUND(J35/C39,3)</f>
        <v>4.2830000000000004</v>
      </c>
      <c r="K39" s="1965"/>
      <c r="L39" s="1960"/>
      <c r="M39" s="1960"/>
    </row>
    <row r="40" spans="1:18" ht="18" customHeight="1">
      <c r="A40" s="771" t="s">
        <v>1771</v>
      </c>
      <c r="B40" s="2112" t="s">
        <v>2286</v>
      </c>
      <c r="C40" s="773">
        <f ca="1">ROUND(C39*(1-((1+F42)/(1+F40))^F41)/(F40-F42),0)</f>
        <v>12663</v>
      </c>
      <c r="D40" s="803" t="s">
        <v>698</v>
      </c>
      <c r="E40" s="774" t="s">
        <v>2401</v>
      </c>
      <c r="F40" s="784">
        <f ca="1">INDIRECT("'数据-取费表'!I"&amp;$G$1)</f>
        <v>0.05</v>
      </c>
      <c r="G40" s="1945"/>
      <c r="H40" s="1945"/>
      <c r="I40" s="826" t="s">
        <v>1810</v>
      </c>
      <c r="J40" s="834">
        <f ca="1">1-J39</f>
        <v>-3.2830000000000004</v>
      </c>
      <c r="K40" s="1965"/>
      <c r="L40" s="1945"/>
      <c r="M40" s="1945"/>
    </row>
    <row r="41" spans="1:18" ht="18" customHeight="1">
      <c r="A41" s="776"/>
      <c r="B41" s="777"/>
      <c r="C41" s="778"/>
      <c r="D41" s="810" t="s">
        <v>1799</v>
      </c>
      <c r="E41" s="774" t="s">
        <v>702</v>
      </c>
      <c r="F41" s="811">
        <f ca="1">IF(INDIRECT("'数据-取费表'!af"&amp;$G$1)=0,INDIRECT("'数据-取费表'!ae"&amp;$G$1),INDIRECT("'数据-取费表'!af"&amp;$G$1))</f>
        <v>46.76</v>
      </c>
      <c r="G41" s="1945"/>
      <c r="H41" s="1900"/>
      <c r="I41" s="832" t="s">
        <v>1811</v>
      </c>
      <c r="J41" s="835"/>
      <c r="K41" s="1964"/>
      <c r="L41" s="1900"/>
      <c r="M41" s="1900"/>
    </row>
    <row r="42" spans="1:18" ht="18" customHeight="1">
      <c r="A42" s="780"/>
      <c r="B42" s="781"/>
      <c r="C42" s="782"/>
      <c r="D42" s="805"/>
      <c r="E42" s="774" t="s">
        <v>704</v>
      </c>
      <c r="F42" s="784">
        <f ca="1">INDIRECT("'数据-取费表'!v"&amp;$G$1)</f>
        <v>0.03</v>
      </c>
      <c r="G42" s="1945"/>
      <c r="H42" s="1900"/>
      <c r="I42" s="836" t="s">
        <v>1812</v>
      </c>
      <c r="J42" s="834">
        <f ca="1">ROUND(C13/C40,3)</f>
        <v>1.6990000000000001</v>
      </c>
      <c r="K42" s="1964"/>
      <c r="L42" s="1900"/>
      <c r="M42" s="1900"/>
    </row>
    <row r="43" spans="1:18" ht="18" customHeight="1" thickBot="1">
      <c r="A43" s="812" t="s">
        <v>1778</v>
      </c>
      <c r="B43" s="813" t="s">
        <v>1801</v>
      </c>
      <c r="C43" s="814">
        <f ca="1">ROUND(C40*10000/F43,0)</f>
        <v>1998</v>
      </c>
      <c r="D43" s="815" t="s">
        <v>1802</v>
      </c>
      <c r="E43" s="816" t="s">
        <v>1803</v>
      </c>
      <c r="F43" s="817">
        <f ca="1">INDIRECT("'数据-取费表'!k"&amp;$G$1)</f>
        <v>63386.549999999996</v>
      </c>
      <c r="G43" s="1945"/>
      <c r="H43" s="1900"/>
      <c r="I43" s="836" t="s">
        <v>1813</v>
      </c>
      <c r="J43" s="837">
        <f ca="1">1-J42</f>
        <v>-0.69900000000000007</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2280</v>
      </c>
      <c r="B46" s="1967"/>
      <c r="C46" s="2426">
        <f ca="1">C67-C40</f>
        <v>-17314</v>
      </c>
      <c r="D46" s="3262"/>
      <c r="E46" s="3262"/>
      <c r="F46" s="3262"/>
      <c r="I46" s="2233" t="s">
        <v>2325</v>
      </c>
      <c r="J46" s="2234"/>
      <c r="K46" s="2235"/>
      <c r="L46" s="2811">
        <f>IF(OR(M47="住宅",D1="土地（套用方法）"),0,IF(L48&gt;J51,L60,J60))</f>
        <v>0</v>
      </c>
      <c r="M46" s="3263"/>
      <c r="O46" s="2249" t="s">
        <v>2392</v>
      </c>
      <c r="P46" s="1526"/>
      <c r="Q46" s="1534"/>
      <c r="R46" s="1526"/>
    </row>
    <row r="47" spans="1:18" s="1942" customFormat="1" ht="18" customHeight="1" thickBot="1">
      <c r="A47" s="2227">
        <v>1</v>
      </c>
      <c r="B47" s="2228" t="s">
        <v>629</v>
      </c>
      <c r="C47" s="2426">
        <f ca="1">C48+C52+C54</f>
        <v>0</v>
      </c>
      <c r="D47" s="3262"/>
      <c r="E47" s="3262"/>
      <c r="F47" s="3262"/>
      <c r="I47" s="2802" t="s">
        <v>2326</v>
      </c>
      <c r="J47" s="2236" t="s">
        <v>3030</v>
      </c>
      <c r="K47" s="2808" t="s">
        <v>2331</v>
      </c>
      <c r="L47" s="2812">
        <f ca="1">INDIRECT("'数据-取费表'!d"&amp;$G$1)</f>
        <v>50</v>
      </c>
      <c r="M47" s="1534" t="str">
        <f>IF(ISNUMBER(FIND("住宅",C1)),"住宅","非住宅")</f>
        <v>非住宅</v>
      </c>
      <c r="O47" s="2250" t="s">
        <v>2357</v>
      </c>
      <c r="P47" s="2251" t="s">
        <v>2358</v>
      </c>
      <c r="Q47" s="2252" t="s">
        <v>2359</v>
      </c>
      <c r="R47" s="2251" t="s">
        <v>2360</v>
      </c>
    </row>
    <row r="48" spans="1:18" s="1942" customFormat="1" ht="18" customHeight="1" thickBot="1">
      <c r="A48" s="2484" t="s">
        <v>1861</v>
      </c>
      <c r="B48" s="2485" t="s">
        <v>2517</v>
      </c>
      <c r="C48" s="2229">
        <f ca="1">ROUND(F48*F50*F49*(1-F51)/10000,0)</f>
        <v>0</v>
      </c>
      <c r="D48" s="2230" t="s">
        <v>630</v>
      </c>
      <c r="E48" s="2231" t="s">
        <v>2281</v>
      </c>
      <c r="F48" s="2232"/>
      <c r="G48" s="1972"/>
      <c r="I48" s="2799" t="s">
        <v>2327</v>
      </c>
      <c r="J48" s="2237" t="s">
        <v>2332</v>
      </c>
      <c r="K48" s="2809" t="s">
        <v>2333</v>
      </c>
      <c r="L48" s="1822">
        <f ca="1">INDIRECT("'数据-取费表'!f"&amp;$G$1)</f>
        <v>49.76</v>
      </c>
      <c r="M48" s="3263"/>
      <c r="O48" s="2253" t="s">
        <v>2361</v>
      </c>
      <c r="P48" s="2254" t="s">
        <v>2387</v>
      </c>
      <c r="Q48" s="2255">
        <f ca="1">C40+J29</f>
        <v>12663</v>
      </c>
      <c r="R48" s="2254" t="s">
        <v>2362</v>
      </c>
    </row>
    <row r="49" spans="1:18" s="1942" customFormat="1" ht="18" customHeight="1" thickBot="1">
      <c r="A49" s="776"/>
      <c r="B49" s="777"/>
      <c r="C49" s="778"/>
      <c r="D49" s="779"/>
      <c r="E49" s="774" t="s">
        <v>632</v>
      </c>
      <c r="F49" s="775">
        <f ca="1">F7</f>
        <v>63386.549999999996</v>
      </c>
      <c r="G49" s="1972"/>
      <c r="H49" s="1975"/>
      <c r="I49" s="2799" t="s">
        <v>2328</v>
      </c>
      <c r="J49" s="2238"/>
      <c r="K49" s="2810" t="s">
        <v>2334</v>
      </c>
      <c r="L49" s="2239"/>
      <c r="M49" s="3263"/>
      <c r="O49" s="2253" t="s">
        <v>2363</v>
      </c>
      <c r="P49" s="2254" t="s">
        <v>2388</v>
      </c>
      <c r="Q49" s="2255" t="str">
        <f ca="1">J60</f>
        <v>0</v>
      </c>
      <c r="R49" s="2254" t="s">
        <v>2364</v>
      </c>
    </row>
    <row r="50" spans="1:18" s="1942" customFormat="1" ht="18" customHeight="1" thickBot="1">
      <c r="A50" s="776"/>
      <c r="B50" s="777"/>
      <c r="C50" s="778"/>
      <c r="D50" s="779"/>
      <c r="E50" s="774" t="s">
        <v>633</v>
      </c>
      <c r="F50" s="775">
        <f ca="1">F8</f>
        <v>365</v>
      </c>
      <c r="G50" s="1977"/>
      <c r="H50" s="1975"/>
      <c r="I50" s="2799" t="s">
        <v>2329</v>
      </c>
      <c r="J50" s="2806">
        <f>SUMPRODUCT((I63:I65=J47)*(J62:L62=J48)*(J63:L65))</f>
        <v>60</v>
      </c>
      <c r="K50" s="2810" t="s">
        <v>2335</v>
      </c>
      <c r="L50" s="2239"/>
      <c r="M50" s="3263"/>
      <c r="O50" s="2256" t="s">
        <v>2365</v>
      </c>
      <c r="P50" s="2254" t="s">
        <v>2389</v>
      </c>
      <c r="Q50" s="2255">
        <f ca="1">C29</f>
        <v>21517</v>
      </c>
      <c r="R50" s="2254" t="s">
        <v>2362</v>
      </c>
    </row>
    <row r="51" spans="1:18" s="1942" customFormat="1" ht="18" customHeight="1" thickBot="1">
      <c r="A51" s="776"/>
      <c r="B51" s="777"/>
      <c r="C51" s="778"/>
      <c r="D51" s="779"/>
      <c r="E51" s="774" t="s">
        <v>634</v>
      </c>
      <c r="F51" s="2226"/>
      <c r="H51" s="1975"/>
      <c r="I51" s="2803" t="s">
        <v>2330</v>
      </c>
      <c r="J51" s="2807">
        <f>IF(J49="",J50,J49+J50-YEAR('数据-取费表'!B2))</f>
        <v>60</v>
      </c>
      <c r="K51" s="2799" t="s">
        <v>2336</v>
      </c>
      <c r="L51" s="2813">
        <f ca="1">ROUND(-PV(INDIRECT("'数据-取费表'!h"&amp;$G$1),J51,(C39-C13*J36),0),0)</f>
        <v>-28933</v>
      </c>
      <c r="M51" s="3263"/>
      <c r="O51" s="2256" t="s">
        <v>2366</v>
      </c>
      <c r="P51" s="2254" t="s">
        <v>2367</v>
      </c>
      <c r="Q51" s="2257" t="e">
        <f ca="1">J58</f>
        <v>#VALUE!</v>
      </c>
      <c r="R51" s="2258"/>
    </row>
    <row r="52" spans="1:18" s="1942" customFormat="1" ht="18" customHeight="1" thickBot="1">
      <c r="A52" s="771" t="s">
        <v>2515</v>
      </c>
      <c r="B52" s="2347" t="s">
        <v>2438</v>
      </c>
      <c r="C52" s="789">
        <f ca="1">ROUND(IF(F52="押一",C48/12*F11,IF(F52="押二",C48/12*2*F11,IF(F52="押三",C48/12*3*F11,C53*F11))),0)</f>
        <v>0</v>
      </c>
      <c r="D52" s="2354" t="s">
        <v>2931</v>
      </c>
      <c r="E52" s="2351" t="s">
        <v>2443</v>
      </c>
      <c r="F52" s="2465"/>
      <c r="I52" s="2804" t="s">
        <v>2403</v>
      </c>
      <c r="J52" s="2240"/>
      <c r="K52" s="2804" t="s">
        <v>2402</v>
      </c>
      <c r="L52" s="2240"/>
      <c r="M52" s="3263"/>
      <c r="O52" s="2256" t="s">
        <v>2368</v>
      </c>
      <c r="P52" s="2254" t="s">
        <v>2369</v>
      </c>
      <c r="Q52" s="2257">
        <f>J52</f>
        <v>0</v>
      </c>
      <c r="R52" s="2258"/>
    </row>
    <row r="53" spans="1:18" s="1942" customFormat="1" ht="39.75" customHeight="1" thickBot="1">
      <c r="A53" s="776"/>
      <c r="B53" s="2348" t="s">
        <v>2552</v>
      </c>
      <c r="C53" s="2352"/>
      <c r="D53" s="2354"/>
      <c r="E53" s="2351"/>
      <c r="F53" s="790"/>
      <c r="I53" s="2805" t="s">
        <v>2935</v>
      </c>
      <c r="J53" s="2858">
        <f ca="1">IF(M47="住宅",IF(D1="——",MAX(J51,L48),MAX(J51,L48-'数据-取费表'!B20)),IF(D1="——",MIN(J51,L48),MIN(J51,L48-'数据-取费表'!B20)))</f>
        <v>46.76</v>
      </c>
      <c r="K53" s="3629" t="s">
        <v>2924</v>
      </c>
      <c r="L53" s="3630"/>
      <c r="M53" s="3263"/>
      <c r="O53" s="2256" t="s">
        <v>2370</v>
      </c>
      <c r="P53" s="2254" t="s">
        <v>2371</v>
      </c>
      <c r="Q53" s="2255">
        <f ca="1">J53</f>
        <v>46.76</v>
      </c>
      <c r="R53" s="2254" t="s">
        <v>2372</v>
      </c>
    </row>
    <row r="54" spans="1:18" s="1942" customFormat="1" ht="18" customHeight="1" thickBot="1">
      <c r="A54" s="2390" t="s">
        <v>2446</v>
      </c>
      <c r="B54" s="2391" t="s">
        <v>2439</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3"/>
      <c r="O54" s="2253" t="s">
        <v>2373</v>
      </c>
      <c r="P54" s="2254" t="s">
        <v>2390</v>
      </c>
      <c r="Q54" s="2255">
        <f ca="1">Q48+Q49</f>
        <v>12663</v>
      </c>
      <c r="R54" s="2258" t="s">
        <v>2374</v>
      </c>
    </row>
    <row r="55" spans="1:18" s="1942" customFormat="1" ht="18" customHeight="1" thickTop="1" thickBot="1">
      <c r="A55" s="787">
        <v>2</v>
      </c>
      <c r="B55" s="788" t="s">
        <v>638</v>
      </c>
      <c r="C55" s="789">
        <f ca="1">C13</f>
        <v>21517</v>
      </c>
      <c r="D55" s="785"/>
      <c r="E55" s="785"/>
      <c r="F55" s="790"/>
      <c r="I55" s="2816" t="s">
        <v>2337</v>
      </c>
      <c r="J55" s="2788" t="e">
        <f ca="1">ROUND(IF(J47="钢混",J57/J50,1-(1-2%)*(J50-J57)/J50),3)</f>
        <v>#VALUE!</v>
      </c>
      <c r="K55" s="2817" t="s">
        <v>2338</v>
      </c>
      <c r="L55" s="2241"/>
      <c r="M55" s="3263"/>
      <c r="O55" s="2259" t="s">
        <v>2393</v>
      </c>
      <c r="P55" s="1526"/>
      <c r="Q55" s="1534"/>
      <c r="R55" s="1526"/>
    </row>
    <row r="56" spans="1:18" s="1942" customFormat="1" ht="42.75" customHeight="1" thickBot="1">
      <c r="A56" s="1578"/>
      <c r="B56" s="2111" t="s">
        <v>2285</v>
      </c>
      <c r="C56" s="53">
        <f ca="1">C29</f>
        <v>21517</v>
      </c>
      <c r="D56" s="3276"/>
      <c r="E56" s="774"/>
      <c r="F56" s="799"/>
      <c r="I56" s="2818" t="s">
        <v>2339</v>
      </c>
      <c r="J56" s="2828" t="s">
        <v>1669</v>
      </c>
      <c r="K56" s="2799" t="s">
        <v>2344</v>
      </c>
      <c r="L56" s="1822" t="str">
        <f ca="1">IF(L48&lt;J51,"——",L48-J51)</f>
        <v>——</v>
      </c>
      <c r="M56" s="3263"/>
      <c r="O56" s="2250" t="s">
        <v>2357</v>
      </c>
      <c r="P56" s="2251" t="s">
        <v>2358</v>
      </c>
      <c r="Q56" s="2252" t="s">
        <v>2359</v>
      </c>
      <c r="R56" s="2251" t="s">
        <v>2360</v>
      </c>
    </row>
    <row r="57" spans="1:18" s="1942" customFormat="1" ht="28.5" customHeight="1" thickBot="1">
      <c r="A57" s="787" t="s">
        <v>1739</v>
      </c>
      <c r="B57" s="788" t="s">
        <v>645</v>
      </c>
      <c r="C57" s="789">
        <f ca="1">ROUND(C58+C63+C64+C65,0)</f>
        <v>259</v>
      </c>
      <c r="D57" s="26" t="s">
        <v>646</v>
      </c>
      <c r="E57" s="3281"/>
      <c r="F57" s="56"/>
      <c r="I57" s="2819" t="s">
        <v>2340</v>
      </c>
      <c r="J57" s="2820" t="str">
        <f ca="1">IF(OR(M47="住宅",J51&lt;L48,J56="是"),"——",J51-L48)</f>
        <v>——</v>
      </c>
      <c r="K57" s="2799" t="s">
        <v>2345</v>
      </c>
      <c r="L57" s="1822" t="str">
        <f ca="1">IF(L48&lt;J51,"——",IF(L55="比较法",L49,IF(L55="基准地价",L50,L51)))</f>
        <v>——</v>
      </c>
      <c r="M57" s="3263"/>
      <c r="O57" s="2253" t="s">
        <v>2361</v>
      </c>
      <c r="P57" s="2254" t="s">
        <v>2387</v>
      </c>
      <c r="Q57" s="2255">
        <f ca="1">C40+J29</f>
        <v>12663</v>
      </c>
      <c r="R57" s="2254" t="s">
        <v>2362</v>
      </c>
    </row>
    <row r="58" spans="1:18" s="1942" customFormat="1" ht="28.5" customHeight="1" thickBot="1">
      <c r="A58" s="1577" t="s">
        <v>1815</v>
      </c>
      <c r="B58" s="774" t="s">
        <v>650</v>
      </c>
      <c r="C58" s="3019">
        <f ca="1">ROUND(IF(AND(项目基本情况!B11="自然人",项目基本情况!B10="北京市"),C48*F58/(1+'数据-取费表'!F30),C59+C60+C61),0)</f>
        <v>22</v>
      </c>
      <c r="D58" s="3277" t="s">
        <v>651</v>
      </c>
      <c r="E58" s="3276" t="s">
        <v>684</v>
      </c>
      <c r="F58" s="3018" t="str">
        <f>IF(项目基本情况!B11="企业","——",IF('数据-取费表'!B10="住宅",IF(F48*F49*F50/12/(1+'数据-取费表'!F30)&gt;100000,4%,2.5%),IF(F48*F49*F50/12/(1+'数据-取费表'!F30)&gt;100000,12%,7%)))</f>
        <v>——</v>
      </c>
      <c r="I58" s="2819" t="s">
        <v>2341</v>
      </c>
      <c r="J58" s="2789" t="e">
        <f ca="1">IF(J55&lt;0.4,0.4,J55)</f>
        <v>#VALUE!</v>
      </c>
      <c r="K58" s="2799" t="s">
        <v>2346</v>
      </c>
      <c r="L58" s="1822" t="e">
        <f ca="1">ROUND(POWER(1+L52,L47-L48)*(POWER(1+L52,L48)-1)/(POWER(1+L52,L47)-1),4)</f>
        <v>#DIV/0!</v>
      </c>
      <c r="M58" s="3263"/>
      <c r="O58" s="2253" t="s">
        <v>2363</v>
      </c>
      <c r="P58" s="2254" t="s">
        <v>2394</v>
      </c>
      <c r="Q58" s="2255">
        <f ca="1">L60</f>
        <v>0</v>
      </c>
      <c r="R58" s="2258" t="s">
        <v>2396</v>
      </c>
    </row>
    <row r="59" spans="1:18" s="1942" customFormat="1" ht="28.5" customHeight="1" thickBot="1">
      <c r="A59" s="1576" t="s">
        <v>1822</v>
      </c>
      <c r="B59" s="774" t="s">
        <v>654</v>
      </c>
      <c r="C59" s="53">
        <f ca="1">ROUND(C47*F59/1.05,1)</f>
        <v>0</v>
      </c>
      <c r="D59" s="3276" t="s">
        <v>655</v>
      </c>
      <c r="E59" s="774" t="s">
        <v>643</v>
      </c>
      <c r="F59" s="799">
        <f t="shared" ref="F59:F65" si="0">F32</f>
        <v>5.6000000000000001E-2</v>
      </c>
      <c r="I59" s="2819" t="s">
        <v>2342</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3"/>
      <c r="O59" s="2256" t="s">
        <v>2365</v>
      </c>
      <c r="P59" s="2254" t="s">
        <v>2395</v>
      </c>
      <c r="Q59" s="2255">
        <f>IF(L55="比较法",L49,IF(L55="基准地价",L50,0))</f>
        <v>0</v>
      </c>
      <c r="R59" s="2254" t="s">
        <v>2362</v>
      </c>
    </row>
    <row r="60" spans="1:18" s="1942" customFormat="1" ht="18" customHeight="1" thickBot="1">
      <c r="A60" s="1576" t="s">
        <v>1823</v>
      </c>
      <c r="B60" s="774" t="s">
        <v>658</v>
      </c>
      <c r="C60" s="53">
        <f ca="1">IF(D60="按租金收入计税",ROUND(C47*F60,1),IF(D60="按房产原值计税",ROUND(C56*F60*0.7,1),INDIRECT("'数据-取费表'!Aj"&amp;$G$1)))</f>
        <v>0</v>
      </c>
      <c r="D60" s="3276" t="str">
        <f>D33</f>
        <v>按租金收入计税</v>
      </c>
      <c r="E60" s="774" t="s">
        <v>643</v>
      </c>
      <c r="F60" s="799">
        <f t="shared" si="0"/>
        <v>0.12</v>
      </c>
      <c r="I60" s="2821" t="s">
        <v>2343</v>
      </c>
      <c r="J60" s="2822" t="str">
        <f ca="1">IF(OR(M47="住宅",J51&lt;L48,J56="是"),"0",ROUND(J59/(1+J52)^J53,0))</f>
        <v>0</v>
      </c>
      <c r="K60" s="2823" t="s">
        <v>2348</v>
      </c>
      <c r="L60" s="2822">
        <f ca="1">IF(OR(M47="住宅",L48&lt;J51),0,ROUND(L57*(L58/L59-1),0))</f>
        <v>0</v>
      </c>
      <c r="M60" s="3263"/>
      <c r="O60" s="2256" t="s">
        <v>2366</v>
      </c>
      <c r="P60" s="2254" t="s">
        <v>2375</v>
      </c>
      <c r="Q60" s="2257">
        <f>L52</f>
        <v>0</v>
      </c>
      <c r="R60" s="2258"/>
    </row>
    <row r="61" spans="1:18" s="1942" customFormat="1" ht="18" customHeight="1" thickBot="1">
      <c r="A61" s="1579" t="s">
        <v>1824</v>
      </c>
      <c r="B61" s="339" t="s">
        <v>662</v>
      </c>
      <c r="C61" s="54">
        <f ca="1">ROUND(F61*F62/10000,1)</f>
        <v>21.8</v>
      </c>
      <c r="D61" s="803" t="s">
        <v>663</v>
      </c>
      <c r="E61" s="774" t="s">
        <v>664</v>
      </c>
      <c r="F61" s="632">
        <f t="shared" si="0"/>
        <v>18</v>
      </c>
      <c r="K61" s="1968"/>
      <c r="O61" s="2256" t="s">
        <v>2368</v>
      </c>
      <c r="P61" s="2254" t="s">
        <v>2376</v>
      </c>
      <c r="Q61" s="2255" t="e">
        <f ca="1">L58</f>
        <v>#DIV/0!</v>
      </c>
      <c r="R61" s="2258" t="s">
        <v>2377</v>
      </c>
    </row>
    <row r="62" spans="1:18" s="1942" customFormat="1" ht="15.75" thickBot="1">
      <c r="A62" s="804"/>
      <c r="B62" s="783"/>
      <c r="C62" s="69"/>
      <c r="D62" s="805"/>
      <c r="E62" s="774" t="s">
        <v>668</v>
      </c>
      <c r="F62" s="775">
        <f t="shared" ca="1" si="0"/>
        <v>12113.07</v>
      </c>
      <c r="I62" s="2824" t="s">
        <v>2349</v>
      </c>
      <c r="J62" s="2825" t="s">
        <v>2350</v>
      </c>
      <c r="K62" s="2825" t="s">
        <v>2351</v>
      </c>
      <c r="L62" s="2825" t="s">
        <v>2332</v>
      </c>
      <c r="M62" s="2826" t="s">
        <v>2903</v>
      </c>
      <c r="O62" s="2256" t="s">
        <v>2370</v>
      </c>
      <c r="P62" s="2254" t="str">
        <f>K59</f>
        <v>建设期及建筑物耐用年限下的土地年期修正系数Kn</v>
      </c>
      <c r="Q62" s="2255" t="e">
        <f ca="1">L59</f>
        <v>#DIV/0!</v>
      </c>
      <c r="R62" s="2258" t="s">
        <v>2379</v>
      </c>
    </row>
    <row r="63" spans="1:18" s="1942" customFormat="1" ht="15.75" thickBot="1">
      <c r="A63" s="1577" t="s">
        <v>1880</v>
      </c>
      <c r="B63" s="774" t="s">
        <v>670</v>
      </c>
      <c r="C63" s="53">
        <f ca="1">ROUND(C56*F63,1)</f>
        <v>215.2</v>
      </c>
      <c r="D63" s="3276" t="s">
        <v>685</v>
      </c>
      <c r="E63" s="774" t="s">
        <v>643</v>
      </c>
      <c r="F63" s="806">
        <f t="shared" ca="1" si="0"/>
        <v>0.01</v>
      </c>
      <c r="I63" s="2824" t="s">
        <v>2352</v>
      </c>
      <c r="J63" s="2825">
        <v>70</v>
      </c>
      <c r="K63" s="2825">
        <v>50</v>
      </c>
      <c r="L63" s="2825">
        <v>80</v>
      </c>
      <c r="M63" s="2827">
        <v>0.02</v>
      </c>
      <c r="O63" s="2253" t="s">
        <v>2373</v>
      </c>
      <c r="P63" s="2254" t="s">
        <v>2390</v>
      </c>
      <c r="Q63" s="2255">
        <f ca="1">Q57+Q58</f>
        <v>12663</v>
      </c>
      <c r="R63" s="2258" t="s">
        <v>2374</v>
      </c>
    </row>
    <row r="64" spans="1:18" s="1942" customFormat="1" ht="16.5" thickBot="1">
      <c r="A64" s="1577" t="s">
        <v>1881</v>
      </c>
      <c r="B64" s="774" t="s">
        <v>673</v>
      </c>
      <c r="C64" s="53">
        <f ca="1">ROUND(C55*F64,1)</f>
        <v>21.5</v>
      </c>
      <c r="D64" s="3276" t="s">
        <v>674</v>
      </c>
      <c r="E64" s="774" t="s">
        <v>643</v>
      </c>
      <c r="F64" s="807">
        <f t="shared" ca="1" si="0"/>
        <v>1E-3</v>
      </c>
      <c r="I64" s="2824" t="s">
        <v>2353</v>
      </c>
      <c r="J64" s="2825">
        <v>50</v>
      </c>
      <c r="K64" s="2825">
        <v>35</v>
      </c>
      <c r="L64" s="2825">
        <v>60</v>
      </c>
      <c r="M64" s="835">
        <v>0</v>
      </c>
      <c r="O64" s="2259" t="s">
        <v>2397</v>
      </c>
      <c r="P64" s="1526"/>
      <c r="Q64" s="1534"/>
      <c r="R64" s="1526"/>
    </row>
    <row r="65" spans="1:18" s="1942" customFormat="1" ht="15.75" thickBot="1">
      <c r="A65" s="1577" t="s">
        <v>1882</v>
      </c>
      <c r="B65" s="774" t="s">
        <v>660</v>
      </c>
      <c r="C65" s="53">
        <f ca="1">ROUND(C47*F65,1)</f>
        <v>0</v>
      </c>
      <c r="D65" s="3276" t="s">
        <v>677</v>
      </c>
      <c r="E65" s="774" t="s">
        <v>643</v>
      </c>
      <c r="F65" s="784">
        <f t="shared" ca="1" si="0"/>
        <v>0.01</v>
      </c>
      <c r="I65" s="2824" t="s">
        <v>2354</v>
      </c>
      <c r="J65" s="2825">
        <v>40</v>
      </c>
      <c r="K65" s="2825">
        <v>30</v>
      </c>
      <c r="L65" s="2825">
        <v>50</v>
      </c>
      <c r="M65" s="2827">
        <v>0.02</v>
      </c>
      <c r="O65" s="2250" t="s">
        <v>2357</v>
      </c>
      <c r="P65" s="2251" t="s">
        <v>2358</v>
      </c>
      <c r="Q65" s="2252" t="s">
        <v>2359</v>
      </c>
      <c r="R65" s="2251" t="s">
        <v>2360</v>
      </c>
    </row>
    <row r="66" spans="1:18" s="1942" customFormat="1" ht="24.75" thickBot="1">
      <c r="A66" s="787" t="s">
        <v>1767</v>
      </c>
      <c r="B66" s="2724" t="s">
        <v>2798</v>
      </c>
      <c r="C66" s="789">
        <f ca="1">C47-C57</f>
        <v>-259</v>
      </c>
      <c r="D66" s="3277" t="s">
        <v>694</v>
      </c>
      <c r="E66" s="3280"/>
      <c r="F66" s="809"/>
      <c r="K66" s="1968"/>
      <c r="O66" s="2253" t="s">
        <v>2361</v>
      </c>
      <c r="P66" s="2254" t="s">
        <v>2387</v>
      </c>
      <c r="Q66" s="2255">
        <f ca="1">C40+J29</f>
        <v>12663</v>
      </c>
      <c r="R66" s="2254" t="s">
        <v>2362</v>
      </c>
    </row>
    <row r="67" spans="1:18" s="1942" customFormat="1" ht="20.25" thickBot="1">
      <c r="A67" s="771" t="s">
        <v>1771</v>
      </c>
      <c r="B67" s="2112" t="s">
        <v>2286</v>
      </c>
      <c r="C67" s="773">
        <f ca="1">ROUND(C66*(1-((1+F69)/(1+F67))^F68)/(F67-F69),0)</f>
        <v>-4651</v>
      </c>
      <c r="D67" s="803" t="s">
        <v>698</v>
      </c>
      <c r="E67" s="774" t="s">
        <v>699</v>
      </c>
      <c r="F67" s="784">
        <f ca="1">F40</f>
        <v>0.05</v>
      </c>
      <c r="K67" s="1968"/>
      <c r="O67" s="2253" t="s">
        <v>2363</v>
      </c>
      <c r="P67" s="2254" t="s">
        <v>2394</v>
      </c>
      <c r="Q67" s="2255">
        <f ca="1">L60</f>
        <v>0</v>
      </c>
      <c r="R67" s="2258" t="s">
        <v>2396</v>
      </c>
    </row>
    <row r="68" spans="1:18" ht="21.75" thickBot="1">
      <c r="A68" s="776"/>
      <c r="B68" s="777"/>
      <c r="C68" s="778"/>
      <c r="D68" s="810" t="s">
        <v>1799</v>
      </c>
      <c r="E68" s="774" t="s">
        <v>702</v>
      </c>
      <c r="F68" s="811">
        <f ca="1">F41</f>
        <v>46.76</v>
      </c>
      <c r="O68" s="2256" t="s">
        <v>2365</v>
      </c>
      <c r="P68" s="2254" t="s">
        <v>2395</v>
      </c>
      <c r="Q68" s="2260">
        <f ca="1">L51</f>
        <v>-28933</v>
      </c>
      <c r="R68" s="2261" t="s">
        <v>2398</v>
      </c>
    </row>
    <row r="69" spans="1:18" ht="20.25" thickBot="1">
      <c r="A69" s="780"/>
      <c r="B69" s="781"/>
      <c r="C69" s="782"/>
      <c r="D69" s="805"/>
      <c r="E69" s="774" t="s">
        <v>704</v>
      </c>
      <c r="F69" s="2226"/>
      <c r="O69" s="2256" t="s">
        <v>2366</v>
      </c>
      <c r="P69" s="2262" t="s">
        <v>2380</v>
      </c>
      <c r="Q69" s="2255">
        <f ca="1">ROUND(Q70-Q71*Q72,0)</f>
        <v>-1402</v>
      </c>
      <c r="R69" s="2258"/>
    </row>
    <row r="70" spans="1:18" ht="15.75" thickBot="1">
      <c r="A70" s="812" t="s">
        <v>1778</v>
      </c>
      <c r="B70" s="813" t="s">
        <v>1801</v>
      </c>
      <c r="C70" s="814">
        <f ca="1">ROUND(C67*10000/F70,0)</f>
        <v>-734</v>
      </c>
      <c r="D70" s="815" t="s">
        <v>1802</v>
      </c>
      <c r="E70" s="816" t="s">
        <v>1803</v>
      </c>
      <c r="F70" s="817">
        <f ca="1">F43</f>
        <v>63386.549999999996</v>
      </c>
      <c r="O70" s="2256" t="s">
        <v>2381</v>
      </c>
      <c r="P70" s="2262" t="s">
        <v>2382</v>
      </c>
      <c r="Q70" s="2255">
        <f ca="1">C39</f>
        <v>427</v>
      </c>
      <c r="R70" s="2254" t="s">
        <v>2362</v>
      </c>
    </row>
    <row r="71" spans="1:18" ht="15.75" thickBot="1">
      <c r="O71" s="2256" t="s">
        <v>2383</v>
      </c>
      <c r="P71" s="2262" t="s">
        <v>2384</v>
      </c>
      <c r="Q71" s="2255">
        <f ca="1">C13</f>
        <v>21517</v>
      </c>
      <c r="R71" s="2254" t="s">
        <v>2362</v>
      </c>
    </row>
    <row r="72" spans="1:18" ht="15.75" thickBot="1">
      <c r="O72" s="2256" t="s">
        <v>2385</v>
      </c>
      <c r="P72" s="2262" t="s">
        <v>2386</v>
      </c>
      <c r="Q72" s="2257">
        <f ca="1">J36</f>
        <v>8.5000000000000006E-2</v>
      </c>
      <c r="R72" s="2258"/>
    </row>
    <row r="73" spans="1:18" ht="15.75" thickBot="1">
      <c r="O73" s="2256" t="s">
        <v>2368</v>
      </c>
      <c r="P73" s="2254" t="s">
        <v>2375</v>
      </c>
      <c r="Q73" s="2257">
        <f>L52</f>
        <v>0</v>
      </c>
      <c r="R73" s="2258"/>
    </row>
    <row r="74" spans="1:18" ht="20.25" thickBot="1">
      <c r="O74" s="2256" t="s">
        <v>2370</v>
      </c>
      <c r="P74" s="2254" t="s">
        <v>2376</v>
      </c>
      <c r="Q74" s="2255" t="e">
        <f ca="1">L58</f>
        <v>#DIV/0!</v>
      </c>
      <c r="R74" s="2258" t="s">
        <v>2377</v>
      </c>
    </row>
    <row r="75" spans="1:18" ht="15.75" thickBot="1">
      <c r="O75" s="2256" t="s">
        <v>2399</v>
      </c>
      <c r="P75" s="2254" t="str">
        <f>K59</f>
        <v>建设期及建筑物耐用年限下的土地年期修正系数Kn</v>
      </c>
      <c r="Q75" s="2255" t="e">
        <f ca="1">L59</f>
        <v>#DIV/0!</v>
      </c>
      <c r="R75" s="2258" t="s">
        <v>2379</v>
      </c>
    </row>
    <row r="76" spans="1:18" ht="15.75" thickBot="1">
      <c r="O76" s="2253" t="s">
        <v>2373</v>
      </c>
      <c r="P76" s="2254" t="s">
        <v>2390</v>
      </c>
      <c r="Q76" s="2255">
        <f ca="1">Q66+Q67</f>
        <v>12663</v>
      </c>
      <c r="R76" s="2258" t="s">
        <v>2374</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1:R15"/>
  <sheetViews>
    <sheetView topLeftCell="L1" workbookViewId="0">
      <selection activeCell="R41" sqref="R41"/>
    </sheetView>
  </sheetViews>
  <sheetFormatPr defaultRowHeight="13.5"/>
  <cols>
    <col min="16" max="18" width="12.375" customWidth="1"/>
  </cols>
  <sheetData>
    <row r="1" spans="16:18">
      <c r="P1" t="s">
        <v>3033</v>
      </c>
    </row>
    <row r="2" spans="16:18">
      <c r="P2" t="s">
        <v>3034</v>
      </c>
      <c r="Q2" t="s">
        <v>3035</v>
      </c>
      <c r="R2" t="s">
        <v>3036</v>
      </c>
    </row>
    <row r="3" spans="16:18">
      <c r="P3">
        <v>2017.2</v>
      </c>
      <c r="Q3">
        <v>4787</v>
      </c>
      <c r="R3">
        <v>2.11</v>
      </c>
    </row>
    <row r="4" spans="16:18">
      <c r="P4">
        <v>2017.3</v>
      </c>
      <c r="Q4">
        <v>4879</v>
      </c>
      <c r="R4">
        <v>1.92</v>
      </c>
    </row>
    <row r="5" spans="16:18">
      <c r="P5">
        <v>2017.4</v>
      </c>
      <c r="Q5">
        <v>4988</v>
      </c>
      <c r="R5">
        <v>2.23</v>
      </c>
    </row>
    <row r="6" spans="16:18">
      <c r="P6">
        <v>2018.1</v>
      </c>
      <c r="Q6">
        <v>5102</v>
      </c>
      <c r="R6">
        <v>2.29</v>
      </c>
    </row>
    <row r="7" spans="16:18">
      <c r="P7">
        <v>2018.2</v>
      </c>
      <c r="Q7">
        <v>5219</v>
      </c>
      <c r="R7">
        <v>2.29</v>
      </c>
    </row>
    <row r="8" spans="16:18">
      <c r="P8">
        <v>2018.3</v>
      </c>
      <c r="Q8">
        <v>5336</v>
      </c>
      <c r="R8">
        <v>2.2400000000000002</v>
      </c>
    </row>
    <row r="9" spans="16:18">
      <c r="P9">
        <v>2018.4</v>
      </c>
      <c r="Q9">
        <v>5455</v>
      </c>
      <c r="R9">
        <v>2.23</v>
      </c>
    </row>
    <row r="10" spans="16:18">
      <c r="P10">
        <v>2019.1</v>
      </c>
      <c r="Q10">
        <v>5570</v>
      </c>
      <c r="R10">
        <v>2.11</v>
      </c>
    </row>
    <row r="11" spans="16:18">
      <c r="P11">
        <v>2019.2</v>
      </c>
      <c r="Q11">
        <v>13403</v>
      </c>
      <c r="R11">
        <v>0.68</v>
      </c>
    </row>
    <row r="12" spans="16:18">
      <c r="P12">
        <v>2019.3</v>
      </c>
      <c r="Q12">
        <v>13501</v>
      </c>
      <c r="R12">
        <v>0.73</v>
      </c>
    </row>
    <row r="13" spans="16:18">
      <c r="P13">
        <v>2019.4</v>
      </c>
      <c r="Q13">
        <v>4528</v>
      </c>
      <c r="R13">
        <v>0.6</v>
      </c>
    </row>
    <row r="14" spans="16:18">
      <c r="P14">
        <v>2020.1</v>
      </c>
      <c r="Q14">
        <v>4540</v>
      </c>
      <c r="R14">
        <v>0.28000000000000003</v>
      </c>
    </row>
    <row r="15" spans="16:18">
      <c r="P15">
        <v>2020.2</v>
      </c>
      <c r="Q15">
        <v>4553</v>
      </c>
      <c r="R15">
        <v>0.28999999999999998</v>
      </c>
    </row>
  </sheetData>
  <phoneticPr fontId="229"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8" t="s">
        <v>2024</v>
      </c>
      <c r="B1" s="3318"/>
      <c r="C1" s="3318"/>
      <c r="D1" s="3318"/>
      <c r="E1" s="3318"/>
      <c r="F1" s="3318"/>
      <c r="G1" s="3318"/>
      <c r="H1" s="3318"/>
      <c r="I1" s="3318"/>
      <c r="J1" s="3318"/>
      <c r="K1" s="3318"/>
      <c r="L1" s="3318"/>
      <c r="M1" s="3318"/>
      <c r="N1" s="3318"/>
      <c r="O1" s="3318"/>
      <c r="P1" s="3318"/>
      <c r="Q1" s="3318"/>
      <c r="R1" s="3318"/>
    </row>
    <row r="2" spans="1:18">
      <c r="A2" s="1722" t="s">
        <v>2026</v>
      </c>
      <c r="B2" s="1722"/>
      <c r="C2" s="1722"/>
      <c r="D2" s="1722"/>
      <c r="E2" s="1722"/>
      <c r="F2" s="1722"/>
      <c r="G2" s="1722"/>
      <c r="H2" s="1722"/>
      <c r="I2" s="1723"/>
      <c r="J2" s="1723"/>
      <c r="K2" s="1724" t="str">
        <f>"估价期日："&amp;TEXT(项目基本情况!D3,"yyyy年m月d日;;")</f>
        <v>估价期日：2020年8月19日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19" t="s">
        <v>2015</v>
      </c>
      <c r="B3" s="3319" t="s">
        <v>2708</v>
      </c>
      <c r="C3" s="3320" t="s">
        <v>2016</v>
      </c>
      <c r="D3" s="3319" t="s">
        <v>2712</v>
      </c>
      <c r="E3" s="3322" t="s">
        <v>2017</v>
      </c>
      <c r="F3" s="3322"/>
      <c r="G3" s="3322"/>
      <c r="H3" s="3322" t="s">
        <v>2018</v>
      </c>
      <c r="I3" s="3322"/>
      <c r="J3" s="3322"/>
      <c r="K3" s="3320" t="s">
        <v>2019</v>
      </c>
      <c r="L3" s="3320" t="s">
        <v>2020</v>
      </c>
      <c r="M3" s="3319" t="s">
        <v>2709</v>
      </c>
      <c r="N3" s="3321" t="str">
        <f>"（分摊）"&amp;项目基本情况!B16&amp;"国有建设用地使用权面积/㎡"</f>
        <v>（分摊）出让国有建设用地使用权面积/㎡</v>
      </c>
      <c r="O3" s="3319" t="s">
        <v>2049</v>
      </c>
      <c r="P3" s="3320" t="s">
        <v>2029</v>
      </c>
      <c r="Q3" s="3320" t="s">
        <v>2050</v>
      </c>
      <c r="R3" s="3320" t="s">
        <v>2021</v>
      </c>
    </row>
    <row r="4" spans="1:18" ht="36.75" customHeight="1">
      <c r="A4" s="3319"/>
      <c r="B4" s="3319"/>
      <c r="C4" s="3320"/>
      <c r="D4" s="3319"/>
      <c r="E4" s="2491" t="s">
        <v>2028</v>
      </c>
      <c r="F4" s="2491" t="s">
        <v>2721</v>
      </c>
      <c r="G4" s="2491" t="s">
        <v>2022</v>
      </c>
      <c r="H4" s="2491" t="s">
        <v>2023</v>
      </c>
      <c r="I4" s="2491" t="s">
        <v>2722</v>
      </c>
      <c r="J4" s="2491" t="s">
        <v>2022</v>
      </c>
      <c r="K4" s="3320"/>
      <c r="L4" s="3320"/>
      <c r="M4" s="3319"/>
      <c r="N4" s="3321"/>
      <c r="O4" s="3319"/>
      <c r="P4" s="3320"/>
      <c r="Q4" s="3320"/>
      <c r="R4" s="3320"/>
    </row>
    <row r="5" spans="1:18" ht="135" customHeight="1">
      <c r="A5" s="1857" t="s">
        <v>2632</v>
      </c>
      <c r="B5" s="2584" t="s">
        <v>2630</v>
      </c>
      <c r="C5" s="2490">
        <v>22</v>
      </c>
      <c r="D5" s="2489" t="s">
        <v>2631</v>
      </c>
      <c r="E5" s="1725" t="str">
        <f>项目基本情况!B12</f>
        <v>城镇住宅、交通服务场站</v>
      </c>
      <c r="F5" s="2489">
        <v>258</v>
      </c>
      <c r="G5" s="1725" t="str">
        <f>项目基本情况!B13</f>
        <v>住宅</v>
      </c>
      <c r="H5" s="2489">
        <v>1.5</v>
      </c>
      <c r="I5" s="2489">
        <v>1.5</v>
      </c>
      <c r="J5" s="2489">
        <v>1.5</v>
      </c>
      <c r="K5" s="1725" t="str">
        <f>"红线外"&amp;项目基本情况!T40&amp;"、宗地红线内"&amp;项目基本情况!B35</f>
        <v>红线外七通、宗地红线内宗地内已开工建设</v>
      </c>
      <c r="L5" s="1725" t="str">
        <f>"红线外"&amp;项目基本情况!T40&amp;"、宗地红线内场地"&amp;项目基本情况!D36</f>
        <v>红线外七通、宗地红线内场地平整</v>
      </c>
      <c r="M5" s="1725" t="str">
        <f>IF(项目基本情况!B16="出让",项目基本情况!D20,"——")</f>
        <v>住宅69.7年</v>
      </c>
      <c r="N5" s="1725">
        <f>项目基本情况!C22</f>
        <v>52485.58</v>
      </c>
      <c r="O5" s="1725">
        <f>项目基本情况!C21</f>
        <v>274652.19</v>
      </c>
      <c r="P5" s="1725">
        <f ca="1">结果表!E42</f>
        <v>16763</v>
      </c>
      <c r="Q5" s="1725">
        <f ca="1">结果表!D42</f>
        <v>3203</v>
      </c>
      <c r="R5" s="1726">
        <f ca="1">结果表!C42</f>
        <v>87983</v>
      </c>
    </row>
    <row r="6" spans="1:18">
      <c r="A6" s="3323" t="str">
        <f>IF(项目基本情况!B9="市场价格","——","抵押价格")</f>
        <v>抵押价格</v>
      </c>
      <c r="B6" s="3324"/>
      <c r="C6" s="3324"/>
      <c r="D6" s="3324"/>
      <c r="E6" s="3324"/>
      <c r="F6" s="3324"/>
      <c r="G6" s="3324"/>
      <c r="H6" s="3324"/>
      <c r="I6" s="3324"/>
      <c r="J6" s="3324"/>
      <c r="K6" s="3324"/>
      <c r="L6" s="3324"/>
      <c r="M6" s="3324"/>
      <c r="N6" s="3324"/>
      <c r="O6" s="3324"/>
      <c r="P6" s="3324"/>
      <c r="Q6" s="3325"/>
      <c r="R6" s="1727">
        <f ca="1">结果表!O39</f>
        <v>87983</v>
      </c>
    </row>
    <row r="7" spans="1:18">
      <c r="A7" s="3323" t="str">
        <f>IF(项目基本情况!B9="市场价格","——",IF(项目基本情况!E8="已注销及未注销","抵押担保权已注销时的抵押价格","——"))</f>
        <v>——</v>
      </c>
      <c r="B7" s="3324"/>
      <c r="C7" s="3324"/>
      <c r="D7" s="3324"/>
      <c r="E7" s="3324"/>
      <c r="F7" s="3324"/>
      <c r="G7" s="3324"/>
      <c r="H7" s="3324"/>
      <c r="I7" s="3324"/>
      <c r="J7" s="3324"/>
      <c r="K7" s="3324"/>
      <c r="L7" s="3324"/>
      <c r="M7" s="3324"/>
      <c r="N7" s="3324"/>
      <c r="O7" s="3324"/>
      <c r="P7" s="3324"/>
      <c r="Q7" s="3325"/>
      <c r="R7" s="1727" t="str">
        <f>结果表!O40</f>
        <v>——</v>
      </c>
    </row>
    <row r="8" spans="1:18">
      <c r="A8" s="3323" t="str">
        <f>IF(项目基本情况!B9="市场价格","——",项目基本情况!E9)</f>
        <v>——</v>
      </c>
      <c r="B8" s="3324"/>
      <c r="C8" s="3324"/>
      <c r="D8" s="3324"/>
      <c r="E8" s="3324"/>
      <c r="F8" s="3324"/>
      <c r="G8" s="3324"/>
      <c r="H8" s="3324"/>
      <c r="I8" s="3324"/>
      <c r="J8" s="3324"/>
      <c r="K8" s="3324"/>
      <c r="L8" s="3324"/>
      <c r="M8" s="3324"/>
      <c r="N8" s="3324"/>
      <c r="O8" s="3324"/>
      <c r="P8" s="3324"/>
      <c r="Q8" s="3325"/>
      <c r="R8" s="1727" t="str">
        <f>结果表!O41</f>
        <v>——</v>
      </c>
    </row>
    <row r="9" spans="1:18">
      <c r="A9" s="1728" t="s">
        <v>2027</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2014</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26" t="s">
        <v>2051</v>
      </c>
      <c r="B1" s="3326"/>
      <c r="C1" s="3326"/>
      <c r="D1" s="3326"/>
    </row>
    <row r="2" spans="1:4" ht="47.25" customHeight="1">
      <c r="A2" s="3330" t="str">
        <f>"1.权利限制："&amp;项目基本情况!L24&amp;"未设定租赁等其他他项权利。"</f>
        <v>1.权利限制：根据估价对象《不动产权证书》复印件，截至估价期日，估价对象抵押权未见登记。未设定租赁等其他他项权利。</v>
      </c>
      <c r="B2" s="3330"/>
      <c r="C2" s="3330"/>
      <c r="D2" s="3330"/>
    </row>
    <row r="3" spans="1:4" ht="48" customHeight="1">
      <c r="A3" s="3326"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326"/>
      <c r="C3" s="3326"/>
      <c r="D3" s="3326"/>
    </row>
    <row r="4" spans="1:4" ht="36.75" customHeight="1">
      <c r="A4" s="3326" t="str">
        <f>"3.估价规划限制条件：详见"&amp;项目基本情况!E21&amp;"。"</f>
        <v>3.估价规划限制条件：详见《国有建设用地使用权出让合同》[电子监管号：4101002020B07222]及附件、《建设工程规划许可证》[郑规建（建筑）字第410100202019033号]。</v>
      </c>
      <c r="B4" s="3326"/>
      <c r="C4" s="3326"/>
      <c r="D4" s="3326"/>
    </row>
    <row r="5" spans="1:4">
      <c r="A5" s="3329" t="s">
        <v>2052</v>
      </c>
      <c r="B5" s="3329"/>
      <c r="C5" s="3329"/>
      <c r="D5" s="3329"/>
    </row>
    <row r="6" spans="1:4">
      <c r="A6" s="3326" t="s">
        <v>2030</v>
      </c>
      <c r="B6" s="3326"/>
      <c r="C6" s="3326"/>
      <c r="D6" s="3326"/>
    </row>
    <row r="7" spans="1:4" ht="33" customHeight="1">
      <c r="A7" s="3326" t="s">
        <v>2553</v>
      </c>
      <c r="B7" s="3326"/>
      <c r="C7" s="3326"/>
      <c r="D7" s="3326"/>
    </row>
    <row r="8" spans="1:4" ht="32.25" customHeight="1">
      <c r="A8" s="33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6"/>
      <c r="C8" s="3326"/>
      <c r="D8" s="3326"/>
    </row>
    <row r="9" spans="1:4" ht="33.75" customHeight="1">
      <c r="A9" s="33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6"/>
      <c r="C9" s="3326"/>
      <c r="D9" s="3326"/>
    </row>
    <row r="10" spans="1:4">
      <c r="A10" s="3326" t="str">
        <f>IF(项目基本情况!B8="抵押","4.估价师所知悉的法定优先受偿款情况为：","——")</f>
        <v>4.估价师所知悉的法定优先受偿款情况为：</v>
      </c>
      <c r="B10" s="3326"/>
      <c r="C10" s="3326"/>
      <c r="D10" s="3326"/>
    </row>
    <row r="11" spans="1:4" ht="37.5" customHeight="1">
      <c r="A11" s="3328" t="str">
        <f>IF(项目基本情况!B8="抵押","（1）"&amp;CONCATENATE(项目基本情况!L24,项目基本情况!L25,项目基本情况!L26),"——")</f>
        <v>（1）根据估价对象《不动产权证书》复印件，截至估价期日，估价对象抵押权未见登记。</v>
      </c>
      <c r="B11" s="3328"/>
      <c r="C11" s="3328"/>
      <c r="D11" s="3328"/>
    </row>
    <row r="12" spans="1:4" ht="168" customHeight="1">
      <c r="A12" s="3329" t="s">
        <v>2054</v>
      </c>
      <c r="B12" s="3329"/>
      <c r="C12" s="3329"/>
      <c r="D12" s="3329"/>
    </row>
    <row r="13" spans="1:4">
      <c r="A13" s="3327" t="s">
        <v>2723</v>
      </c>
      <c r="B13" s="3327"/>
      <c r="C13" s="3327"/>
      <c r="D13" s="3327"/>
    </row>
    <row r="14" spans="1:4">
      <c r="A14" s="3328" t="str">
        <f>IF(项目基本情况!B8="抵押","综上，"&amp;结果表!K47,"——")</f>
        <v>综上，本次评估不存在估价师知悉的法定优先受偿款</v>
      </c>
      <c r="B14" s="3328"/>
      <c r="C14" s="3328"/>
      <c r="D14" s="3328"/>
    </row>
    <row r="15" spans="1:4" ht="58.5" customHeight="1">
      <c r="A15" s="33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6"/>
      <c r="C15" s="3326"/>
      <c r="D15" s="3326"/>
    </row>
    <row r="16" spans="1:4" ht="70.5" customHeight="1">
      <c r="A16" s="33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6"/>
      <c r="C16" s="3326"/>
      <c r="D16" s="3326"/>
    </row>
    <row r="17" spans="1:4">
      <c r="A17" s="3326" t="s">
        <v>2679</v>
      </c>
      <c r="B17" s="3326"/>
      <c r="C17" s="3326"/>
      <c r="D17" s="3326"/>
    </row>
    <row r="18" spans="1:4">
      <c r="A18" s="3326" t="s">
        <v>2671</v>
      </c>
      <c r="B18" s="3326"/>
      <c r="C18" s="3326"/>
      <c r="D18" s="3326"/>
    </row>
    <row r="19" spans="1:4">
      <c r="A19" s="2585" t="s">
        <v>2672</v>
      </c>
      <c r="B19" s="2585" t="s">
        <v>2673</v>
      </c>
      <c r="C19" s="2585" t="s">
        <v>2674</v>
      </c>
      <c r="D19" s="2585" t="s">
        <v>2675</v>
      </c>
    </row>
    <row r="20" spans="1:4">
      <c r="A20" s="2585" t="str">
        <f>项目基本情况!B4</f>
        <v>王鹏</v>
      </c>
      <c r="B20" s="2585">
        <f ca="1">项目基本情况!C4</f>
        <v>2002110030</v>
      </c>
      <c r="C20" s="2587"/>
      <c r="D20" s="1715" t="s">
        <v>2680</v>
      </c>
    </row>
    <row r="21" spans="1:4">
      <c r="A21" s="2585" t="str">
        <f>项目基本情况!D4</f>
        <v>郑燚</v>
      </c>
      <c r="B21" s="2585">
        <f ca="1">项目基本情况!E4</f>
        <v>2014110011</v>
      </c>
      <c r="C21" s="2587"/>
      <c r="D21" s="1715" t="s">
        <v>2681</v>
      </c>
    </row>
    <row r="23" spans="1:4">
      <c r="A23" s="3326" t="s">
        <v>2676</v>
      </c>
      <c r="B23" s="3326"/>
      <c r="C23" s="3326"/>
      <c r="D23" s="3326"/>
    </row>
    <row r="24" spans="1:4">
      <c r="A24" s="2585" t="s">
        <v>2672</v>
      </c>
      <c r="B24" s="2585" t="s">
        <v>2677</v>
      </c>
      <c r="C24" s="2585" t="s">
        <v>2674</v>
      </c>
      <c r="D24" s="2585" t="s">
        <v>2675</v>
      </c>
    </row>
    <row r="25" spans="1:4">
      <c r="A25" s="2588" t="s">
        <v>2678</v>
      </c>
      <c r="B25" s="2585" t="s">
        <v>943</v>
      </c>
      <c r="C25" s="2587"/>
      <c r="D25" s="1715" t="s">
        <v>2681</v>
      </c>
    </row>
    <row r="29" spans="1:4">
      <c r="D29" s="2586" t="s">
        <v>2025</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38" t="s">
        <v>53</v>
      </c>
      <c r="B15" s="3339" t="s">
        <v>838</v>
      </c>
      <c r="C15" s="3335"/>
    </row>
    <row r="16" spans="1:7" ht="14.25">
      <c r="A16" s="3338"/>
      <c r="B16" s="3336" t="s">
        <v>54</v>
      </c>
      <c r="C16" s="1154" t="s">
        <v>53</v>
      </c>
    </row>
    <row r="17" spans="1:3" ht="14.25">
      <c r="A17" s="3338"/>
      <c r="B17" s="3336"/>
      <c r="C17" s="1154" t="s">
        <v>55</v>
      </c>
    </row>
    <row r="18" spans="1:3" ht="14.25">
      <c r="A18" s="3338"/>
      <c r="B18" s="3336"/>
      <c r="C18" s="1154" t="s">
        <v>56</v>
      </c>
    </row>
    <row r="19" spans="1:3" ht="14.25">
      <c r="A19" s="3338"/>
      <c r="B19" s="3334" t="s">
        <v>57</v>
      </c>
      <c r="C19" s="3335"/>
    </row>
    <row r="20" spans="1:3" ht="14.25">
      <c r="A20" s="1155" t="s">
        <v>58</v>
      </c>
      <c r="B20" s="1156"/>
      <c r="C20" s="1157"/>
    </row>
    <row r="21" spans="1:3" ht="14.25">
      <c r="A21" s="3337" t="s">
        <v>59</v>
      </c>
      <c r="B21" s="3334" t="s">
        <v>60</v>
      </c>
      <c r="C21" s="3335"/>
    </row>
    <row r="22" spans="1:3" ht="14.25">
      <c r="A22" s="3337"/>
      <c r="B22" s="3334" t="s">
        <v>61</v>
      </c>
      <c r="C22" s="3335"/>
    </row>
    <row r="23" spans="1:3" ht="14.25">
      <c r="A23" s="3337"/>
      <c r="B23" s="3334" t="s">
        <v>62</v>
      </c>
      <c r="C23" s="3335"/>
    </row>
    <row r="24" spans="1:3" ht="14.25">
      <c r="A24" s="3337"/>
      <c r="B24" s="3340" t="s">
        <v>63</v>
      </c>
      <c r="C24" s="1158" t="s">
        <v>829</v>
      </c>
    </row>
    <row r="25" spans="1:3" ht="14.25">
      <c r="A25" s="3337"/>
      <c r="B25" s="3341"/>
      <c r="C25" s="1158" t="s">
        <v>830</v>
      </c>
    </row>
    <row r="26" spans="1:3" ht="14.25">
      <c r="A26" s="3337"/>
      <c r="B26" s="3341"/>
      <c r="C26" s="1158" t="s">
        <v>831</v>
      </c>
    </row>
    <row r="27" spans="1:3" ht="14.25">
      <c r="A27" s="3337"/>
      <c r="B27" s="3341"/>
      <c r="C27" s="1158" t="s">
        <v>832</v>
      </c>
    </row>
    <row r="28" spans="1:3" ht="14.25">
      <c r="A28" s="3337"/>
      <c r="B28" s="3341"/>
      <c r="C28" s="1158" t="s">
        <v>833</v>
      </c>
    </row>
    <row r="29" spans="1:3" ht="14.25">
      <c r="A29" s="3337"/>
      <c r="B29" s="3341"/>
      <c r="C29" s="1158" t="s">
        <v>834</v>
      </c>
    </row>
    <row r="30" spans="1:3" ht="14.25">
      <c r="A30" s="3337"/>
      <c r="B30" s="3341"/>
      <c r="C30" s="1158" t="s">
        <v>835</v>
      </c>
    </row>
    <row r="31" spans="1:3" ht="14.25">
      <c r="A31" s="3337"/>
      <c r="B31" s="3341"/>
      <c r="C31" s="1158" t="s">
        <v>836</v>
      </c>
    </row>
    <row r="32" spans="1:3" ht="14.25">
      <c r="A32" s="3337"/>
      <c r="B32" s="3341"/>
      <c r="C32" s="1158" t="s">
        <v>1637</v>
      </c>
    </row>
    <row r="33" spans="1:3" ht="14.25">
      <c r="A33" s="3337"/>
      <c r="B33" s="3331" t="s">
        <v>1643</v>
      </c>
      <c r="C33" s="1158" t="s">
        <v>1638</v>
      </c>
    </row>
    <row r="34" spans="1:3" ht="14.25">
      <c r="A34" s="3337"/>
      <c r="B34" s="3332"/>
      <c r="C34" s="1163" t="s">
        <v>1639</v>
      </c>
    </row>
    <row r="35" spans="1:3" ht="14.25">
      <c r="A35" s="3337"/>
      <c r="B35" s="3332"/>
      <c r="C35" s="1164" t="s">
        <v>1640</v>
      </c>
    </row>
    <row r="36" spans="1:3" ht="14.25">
      <c r="A36" s="3337"/>
      <c r="B36" s="3332"/>
      <c r="C36" s="1164" t="s">
        <v>1641</v>
      </c>
    </row>
    <row r="37" spans="1:3" ht="14.25">
      <c r="A37" s="3337"/>
      <c r="B37" s="3333"/>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44076</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2938</v>
      </c>
      <c r="B12" s="3030">
        <f ca="1">IF(C12&lt;B2,"已过期",1120040230)</f>
        <v>1120040230</v>
      </c>
      <c r="C12" s="3033">
        <v>44864</v>
      </c>
      <c r="D12" s="3041" t="s">
        <v>2939</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2953</v>
      </c>
      <c r="B15" s="3030">
        <f ca="1">IF(C14&lt;B2,"已过期",1119980106)</f>
        <v>1119980106</v>
      </c>
      <c r="C15" s="3033">
        <v>44969</v>
      </c>
      <c r="D15" s="3041"/>
      <c r="E15" s="3030"/>
      <c r="F15" s="3030"/>
      <c r="G15" s="3025"/>
    </row>
    <row r="16" spans="1:7" s="2831" customFormat="1" ht="20.25" customHeight="1">
      <c r="A16" s="3029" t="s">
        <v>2039</v>
      </c>
      <c r="B16" s="3029" t="s">
        <v>2039</v>
      </c>
      <c r="C16" s="3033"/>
      <c r="D16" s="3042" t="s">
        <v>2039</v>
      </c>
      <c r="E16" s="3030" t="s">
        <v>2039</v>
      </c>
      <c r="F16" s="3032"/>
      <c r="G16" s="3034"/>
    </row>
    <row r="17" spans="1:7" ht="20.25" customHeight="1">
      <c r="A17" s="3345" t="s">
        <v>1915</v>
      </c>
      <c r="B17" s="3346"/>
      <c r="C17" s="3346"/>
      <c r="D17" s="3346"/>
      <c r="E17" s="3346"/>
      <c r="F17" s="3346"/>
      <c r="G17" s="3034"/>
    </row>
    <row r="18" spans="1:7" ht="20.25" customHeight="1">
      <c r="A18" s="3342" t="s">
        <v>1916</v>
      </c>
      <c r="B18" s="3342"/>
      <c r="C18" s="3343"/>
      <c r="D18" s="3344" t="s">
        <v>1917</v>
      </c>
      <c r="E18" s="3342"/>
      <c r="F18" s="3342"/>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2952</v>
      </c>
      <c r="F21" s="3038">
        <v>44012</v>
      </c>
      <c r="G21" s="3026"/>
    </row>
    <row r="22" spans="1:7" ht="20.25" customHeight="1">
      <c r="A22" s="3025"/>
      <c r="B22" s="3025"/>
      <c r="C22" s="3039"/>
      <c r="D22" s="3047"/>
      <c r="E22" s="3048"/>
      <c r="F22" s="3040" t="s">
        <v>2967</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22" priority="149">
      <formula>AND($C5-TODAY()&lt;30,TODAY()&lt;$C5)</formula>
    </cfRule>
  </conditionalFormatting>
  <conditionalFormatting sqref="C20">
    <cfRule type="expression" dxfId="221" priority="148">
      <formula>AND($C20-TODAY()&lt;30,TODAY()&lt;$C20)</formula>
    </cfRule>
  </conditionalFormatting>
  <conditionalFormatting sqref="C20 F4 C5 C13">
    <cfRule type="cellIs" dxfId="220" priority="150" stopIfTrue="1" operator="lessThan">
      <formula>$B$2</formula>
    </cfRule>
  </conditionalFormatting>
  <conditionalFormatting sqref="F5 F7 F9">
    <cfRule type="cellIs" dxfId="219" priority="144" stopIfTrue="1" operator="lessThan">
      <formula>$B$2</formula>
    </cfRule>
  </conditionalFormatting>
  <conditionalFormatting sqref="C16:D16">
    <cfRule type="expression" dxfId="218" priority="142">
      <formula>AND($C16-TODAY()&lt;30,TODAY()&lt;$C16)</formula>
    </cfRule>
  </conditionalFormatting>
  <conditionalFormatting sqref="F6 F8 F10 C16:D16">
    <cfRule type="cellIs" dxfId="217" priority="143" stopIfTrue="1" operator="lessThan">
      <formula>$B$2</formula>
    </cfRule>
  </conditionalFormatting>
  <conditionalFormatting sqref="F14">
    <cfRule type="cellIs" dxfId="216" priority="114" stopIfTrue="1" operator="lessThan">
      <formula>$B$2</formula>
    </cfRule>
  </conditionalFormatting>
  <conditionalFormatting sqref="F13">
    <cfRule type="cellIs" dxfId="215" priority="113" stopIfTrue="1" operator="lessThan">
      <formula>$B$2</formula>
    </cfRule>
  </conditionalFormatting>
  <conditionalFormatting sqref="B4:B11 E4:E11 E13:E15 B13:B15">
    <cfRule type="cellIs" dxfId="214" priority="111" stopIfTrue="1" operator="equal">
      <formula>"已过期"</formula>
    </cfRule>
  </conditionalFormatting>
  <conditionalFormatting sqref="F20">
    <cfRule type="cellIs" dxfId="213" priority="108" stopIfTrue="1" operator="lessThan">
      <formula>$B$2</formula>
    </cfRule>
  </conditionalFormatting>
  <conditionalFormatting sqref="F20">
    <cfRule type="expression" dxfId="212" priority="152">
      <formula>AND($E20-TODAY()&lt;30,TODAY()&lt;$E20)</formula>
    </cfRule>
  </conditionalFormatting>
  <conditionalFormatting sqref="C6">
    <cfRule type="expression" dxfId="211" priority="82">
      <formula>AND($C6-TODAY()&lt;30,TODAY()&lt;$C6)</formula>
    </cfRule>
  </conditionalFormatting>
  <conditionalFormatting sqref="C6">
    <cfRule type="cellIs" dxfId="210" priority="83" stopIfTrue="1" operator="lessThan">
      <formula>$B$2</formula>
    </cfRule>
  </conditionalFormatting>
  <conditionalFormatting sqref="C11 C15">
    <cfRule type="expression" dxfId="209" priority="80">
      <formula>AND($C11-TODAY()&lt;30,TODAY()&lt;$C11)</formula>
    </cfRule>
  </conditionalFormatting>
  <conditionalFormatting sqref="C11 C15">
    <cfRule type="cellIs" dxfId="208" priority="81" stopIfTrue="1" operator="lessThan">
      <formula>$B$2</formula>
    </cfRule>
  </conditionalFormatting>
  <conditionalFormatting sqref="F11">
    <cfRule type="cellIs" dxfId="207" priority="79" stopIfTrue="1" operator="lessThan">
      <formula>$B$2</formula>
    </cfRule>
  </conditionalFormatting>
  <conditionalFormatting sqref="C14">
    <cfRule type="expression" dxfId="206" priority="60">
      <formula>AND($C14-TODAY()&lt;30,TODAY()&lt;$C14)</formula>
    </cfRule>
  </conditionalFormatting>
  <conditionalFormatting sqref="C14">
    <cfRule type="cellIs" dxfId="205" priority="61" stopIfTrue="1" operator="lessThan">
      <formula>$B$2</formula>
    </cfRule>
  </conditionalFormatting>
  <conditionalFormatting sqref="C12">
    <cfRule type="cellIs" dxfId="204" priority="54" stopIfTrue="1" operator="lessThan">
      <formula>$B$2</formula>
    </cfRule>
  </conditionalFormatting>
  <conditionalFormatting sqref="C12">
    <cfRule type="expression" dxfId="203" priority="51">
      <formula>AND($C12-TODAY()&lt;30,TODAY()&lt;$C12)</formula>
    </cfRule>
  </conditionalFormatting>
  <conditionalFormatting sqref="C12">
    <cfRule type="cellIs" dxfId="202" priority="52" stopIfTrue="1" operator="lessThan">
      <formula>$B$2</formula>
    </cfRule>
  </conditionalFormatting>
  <conditionalFormatting sqref="B12">
    <cfRule type="cellIs" dxfId="201" priority="48" stopIfTrue="1" operator="equal">
      <formula>"已过期"</formula>
    </cfRule>
  </conditionalFormatting>
  <conditionalFormatting sqref="E12">
    <cfRule type="cellIs" dxfId="200" priority="38" stopIfTrue="1" operator="equal">
      <formula>"已过期"</formula>
    </cfRule>
  </conditionalFormatting>
  <conditionalFormatting sqref="F12">
    <cfRule type="cellIs" dxfId="199" priority="37" stopIfTrue="1" operator="lessThan">
      <formula>$B$2</formula>
    </cfRule>
  </conditionalFormatting>
  <conditionalFormatting sqref="C9:C10">
    <cfRule type="expression" dxfId="198" priority="33">
      <formula>AND($C9-TODAY()&lt;30,TODAY()&lt;$C9)</formula>
    </cfRule>
  </conditionalFormatting>
  <conditionalFormatting sqref="C9:C10">
    <cfRule type="cellIs" dxfId="197" priority="34" stopIfTrue="1" operator="lessThan">
      <formula>$B$2</formula>
    </cfRule>
  </conditionalFormatting>
  <conditionalFormatting sqref="F21">
    <cfRule type="cellIs" dxfId="196" priority="13" stopIfTrue="1" operator="lessThan">
      <formula>$B$2</formula>
    </cfRule>
  </conditionalFormatting>
  <conditionalFormatting sqref="F21">
    <cfRule type="expression" dxfId="195" priority="14">
      <formula>AND($E21-TODAY()&lt;30,TODAY()&lt;$E21)</formula>
    </cfRule>
  </conditionalFormatting>
  <conditionalFormatting sqref="C7:C8">
    <cfRule type="expression" dxfId="194" priority="5">
      <formula>AND($C7-TODAY()&lt;30,TODAY()&lt;$C7)</formula>
    </cfRule>
  </conditionalFormatting>
  <conditionalFormatting sqref="C7:C8">
    <cfRule type="cellIs" dxfId="193" priority="6" stopIfTrue="1" operator="lessThan">
      <formula>$B$2</formula>
    </cfRule>
  </conditionalFormatting>
  <conditionalFormatting sqref="C7:C8">
    <cfRule type="expression" dxfId="192" priority="3">
      <formula>AND($C7-TODAY()&lt;30,TODAY()&lt;$C7)</formula>
    </cfRule>
  </conditionalFormatting>
  <conditionalFormatting sqref="C7:C8">
    <cfRule type="cellIs" dxfId="191" priority="4" stopIfTrue="1" operator="lessThan">
      <formula>$B$2</formula>
    </cfRule>
  </conditionalFormatting>
  <conditionalFormatting sqref="C4">
    <cfRule type="expression" dxfId="190" priority="1">
      <formula>AND($C4-TODAY()&lt;30,TODAY()&lt;$C4)</formula>
    </cfRule>
  </conditionalFormatting>
  <conditionalFormatting sqref="C4">
    <cfRule type="cellIs" dxfId="189"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2524</v>
      </c>
      <c r="R1" s="2432" t="s">
        <v>2518</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2519</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2520</v>
      </c>
      <c r="S3" s="9" t="s">
        <v>84</v>
      </c>
      <c r="T3" s="9" t="s">
        <v>85</v>
      </c>
      <c r="U3" s="9" t="s">
        <v>84</v>
      </c>
      <c r="V3" s="9" t="s">
        <v>86</v>
      </c>
      <c r="W3" s="9" t="s">
        <v>867</v>
      </c>
    </row>
    <row r="4" spans="1:23">
      <c r="A4" s="8" t="s">
        <v>87</v>
      </c>
      <c r="B4" s="8" t="s">
        <v>152</v>
      </c>
      <c r="C4" s="1489" t="s">
        <v>1702</v>
      </c>
      <c r="D4" s="9" t="s">
        <v>1981</v>
      </c>
      <c r="E4" s="9" t="s">
        <v>88</v>
      </c>
      <c r="F4" s="9" t="s">
        <v>89</v>
      </c>
      <c r="G4" s="9">
        <v>70</v>
      </c>
      <c r="H4" s="9" t="s">
        <v>90</v>
      </c>
      <c r="I4" s="9" t="s">
        <v>91</v>
      </c>
      <c r="K4" s="9" t="s">
        <v>92</v>
      </c>
      <c r="L4" s="9" t="s">
        <v>92</v>
      </c>
      <c r="M4" s="9" t="s">
        <v>92</v>
      </c>
      <c r="N4" s="9" t="s">
        <v>92</v>
      </c>
      <c r="O4" s="9" t="s">
        <v>92</v>
      </c>
      <c r="P4" s="992" t="s">
        <v>754</v>
      </c>
      <c r="Q4" s="9" t="s">
        <v>92</v>
      </c>
      <c r="R4" s="992" t="s">
        <v>2521</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2522</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2523</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2" t="s">
        <v>2914</v>
      </c>
      <c r="C18" s="1492"/>
    </row>
    <row r="19" spans="1:3">
      <c r="A19" s="8" t="s">
        <v>120</v>
      </c>
      <c r="B19" s="2792" t="s">
        <v>2921</v>
      </c>
      <c r="C19" s="1492"/>
    </row>
    <row r="20" spans="1:3">
      <c r="A20" s="8" t="s">
        <v>121</v>
      </c>
      <c r="B20" s="2792" t="s">
        <v>2968</v>
      </c>
      <c r="C20" s="1492"/>
    </row>
    <row r="21" spans="1:3">
      <c r="A21" s="8" t="s">
        <v>122</v>
      </c>
      <c r="B21" s="2792" t="s">
        <v>3401</v>
      </c>
      <c r="C21" s="1492"/>
    </row>
    <row r="22" spans="1:3">
      <c r="A22" s="8" t="s">
        <v>123</v>
      </c>
      <c r="B22" s="2792" t="s">
        <v>3400</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郑州高新碧桂园房地产开发有限公司拟使用河南省郑州市高新区站北路北、新荣路东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1973</v>
      </c>
      <c r="B52" s="1686" t="s">
        <v>1974</v>
      </c>
      <c r="C52" s="1684" t="s">
        <v>1975</v>
      </c>
      <c r="D52" s="1684" t="s">
        <v>1976</v>
      </c>
      <c r="E52" s="1685"/>
    </row>
    <row r="53" spans="1:5">
      <c r="A53" s="3347" t="s">
        <v>1977</v>
      </c>
      <c r="B53" s="1684" t="s">
        <v>1983</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住宅，剩余土地使用年限为住宅69.7年的出让国有建设用地使用权价格。</v>
      </c>
      <c r="D53" s="1685"/>
      <c r="E53" s="1685"/>
    </row>
    <row r="54" spans="1:5">
      <c r="A54" s="3347"/>
      <c r="B54" s="1684" t="s">
        <v>1984</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47"/>
      <c r="B55" s="1684" t="s">
        <v>1978</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47"/>
      <c r="B56" s="1684" t="s">
        <v>1979</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47"/>
      <c r="B57" s="1684" t="s">
        <v>1980</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2035</v>
      </c>
      <c r="B58" s="1684" t="s">
        <v>2036</v>
      </c>
      <c r="C58" s="11" t="s">
        <v>2037</v>
      </c>
      <c r="D58" s="1272" t="s">
        <v>2038</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项目汇总</vt:lpstr>
      <vt:lpstr>数据-汇总表</vt:lpstr>
      <vt:lpstr>数据-取费表</vt:lpstr>
      <vt:lpstr>估价对象房地状况</vt:lpstr>
      <vt:lpstr>系统读取表</vt:lpstr>
      <vt:lpstr>结果表</vt:lpstr>
      <vt:lpstr>剩余法-现房</vt:lpstr>
      <vt:lpstr>比较法-住宅、综合</vt:lpstr>
      <vt:lpstr>高新区土地案例</vt:lpstr>
      <vt:lpstr>剩余法-待开发</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不动产收益法（商业）</vt:lpstr>
      <vt:lpstr>不动产收益法（地下车位）</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'不动产收益法（地下车位）'!Print_Area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2020-09-02T06:27:55Z</dcterms:modified>
</cp:coreProperties>
</file>