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320" windowHeight="7065" tabRatio="895"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车库）" sheetId="15" r:id="rId22"/>
    <sheet name="收益法 (元)" sheetId="67" state="hidden" r:id="rId23"/>
    <sheet name="收益法（汇总）" sheetId="70" state="hidden" r:id="rId24"/>
    <sheet name="酒店收入计算" sheetId="66" state="hidden" r:id="rId25"/>
    <sheet name="比较法-叠拼"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5" hidden="1">'比较法-叠拼'!$A$1:$L$49</definedName>
    <definedName name="_xlnm._FilterDatabase" localSheetId="28" hidden="1">'比较法-工业'!$A$1:$L$43</definedName>
    <definedName name="_xlnm._FilterDatabase" localSheetId="26"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'比较法-叠拼'!$B$88:$M$88</definedName>
    <definedName name="住宅房型">'比较法-叠拼'!$B$118:$M$118</definedName>
    <definedName name="住宅公共部分装修">'比较法-叠拼'!$B$109:$M$109</definedName>
    <definedName name="住宅基础设施水平">'比较法-叠拼'!$B$116:$M$116</definedName>
    <definedName name="住宅建筑结构">'比较法-叠拼'!$B$105:$M$105</definedName>
    <definedName name="住宅建筑类型">'比较法-叠拼'!$B$100:$M$100</definedName>
    <definedName name="住宅建筑品质">'比较法-叠拼'!$B$107:$M$107</definedName>
    <definedName name="住宅交易情况">'比较法-叠拼'!$A$61:$M$61</definedName>
    <definedName name="住宅楼层">'比较法-叠拼'!$B$86:$M$86</definedName>
    <definedName name="住宅内部装修">'比较法-叠拼'!$B$122:$M$122</definedName>
    <definedName name="住宅物业管理">'比较法-叠拼'!$B$114:$M$114</definedName>
    <definedName name="住宅用途">'比较法-叠拼'!$B$63:$M$63</definedName>
    <definedName name="住宅主力户型面积">'比较法-叠拼'!$B$120:$M$120</definedName>
    <definedName name="注册房地产估价师">估价师及机构信息!$A$3:$A$24</definedName>
  </definedNames>
  <calcPr calcId="144525"/>
</workbook>
</file>

<file path=xl/calcChain.xml><?xml version="1.0" encoding="utf-8"?>
<calcChain xmlns="http://schemas.openxmlformats.org/spreadsheetml/2006/main">
  <c r="D15" i="74" l="1"/>
  <c r="C15" i="74" l="1"/>
  <c r="B15" i="74"/>
  <c r="C88" i="9" l="1"/>
  <c r="G46" i="39" l="1"/>
  <c r="E46" i="39"/>
  <c r="G38" i="39"/>
  <c r="E38" i="39"/>
  <c r="G11" i="39"/>
  <c r="E11" i="39"/>
  <c r="G7" i="39"/>
  <c r="E7" i="39"/>
  <c r="G5" i="39"/>
  <c r="E5" i="39"/>
  <c r="G20" i="6"/>
  <c r="D3" i="4" l="1"/>
  <c r="I13" i="3" l="1"/>
  <c r="F19" i="6"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B9" i="76"/>
  <c r="E10" i="76"/>
  <c r="E8" i="76"/>
  <c r="B10" i="76"/>
  <c r="E11" i="76"/>
  <c r="B7" i="76"/>
  <c r="B12" i="76"/>
  <c r="B8" i="76"/>
  <c r="B11" i="76"/>
  <c r="E12" i="76"/>
  <c r="E13" i="76"/>
  <c r="E9"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D3" i="73"/>
  <c r="F3" i="73"/>
  <c r="F5" i="73"/>
  <c r="I1" i="73" l="1"/>
  <c r="B39" i="1" s="1"/>
  <c r="D4" i="73"/>
  <c r="D7"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B7" i="1" s="1"/>
  <c r="E7" i="1" s="1"/>
  <c r="A8" i="1"/>
  <c r="B8" i="1" s="1"/>
  <c r="E8" i="1" s="1"/>
  <c r="A9" i="1"/>
  <c r="A10" i="1"/>
  <c r="K10" i="1" s="1"/>
  <c r="M10" i="1" s="1"/>
  <c r="O10" i="1" s="1"/>
  <c r="A11" i="1"/>
  <c r="A12" i="1"/>
  <c r="A13" i="1"/>
  <c r="A6" i="1"/>
  <c r="F3" i="35" s="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L519" i="3" s="1"/>
  <c r="AZ519" i="3" s="1"/>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M5" i="3" s="1"/>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F26" i="37" s="1"/>
  <c r="AA26" i="37" s="1"/>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AB34" i="35" s="1"/>
  <c r="B77" i="35"/>
  <c r="J25" i="35" s="1"/>
  <c r="W25" i="35" s="1"/>
  <c r="B75" i="35"/>
  <c r="J24" i="35" s="1"/>
  <c r="AC24" i="35" s="1"/>
  <c r="B73" i="35"/>
  <c r="J23" i="35" s="1"/>
  <c r="AC23" i="35" s="1"/>
  <c r="B57" i="35"/>
  <c r="J11" i="35" s="1"/>
  <c r="AC11" i="35" s="1"/>
  <c r="B61" i="35"/>
  <c r="B59" i="35"/>
  <c r="H12" i="35" s="1"/>
  <c r="B131" i="34"/>
  <c r="B129" i="34"/>
  <c r="H46" i="34" s="1"/>
  <c r="U46" i="34" s="1"/>
  <c r="B127" i="34"/>
  <c r="F45" i="34" s="1"/>
  <c r="S45" i="34" s="1"/>
  <c r="B99" i="34"/>
  <c r="B97" i="34"/>
  <c r="B95" i="34"/>
  <c r="J30" i="34" s="1"/>
  <c r="W30" i="34" s="1"/>
  <c r="B93" i="34"/>
  <c r="B75" i="34"/>
  <c r="B73" i="34"/>
  <c r="B71" i="34"/>
  <c r="B130" i="33"/>
  <c r="H46" i="33" s="1"/>
  <c r="AB46" i="33" s="1"/>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B94" i="21"/>
  <c r="B92" i="21"/>
  <c r="H28" i="21" s="1"/>
  <c r="AB28" i="21" s="1"/>
  <c r="B90" i="21"/>
  <c r="J27" i="21" s="1"/>
  <c r="W27" i="21" s="1"/>
  <c r="B74" i="21"/>
  <c r="F14" i="21" s="1"/>
  <c r="S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J44" i="39"/>
  <c r="AC44" i="39" s="1"/>
  <c r="H36" i="39"/>
  <c r="J35" i="39"/>
  <c r="F35" i="39"/>
  <c r="AA35" i="39" s="1"/>
  <c r="W25" i="37"/>
  <c r="U30" i="37"/>
  <c r="W31" i="37"/>
  <c r="F39" i="37"/>
  <c r="F29" i="36"/>
  <c r="AA29" i="36" s="1"/>
  <c r="W8" i="36"/>
  <c r="F16" i="36"/>
  <c r="AA16" i="36" s="1"/>
  <c r="W28" i="36"/>
  <c r="S30" i="36"/>
  <c r="AA31" i="36"/>
  <c r="W31" i="36"/>
  <c r="J33" i="36"/>
  <c r="W33" i="36" s="1"/>
  <c r="H22" i="35"/>
  <c r="AB22" i="35" s="1"/>
  <c r="U31" i="35"/>
  <c r="W34" i="35"/>
  <c r="S31" i="35"/>
  <c r="U34" i="35"/>
  <c r="F36" i="34"/>
  <c r="J35" i="34"/>
  <c r="U34" i="34"/>
  <c r="H39" i="33"/>
  <c r="AB39" i="33" s="1"/>
  <c r="U35" i="33"/>
  <c r="W33" i="33"/>
  <c r="S27" i="35"/>
  <c r="F11" i="40"/>
  <c r="AA11" i="40" s="1"/>
  <c r="H11" i="40"/>
  <c r="AB11" i="40" s="1"/>
  <c r="AA9" i="40"/>
  <c r="AC9" i="40"/>
  <c r="W31" i="40"/>
  <c r="U34" i="40"/>
  <c r="S38"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s="1"/>
  <c r="F27" i="39"/>
  <c r="C27" i="39"/>
  <c r="C15" i="39"/>
  <c r="H32" i="33"/>
  <c r="AB32" i="33" s="1"/>
  <c r="H37" i="40"/>
  <c r="U37" i="40" s="1"/>
  <c r="H36" i="40"/>
  <c r="AB36" i="40" s="1"/>
  <c r="F35" i="40"/>
  <c r="AA35" i="40" s="1"/>
  <c r="H23" i="40"/>
  <c r="AB23" i="40" s="1"/>
  <c r="H17" i="40"/>
  <c r="U17" i="40" s="1"/>
  <c r="J15" i="40"/>
  <c r="W15" i="40" s="1"/>
  <c r="J11" i="40"/>
  <c r="W11" i="40" s="1"/>
  <c r="AB8" i="39"/>
  <c r="S44" i="39"/>
  <c r="F37" i="39"/>
  <c r="AA37" i="39" s="1"/>
  <c r="J34" i="36"/>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H37" i="33"/>
  <c r="AB37" i="33" s="1"/>
  <c r="H15" i="33"/>
  <c r="AB15" i="33" s="1"/>
  <c r="H11" i="33"/>
  <c r="AB11" i="33" s="1"/>
  <c r="F28" i="40"/>
  <c r="AA28" i="40" s="1"/>
  <c r="AA29" i="35"/>
  <c r="S42" i="34"/>
  <c r="AA38" i="34"/>
  <c r="J37" i="34"/>
  <c r="AC37" i="34" s="1"/>
  <c r="J11" i="33"/>
  <c r="W11" i="33" s="1"/>
  <c r="S28" i="34"/>
  <c r="U23" i="40"/>
  <c r="J42" i="21"/>
  <c r="AC42" i="21" s="1"/>
  <c r="H42" i="21"/>
  <c r="U42" i="21" s="1"/>
  <c r="J44" i="34"/>
  <c r="F44" i="34"/>
  <c r="AA44" i="34" s="1"/>
  <c r="J10" i="35"/>
  <c r="W10" i="35" s="1"/>
  <c r="BL587" i="3"/>
  <c r="J14" i="21"/>
  <c r="W14" i="21" s="1"/>
  <c r="H14" i="21"/>
  <c r="U14" i="21" s="1"/>
  <c r="F28" i="21"/>
  <c r="AA28" i="21" s="1"/>
  <c r="J28" i="21"/>
  <c r="H30" i="21"/>
  <c r="U30" i="21" s="1"/>
  <c r="F30" i="21"/>
  <c r="S30" i="21" s="1"/>
  <c r="J30" i="21"/>
  <c r="AC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F45" i="21"/>
  <c r="AA45" i="21" s="1"/>
  <c r="J13" i="33"/>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H32" i="34"/>
  <c r="F32" i="34"/>
  <c r="J32" i="34"/>
  <c r="W32" i="34" s="1"/>
  <c r="F46" i="34"/>
  <c r="J46" i="34"/>
  <c r="H11" i="35"/>
  <c r="U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F40" i="37"/>
  <c r="AA40" i="37" s="1"/>
  <c r="AC12" i="40"/>
  <c r="H14" i="33"/>
  <c r="U14" i="33" s="1"/>
  <c r="F14" i="33"/>
  <c r="J14" i="33"/>
  <c r="J30" i="33"/>
  <c r="H44" i="33"/>
  <c r="J44" i="33"/>
  <c r="AC44" i="33" s="1"/>
  <c r="F44" i="33"/>
  <c r="S44" i="33" s="1"/>
  <c r="J46" i="33"/>
  <c r="AC46" i="33" s="1"/>
  <c r="H13" i="34"/>
  <c r="U13" i="34" s="1"/>
  <c r="J13" i="34"/>
  <c r="W13" i="34" s="1"/>
  <c r="F13" i="34"/>
  <c r="AA13" i="34" s="1"/>
  <c r="J31" i="34"/>
  <c r="H31" i="34"/>
  <c r="AB31" i="34" s="1"/>
  <c r="F31" i="34"/>
  <c r="S31" i="34" s="1"/>
  <c r="J45" i="34"/>
  <c r="W45" i="34" s="1"/>
  <c r="H47" i="34"/>
  <c r="U47" i="34" s="1"/>
  <c r="F47" i="34"/>
  <c r="S47" i="34" s="1"/>
  <c r="J47" i="34"/>
  <c r="AC47" i="34" s="1"/>
  <c r="H13" i="35"/>
  <c r="U13"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4" i="40"/>
  <c r="AB14" i="40" s="1"/>
  <c r="J14" i="40"/>
  <c r="W14" i="40" s="1"/>
  <c r="F14" i="40"/>
  <c r="AA14" i="40" s="1"/>
  <c r="J14" i="37"/>
  <c r="AC14" i="37" s="1"/>
  <c r="J27" i="37"/>
  <c r="AC27" i="37" s="1"/>
  <c r="U31" i="34"/>
  <c r="J36" i="37"/>
  <c r="AC36" i="37" s="1"/>
  <c r="AB11" i="36"/>
  <c r="AB11" i="35"/>
  <c r="J10" i="36"/>
  <c r="AC10" i="36" s="1"/>
  <c r="AB26" i="33"/>
  <c r="AC13" i="36"/>
  <c r="W11" i="36"/>
  <c r="W11" i="35"/>
  <c r="AB46" i="34"/>
  <c r="AC30" i="34"/>
  <c r="AA14" i="34"/>
  <c r="S45" i="33"/>
  <c r="AB45" i="33"/>
  <c r="U13" i="33"/>
  <c r="S44" i="34"/>
  <c r="BA585" i="3"/>
  <c r="H17" i="21"/>
  <c r="AB17" i="21" s="1"/>
  <c r="F15" i="21"/>
  <c r="S15" i="21" s="1"/>
  <c r="J41" i="39"/>
  <c r="W41" i="39" s="1"/>
  <c r="W44" i="39"/>
  <c r="S35" i="39"/>
  <c r="G544" i="3"/>
  <c r="G536" i="3"/>
  <c r="G535" i="3"/>
  <c r="G528" i="3"/>
  <c r="G527" i="3"/>
  <c r="G523" i="3"/>
  <c r="G514" i="3"/>
  <c r="G510" i="3"/>
  <c r="G508" i="3"/>
  <c r="G500" i="3"/>
  <c r="G584" i="3"/>
  <c r="G576" i="3"/>
  <c r="G572" i="3"/>
  <c r="G568" i="3"/>
  <c r="G560" i="3"/>
  <c r="G554" i="3"/>
  <c r="G550" i="3"/>
  <c r="BL576" i="3"/>
  <c r="BL572" i="3"/>
  <c r="BL554" i="3"/>
  <c r="BL534" i="3"/>
  <c r="BL516" i="3"/>
  <c r="BL498" i="3"/>
  <c r="BL578" i="3"/>
  <c r="BL574" i="3"/>
  <c r="BL556" i="3"/>
  <c r="BL536" i="3"/>
  <c r="G529" i="3"/>
  <c r="BL528" i="3"/>
  <c r="BL514" i="3"/>
  <c r="BL496" i="3"/>
  <c r="G493" i="3"/>
  <c r="BA582" i="3"/>
  <c r="BA580" i="3"/>
  <c r="BA576" i="3"/>
  <c r="BA574" i="3"/>
  <c r="BA570" i="3"/>
  <c r="BA562" i="3"/>
  <c r="AZ562" i="3" s="1"/>
  <c r="BA556" i="3"/>
  <c r="BA546" i="3"/>
  <c r="BA538" i="3"/>
  <c r="BA530" i="3"/>
  <c r="BA524" i="3"/>
  <c r="BA516" i="3"/>
  <c r="AZ516" i="3" s="1"/>
  <c r="BA510" i="3"/>
  <c r="BA502" i="3"/>
  <c r="AZ502" i="3" s="1"/>
  <c r="BA494" i="3"/>
  <c r="BA587" i="3"/>
  <c r="BA579" i="3"/>
  <c r="BA577" i="3"/>
  <c r="BA571" i="3"/>
  <c r="BA563" i="3"/>
  <c r="BA553" i="3"/>
  <c r="BA545" i="3"/>
  <c r="BA541" i="3"/>
  <c r="BA535" i="3"/>
  <c r="BA529" i="3"/>
  <c r="BA525" i="3"/>
  <c r="BA517" i="3"/>
  <c r="BA511" i="3"/>
  <c r="BA505" i="3"/>
  <c r="BA499" i="3"/>
  <c r="AZ499" i="3" s="1"/>
  <c r="BA493" i="3"/>
  <c r="G583" i="3"/>
  <c r="G579" i="3"/>
  <c r="G577" i="3"/>
  <c r="G575" i="3"/>
  <c r="G571" i="3"/>
  <c r="G569" i="3"/>
  <c r="G567" i="3"/>
  <c r="G561" i="3"/>
  <c r="AC557" i="3"/>
  <c r="BQ557" i="3"/>
  <c r="BQ583" i="3"/>
  <c r="BL583" i="3" s="1"/>
  <c r="BQ581" i="3"/>
  <c r="BL581" i="3" s="1"/>
  <c r="BQ579" i="3"/>
  <c r="BQ577" i="3"/>
  <c r="BL577" i="3" s="1"/>
  <c r="AZ577" i="3" s="1"/>
  <c r="BQ575" i="3"/>
  <c r="BL575" i="3"/>
  <c r="BQ573" i="3"/>
  <c r="BQ571" i="3"/>
  <c r="BL571" i="3" s="1"/>
  <c r="AZ571" i="3" s="1"/>
  <c r="BQ569" i="3"/>
  <c r="BQ567" i="3"/>
  <c r="BQ565" i="3"/>
  <c r="BQ563" i="3"/>
  <c r="BQ561" i="3"/>
  <c r="BQ559" i="3"/>
  <c r="G559" i="3"/>
  <c r="G555" i="3"/>
  <c r="G553" i="3"/>
  <c r="G547" i="3"/>
  <c r="G545" i="3"/>
  <c r="G541" i="3"/>
  <c r="G537" i="3"/>
  <c r="BQ555" i="3"/>
  <c r="BL555" i="3"/>
  <c r="BQ553" i="3"/>
  <c r="BQ551" i="3"/>
  <c r="BL551" i="3" s="1"/>
  <c r="BQ549" i="3"/>
  <c r="BQ547" i="3"/>
  <c r="BL547" i="3" s="1"/>
  <c r="BQ545" i="3"/>
  <c r="BQ543" i="3"/>
  <c r="BL543" i="3" s="1"/>
  <c r="AZ543" i="3" s="1"/>
  <c r="BQ541" i="3"/>
  <c r="BQ539" i="3"/>
  <c r="BL539" i="3" s="1"/>
  <c r="BQ537" i="3"/>
  <c r="BQ535" i="3"/>
  <c r="BL535" i="3" s="1"/>
  <c r="AZ535" i="3" s="1"/>
  <c r="BQ533" i="3"/>
  <c r="BQ531" i="3"/>
  <c r="BL531" i="3" s="1"/>
  <c r="BQ529" i="3"/>
  <c r="BQ527" i="3"/>
  <c r="BL527" i="3" s="1"/>
  <c r="AZ527" i="3" s="1"/>
  <c r="BQ525" i="3"/>
  <c r="BQ523" i="3"/>
  <c r="BL523" i="3" s="1"/>
  <c r="AC521" i="3"/>
  <c r="G521" i="3" s="1"/>
  <c r="BQ521" i="3"/>
  <c r="BL521" i="3"/>
  <c r="G519" i="3"/>
  <c r="G515" i="3"/>
  <c r="G513" i="3"/>
  <c r="BQ519" i="3"/>
  <c r="BQ517" i="3"/>
  <c r="BL517" i="3" s="1"/>
  <c r="AZ517" i="3" s="1"/>
  <c r="BQ515" i="3"/>
  <c r="BQ513" i="3"/>
  <c r="BL513" i="3" s="1"/>
  <c r="BQ511" i="3"/>
  <c r="BA509" i="3"/>
  <c r="AC509" i="3"/>
  <c r="BQ509" i="3"/>
  <c r="BL509" i="3" s="1"/>
  <c r="AZ509" i="3" s="1"/>
  <c r="AZ508" i="3"/>
  <c r="G507" i="3"/>
  <c r="G505" i="3"/>
  <c r="G501" i="3"/>
  <c r="G499" i="3"/>
  <c r="G497" i="3"/>
  <c r="BQ507" i="3"/>
  <c r="BL507" i="3" s="1"/>
  <c r="BQ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2" i="36"/>
  <c r="AC33" i="36"/>
  <c r="U35" i="35"/>
  <c r="AA12" i="35"/>
  <c r="W23" i="35"/>
  <c r="W14" i="37"/>
  <c r="AB28" i="37"/>
  <c r="U33" i="37"/>
  <c r="W26" i="37"/>
  <c r="AC8" i="37"/>
  <c r="AB13" i="34"/>
  <c r="W37" i="34"/>
  <c r="AB37" i="34"/>
  <c r="AC36" i="34"/>
  <c r="AA13" i="33"/>
  <c r="AC45" i="33"/>
  <c r="W44" i="33"/>
  <c r="U11" i="33"/>
  <c r="U19" i="21"/>
  <c r="W44" i="21"/>
  <c r="AC46" i="21"/>
  <c r="U12" i="21"/>
  <c r="F43" i="33"/>
  <c r="AA43" i="33" s="1"/>
  <c r="W15" i="34"/>
  <c r="W16" i="35"/>
  <c r="G107" i="37"/>
  <c r="H107" i="37" s="1"/>
  <c r="I107" i="37" s="1"/>
  <c r="J107" i="37" s="1"/>
  <c r="K107" i="37" s="1"/>
  <c r="L107" i="37" s="1"/>
  <c r="M107" i="37" s="1"/>
  <c r="H37" i="21"/>
  <c r="U37" i="21" s="1"/>
  <c r="S42" i="21"/>
  <c r="H19" i="34"/>
  <c r="AB19" i="34" s="1"/>
  <c r="F36" i="35"/>
  <c r="S36" i="35" s="1"/>
  <c r="H9" i="37"/>
  <c r="AB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C12" i="43"/>
  <c r="H19" i="40"/>
  <c r="U19" i="40" s="1"/>
  <c r="F88" i="40"/>
  <c r="G88" i="40" s="1"/>
  <c r="F19" i="40"/>
  <c r="S19" i="40" s="1"/>
  <c r="S14" i="40"/>
  <c r="AC13" i="40"/>
  <c r="AB33" i="40"/>
  <c r="AB44" i="39"/>
  <c r="U44" i="39"/>
  <c r="G101" i="39"/>
  <c r="H37" i="39"/>
  <c r="AB37" i="39" s="1"/>
  <c r="AC37" i="39"/>
  <c r="W37" i="39"/>
  <c r="F15" i="39"/>
  <c r="AA15" i="39" s="1"/>
  <c r="H15" i="39"/>
  <c r="U15" i="39" s="1"/>
  <c r="J15" i="39"/>
  <c r="W15" i="39" s="1"/>
  <c r="H41" i="39"/>
  <c r="W14" i="39"/>
  <c r="W9" i="39"/>
  <c r="J19" i="40"/>
  <c r="AC19" i="40" s="1"/>
  <c r="J50" i="40"/>
  <c r="B54" i="72"/>
  <c r="H103" i="9"/>
  <c r="D8" i="53" s="1"/>
  <c r="B16" i="53"/>
  <c r="B33" i="72" s="1"/>
  <c r="C7" i="37"/>
  <c r="C7" i="34"/>
  <c r="C7" i="36"/>
  <c r="W35" i="40"/>
  <c r="A118" i="9"/>
  <c r="A4" i="52"/>
  <c r="B41" i="72" s="1"/>
  <c r="A12" i="52"/>
  <c r="B56" i="72" s="1"/>
  <c r="G4" i="4"/>
  <c r="I4" i="4"/>
  <c r="K5" i="4"/>
  <c r="B47" i="48" s="1"/>
  <c r="A2" i="9"/>
  <c r="AZ497" i="3"/>
  <c r="AZ514" i="3"/>
  <c r="G546" i="3"/>
  <c r="G303" i="3"/>
  <c r="BL304" i="3"/>
  <c r="G305" i="3"/>
  <c r="BL306" i="3"/>
  <c r="BA308" i="3"/>
  <c r="BA309" i="3"/>
  <c r="BL309" i="3"/>
  <c r="AZ309" i="3" s="1"/>
  <c r="G310" i="3"/>
  <c r="BA311" i="3"/>
  <c r="G319" i="3"/>
  <c r="BL320" i="3"/>
  <c r="G321" i="3"/>
  <c r="BL322" i="3"/>
  <c r="AZ322" i="3" s="1"/>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s="1"/>
  <c r="G133" i="3"/>
  <c r="BA135" i="3"/>
  <c r="BL136" i="3"/>
  <c r="G137" i="3"/>
  <c r="BA139" i="3"/>
  <c r="BL140" i="3"/>
  <c r="G141" i="3"/>
  <c r="BA143" i="3"/>
  <c r="BL144" i="3"/>
  <c r="AZ144" i="3" s="1"/>
  <c r="G145" i="3"/>
  <c r="BA147" i="3"/>
  <c r="BL148" i="3"/>
  <c r="G149" i="3"/>
  <c r="BA151" i="3"/>
  <c r="BL152" i="3"/>
  <c r="G153" i="3"/>
  <c r="BA155" i="3"/>
  <c r="AZ155" i="3" s="1"/>
  <c r="BL156" i="3"/>
  <c r="AZ156" i="3" s="1"/>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AZ187" i="3" s="1"/>
  <c r="BL188" i="3"/>
  <c r="AZ188" i="3" s="1"/>
  <c r="G189" i="3"/>
  <c r="BA191" i="3"/>
  <c r="AZ191" i="3" s="1"/>
  <c r="BL192" i="3"/>
  <c r="G193" i="3"/>
  <c r="BA195" i="3"/>
  <c r="BL196" i="3"/>
  <c r="G197" i="3"/>
  <c r="BA199" i="3"/>
  <c r="BL200" i="3"/>
  <c r="G201" i="3"/>
  <c r="BA203" i="3"/>
  <c r="BL204" i="3"/>
  <c r="AZ136" i="3"/>
  <c r="AZ120" i="3"/>
  <c r="G534" i="3"/>
  <c r="G530" i="3"/>
  <c r="G516" i="3"/>
  <c r="G512" i="3"/>
  <c r="G506" i="3"/>
  <c r="G498" i="3"/>
  <c r="G494" i="3"/>
  <c r="G16" i="3"/>
  <c r="G15" i="3"/>
  <c r="BA304" i="3"/>
  <c r="BA305" i="3"/>
  <c r="AZ305" i="3" s="1"/>
  <c r="BL305" i="3"/>
  <c r="G306" i="3"/>
  <c r="G309" i="3"/>
  <c r="BL310" i="3"/>
  <c r="BA312" i="3"/>
  <c r="AZ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BA390" i="3"/>
  <c r="AZ390" i="3" s="1"/>
  <c r="BL390" i="3"/>
  <c r="G391" i="3"/>
  <c r="G394" i="3"/>
  <c r="AZ500" i="3"/>
  <c r="BA16" i="3"/>
  <c r="BL303" i="3"/>
  <c r="G304" i="3"/>
  <c r="BA306" i="3"/>
  <c r="AZ306" i="3" s="1"/>
  <c r="BL307" i="3"/>
  <c r="G308" i="3"/>
  <c r="BA310" i="3"/>
  <c r="AZ310" i="3" s="1"/>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AZ352" i="3" s="1"/>
  <c r="G353" i="3"/>
  <c r="BA357" i="3"/>
  <c r="BL358" i="3"/>
  <c r="AZ358" i="3" s="1"/>
  <c r="G359" i="3"/>
  <c r="BA361" i="3"/>
  <c r="AZ361" i="3" s="1"/>
  <c r="BL362" i="3"/>
  <c r="G363" i="3"/>
  <c r="BA365" i="3"/>
  <c r="AZ365" i="3" s="1"/>
  <c r="BL366" i="3"/>
  <c r="G367" i="3"/>
  <c r="BA369" i="3"/>
  <c r="BL370" i="3"/>
  <c r="G371" i="3"/>
  <c r="BA373" i="3"/>
  <c r="AZ373" i="3" s="1"/>
  <c r="BL374" i="3"/>
  <c r="AZ374" i="3"/>
  <c r="G375" i="3"/>
  <c r="BA377" i="3"/>
  <c r="AZ377" i="3" s="1"/>
  <c r="BA379" i="3"/>
  <c r="AZ379" i="3"/>
  <c r="BL380" i="3"/>
  <c r="G381" i="3"/>
  <c r="BA383" i="3"/>
  <c r="BL384" i="3"/>
  <c r="G385" i="3"/>
  <c r="BA387" i="3"/>
  <c r="AZ387" i="3" s="1"/>
  <c r="BL388" i="3"/>
  <c r="G389" i="3"/>
  <c r="BA391" i="3"/>
  <c r="AZ391" i="3" s="1"/>
  <c r="BL392" i="3"/>
  <c r="G393" i="3"/>
  <c r="AZ549" i="3"/>
  <c r="G538" i="3"/>
  <c r="G520" i="3"/>
  <c r="G502" i="3"/>
  <c r="AZ343" i="3"/>
  <c r="BG5" i="3"/>
  <c r="G17" i="3"/>
  <c r="BT5" i="3"/>
  <c r="AZ380" i="3"/>
  <c r="G509" i="3"/>
  <c r="BL493" i="3"/>
  <c r="AZ376" i="3"/>
  <c r="AZ493" i="3"/>
  <c r="U36" i="40"/>
  <c r="F36" i="43"/>
  <c r="F81" i="43"/>
  <c r="H83" i="43" s="1"/>
  <c r="F48" i="43"/>
  <c r="H52" i="43" s="1"/>
  <c r="N7" i="43"/>
  <c r="F70" i="43"/>
  <c r="E17" i="43"/>
  <c r="J17" i="43"/>
  <c r="S14" i="35"/>
  <c r="G8" i="1"/>
  <c r="G9"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F20" i="36"/>
  <c r="AA20" i="36" s="1"/>
  <c r="J33" i="34"/>
  <c r="AC33" i="34" s="1"/>
  <c r="H23" i="39"/>
  <c r="U23" i="39" s="1"/>
  <c r="H86" i="43"/>
  <c r="K9" i="1"/>
  <c r="M9" i="1" s="1"/>
  <c r="O9" i="1" s="1"/>
  <c r="P9" i="1" s="1"/>
  <c r="AE9" i="1"/>
  <c r="BL503" i="3" l="1"/>
  <c r="BQ5" i="3"/>
  <c r="AZ556" i="3"/>
  <c r="AC31" i="34"/>
  <c r="W31" i="34"/>
  <c r="W28" i="21"/>
  <c r="AC28" i="21"/>
  <c r="W34" i="36"/>
  <c r="AC34" i="36"/>
  <c r="BL563" i="3"/>
  <c r="G557" i="3"/>
  <c r="AZ554" i="3"/>
  <c r="AZ536" i="3"/>
  <c r="AZ528" i="3"/>
  <c r="AZ522" i="3"/>
  <c r="H73" i="43"/>
  <c r="H74" i="43"/>
  <c r="S15" i="37"/>
  <c r="AZ389" i="3"/>
  <c r="AZ362" i="3"/>
  <c r="AZ563" i="3"/>
  <c r="S14" i="33"/>
  <c r="AA14" i="33"/>
  <c r="S39" i="37"/>
  <c r="AA39" i="37"/>
  <c r="W40" i="33"/>
  <c r="S8" i="36"/>
  <c r="U40" i="40"/>
  <c r="AB36" i="39"/>
  <c r="U36" i="39"/>
  <c r="F40" i="40"/>
  <c r="J40" i="40"/>
  <c r="AZ357" i="3"/>
  <c r="AZ334" i="3"/>
  <c r="AZ347" i="3"/>
  <c r="AZ342" i="3"/>
  <c r="AZ318" i="3"/>
  <c r="AZ304" i="3"/>
  <c r="J9" i="37"/>
  <c r="W9" i="37" s="1"/>
  <c r="W47" i="34"/>
  <c r="AB27" i="37"/>
  <c r="BL511" i="3"/>
  <c r="AZ511" i="3" s="1"/>
  <c r="BL569" i="3"/>
  <c r="AZ569" i="3" s="1"/>
  <c r="AZ576" i="3"/>
  <c r="U23" i="34"/>
  <c r="AB23" i="34"/>
  <c r="H40" i="37"/>
  <c r="U40" i="37" s="1"/>
  <c r="J40" i="37"/>
  <c r="H30" i="33"/>
  <c r="AB30" i="33" s="1"/>
  <c r="F30" i="33"/>
  <c r="J29" i="34"/>
  <c r="F29" i="34"/>
  <c r="S29" i="34" s="1"/>
  <c r="F13" i="35"/>
  <c r="S13" i="35" s="1"/>
  <c r="J13" i="35"/>
  <c r="AC13" i="35" s="1"/>
  <c r="F25" i="35"/>
  <c r="S25" i="35" s="1"/>
  <c r="H25" i="35"/>
  <c r="AB25" i="35" s="1"/>
  <c r="AC22" i="35"/>
  <c r="W22" i="35"/>
  <c r="BL568" i="3"/>
  <c r="BA568" i="3"/>
  <c r="AZ568" i="3" s="1"/>
  <c r="BL567" i="3"/>
  <c r="AZ567" i="3" s="1"/>
  <c r="BA567" i="3"/>
  <c r="BL566" i="3"/>
  <c r="AZ566" i="3" s="1"/>
  <c r="BA565" i="3"/>
  <c r="BL564" i="3"/>
  <c r="AZ564" i="3" s="1"/>
  <c r="BA564" i="3"/>
  <c r="BA560" i="3"/>
  <c r="AZ560" i="3" s="1"/>
  <c r="BA559" i="3"/>
  <c r="BA558" i="3"/>
  <c r="AZ558" i="3" s="1"/>
  <c r="BL557" i="3"/>
  <c r="BA557" i="3"/>
  <c r="BA555" i="3"/>
  <c r="BL552" i="3"/>
  <c r="BA552" i="3"/>
  <c r="BA548" i="3"/>
  <c r="BA547" i="3"/>
  <c r="AZ547" i="3" s="1"/>
  <c r="BL546" i="3"/>
  <c r="AZ546" i="3" s="1"/>
  <c r="BL544" i="3"/>
  <c r="AZ544" i="3" s="1"/>
  <c r="BL542" i="3"/>
  <c r="BA542" i="3"/>
  <c r="BA540" i="3"/>
  <c r="BA539" i="3"/>
  <c r="AZ539" i="3" s="1"/>
  <c r="BA534" i="3"/>
  <c r="AZ534" i="3" s="1"/>
  <c r="BL532" i="3"/>
  <c r="BA532" i="3"/>
  <c r="BA531" i="3"/>
  <c r="AZ531" i="3" s="1"/>
  <c r="BL530" i="3"/>
  <c r="AZ530" i="3" s="1"/>
  <c r="BL526" i="3"/>
  <c r="BA526" i="3"/>
  <c r="AZ526" i="3" s="1"/>
  <c r="BL524" i="3"/>
  <c r="AZ524" i="3" s="1"/>
  <c r="BA523" i="3"/>
  <c r="AZ523" i="3" s="1"/>
  <c r="BA520" i="3"/>
  <c r="AZ520" i="3" s="1"/>
  <c r="BA518" i="3"/>
  <c r="AZ515" i="3"/>
  <c r="BA513" i="3"/>
  <c r="AZ513" i="3" s="1"/>
  <c r="BL512" i="3"/>
  <c r="BA512" i="3"/>
  <c r="AZ512" i="3" s="1"/>
  <c r="BL510" i="3"/>
  <c r="AZ510" i="3" s="1"/>
  <c r="BL506" i="3"/>
  <c r="BA506" i="3"/>
  <c r="AZ506" i="3" s="1"/>
  <c r="BL504" i="3"/>
  <c r="BA504" i="3"/>
  <c r="BA503" i="3"/>
  <c r="BA498" i="3"/>
  <c r="AZ498" i="3" s="1"/>
  <c r="BA496" i="3"/>
  <c r="AZ496" i="3" s="1"/>
  <c r="BA495" i="3"/>
  <c r="AZ495" i="3" s="1"/>
  <c r="BL494" i="3"/>
  <c r="AZ494" i="3" s="1"/>
  <c r="AZ369" i="3"/>
  <c r="AZ311" i="3"/>
  <c r="AZ344" i="3"/>
  <c r="AC31" i="33"/>
  <c r="BL529" i="3"/>
  <c r="AZ529" i="3" s="1"/>
  <c r="BL537" i="3"/>
  <c r="AZ537" i="3" s="1"/>
  <c r="BL545" i="3"/>
  <c r="AZ545" i="3" s="1"/>
  <c r="BL553" i="3"/>
  <c r="BL559" i="3"/>
  <c r="BL565" i="3"/>
  <c r="AZ587" i="3"/>
  <c r="AZ574" i="3"/>
  <c r="H45" i="34"/>
  <c r="U45" i="34" s="1"/>
  <c r="H29" i="34"/>
  <c r="AB29" i="34" s="1"/>
  <c r="F46" i="33"/>
  <c r="AA46" i="33" s="1"/>
  <c r="AB31" i="33"/>
  <c r="U31" i="33"/>
  <c r="AC29" i="33"/>
  <c r="W29" i="33"/>
  <c r="S41" i="33"/>
  <c r="AC35" i="39"/>
  <c r="W35" i="39"/>
  <c r="BA586" i="3"/>
  <c r="H13" i="21"/>
  <c r="J13" i="21"/>
  <c r="AC13" i="21" s="1"/>
  <c r="J29" i="21"/>
  <c r="AC29" i="21" s="1"/>
  <c r="H29" i="21"/>
  <c r="U29" i="21" s="1"/>
  <c r="B71" i="43"/>
  <c r="C21" i="39"/>
  <c r="AA8" i="33"/>
  <c r="S8" i="33"/>
  <c r="H12" i="33"/>
  <c r="J43" i="39"/>
  <c r="F43" i="39"/>
  <c r="AA43" i="39" s="1"/>
  <c r="AA34" i="40"/>
  <c r="S34" i="40"/>
  <c r="F36" i="39"/>
  <c r="J36" i="39"/>
  <c r="BL584" i="3"/>
  <c r="BA584" i="3"/>
  <c r="AZ584" i="3" s="1"/>
  <c r="BA583" i="3"/>
  <c r="AZ583" i="3" s="1"/>
  <c r="BL582" i="3"/>
  <c r="AZ582" i="3" s="1"/>
  <c r="BA581" i="3"/>
  <c r="BL580" i="3"/>
  <c r="AZ580" i="3" s="1"/>
  <c r="BL579" i="3"/>
  <c r="BA578" i="3"/>
  <c r="AZ578" i="3" s="1"/>
  <c r="BA575" i="3"/>
  <c r="AZ575" i="3" s="1"/>
  <c r="BA573" i="3"/>
  <c r="BA572" i="3"/>
  <c r="AZ572" i="3" s="1"/>
  <c r="BL570" i="3"/>
  <c r="AZ570" i="3" s="1"/>
  <c r="F44" i="21"/>
  <c r="AA44" i="21" s="1"/>
  <c r="AC8" i="35"/>
  <c r="AC16" i="36"/>
  <c r="J17" i="39"/>
  <c r="W8" i="40"/>
  <c r="H39" i="37"/>
  <c r="U33" i="33"/>
  <c r="S34" i="34"/>
  <c r="AC27" i="35"/>
  <c r="G558" i="3"/>
  <c r="BP5" i="3"/>
  <c r="BR5" i="3"/>
  <c r="BA399" i="3"/>
  <c r="BL404" i="3"/>
  <c r="BL410" i="3"/>
  <c r="BA411" i="3"/>
  <c r="BL414" i="3"/>
  <c r="BA418" i="3"/>
  <c r="BL421" i="3"/>
  <c r="BL448" i="3"/>
  <c r="BA450" i="3"/>
  <c r="BA451" i="3"/>
  <c r="BL452" i="3"/>
  <c r="G454" i="3"/>
  <c r="BL457" i="3"/>
  <c r="G460" i="3"/>
  <c r="BA460" i="3"/>
  <c r="BL467" i="3"/>
  <c r="G469" i="3"/>
  <c r="BL505" i="3"/>
  <c r="AZ505" i="3" s="1"/>
  <c r="BL525" i="3"/>
  <c r="AZ525" i="3" s="1"/>
  <c r="BL533" i="3"/>
  <c r="AZ533" i="3" s="1"/>
  <c r="BL541" i="3"/>
  <c r="AZ541" i="3" s="1"/>
  <c r="BL561" i="3"/>
  <c r="AZ561" i="3" s="1"/>
  <c r="BL573" i="3"/>
  <c r="W39" i="33"/>
  <c r="S9" i="33"/>
  <c r="G587" i="3"/>
  <c r="F34" i="35"/>
  <c r="H26" i="37"/>
  <c r="G578" i="3"/>
  <c r="F7" i="1"/>
  <c r="BA401" i="3"/>
  <c r="G404" i="3"/>
  <c r="BA405" i="3"/>
  <c r="AZ405" i="3" s="1"/>
  <c r="BL409" i="3"/>
  <c r="BA410" i="3"/>
  <c r="BL413" i="3"/>
  <c r="G414" i="3"/>
  <c r="BA415" i="3"/>
  <c r="AZ415" i="3" s="1"/>
  <c r="BL420" i="3"/>
  <c r="G421" i="3"/>
  <c r="BL426" i="3"/>
  <c r="BA427" i="3"/>
  <c r="BL430" i="3"/>
  <c r="G431" i="3"/>
  <c r="G438" i="3"/>
  <c r="G443" i="3"/>
  <c r="BA445" i="3"/>
  <c r="BL447" i="3"/>
  <c r="BA448" i="3"/>
  <c r="G463" i="3"/>
  <c r="BA465" i="3"/>
  <c r="BL466" i="3"/>
  <c r="BA468" i="3"/>
  <c r="BL471" i="3"/>
  <c r="BA473" i="3"/>
  <c r="BL479" i="3"/>
  <c r="BA481" i="3"/>
  <c r="G491" i="3"/>
  <c r="BL308" i="3"/>
  <c r="AZ308" i="3" s="1"/>
  <c r="BA332" i="3"/>
  <c r="BL348" i="3"/>
  <c r="BA349" i="3"/>
  <c r="AZ349" i="3" s="1"/>
  <c r="BA214" i="3"/>
  <c r="BL16" i="3"/>
  <c r="AZ16" i="3" s="1"/>
  <c r="BL399" i="3"/>
  <c r="G402" i="3"/>
  <c r="BA406" i="3"/>
  <c r="BL407" i="3"/>
  <c r="G408" i="3"/>
  <c r="BA409" i="3"/>
  <c r="G413" i="3"/>
  <c r="BA417" i="3"/>
  <c r="G420" i="3"/>
  <c r="BA421" i="3"/>
  <c r="AZ421" i="3" s="1"/>
  <c r="BL424" i="3"/>
  <c r="G425" i="3"/>
  <c r="BA426" i="3"/>
  <c r="BL429" i="3"/>
  <c r="G430" i="3"/>
  <c r="BA431" i="3"/>
  <c r="AZ431" i="3" s="1"/>
  <c r="BL436" i="3"/>
  <c r="G437" i="3"/>
  <c r="BL440" i="3"/>
  <c r="G441" i="3"/>
  <c r="BA443" i="3"/>
  <c r="G451" i="3"/>
  <c r="BL455" i="3"/>
  <c r="G456" i="3"/>
  <c r="BA457" i="3"/>
  <c r="G462" i="3"/>
  <c r="BA487" i="3"/>
  <c r="BL489" i="3"/>
  <c r="G490" i="3"/>
  <c r="BL317" i="3"/>
  <c r="BL324" i="3"/>
  <c r="AZ324" i="3" s="1"/>
  <c r="BL354" i="3"/>
  <c r="BL363" i="3"/>
  <c r="AZ363" i="3" s="1"/>
  <c r="BA396" i="3"/>
  <c r="BL209" i="3"/>
  <c r="AZ209" i="3" s="1"/>
  <c r="G429" i="3"/>
  <c r="BA433" i="3"/>
  <c r="G436" i="3"/>
  <c r="BA437" i="3"/>
  <c r="BL473" i="3"/>
  <c r="G477" i="3"/>
  <c r="BA478" i="3"/>
  <c r="BL481" i="3"/>
  <c r="BL484" i="3"/>
  <c r="G485" i="3"/>
  <c r="BA486" i="3"/>
  <c r="BL488" i="3"/>
  <c r="G489" i="3"/>
  <c r="BA490" i="3"/>
  <c r="BA319" i="3"/>
  <c r="AZ319" i="3" s="1"/>
  <c r="BA323" i="3"/>
  <c r="AZ323" i="3" s="1"/>
  <c r="BL330" i="3"/>
  <c r="AZ330" i="3" s="1"/>
  <c r="G331" i="3"/>
  <c r="BA333" i="3"/>
  <c r="AZ333" i="3" s="1"/>
  <c r="BL359" i="3"/>
  <c r="AZ359" i="3" s="1"/>
  <c r="BL367" i="3"/>
  <c r="BA370" i="3"/>
  <c r="AZ370" i="3" s="1"/>
  <c r="BL381" i="3"/>
  <c r="AZ381" i="3" s="1"/>
  <c r="BL386" i="3"/>
  <c r="G392" i="3"/>
  <c r="G396" i="3"/>
  <c r="G397" i="3"/>
  <c r="BA397" i="3"/>
  <c r="AZ397" i="3" s="1"/>
  <c r="BA211" i="3"/>
  <c r="G213" i="3"/>
  <c r="G214" i="3"/>
  <c r="BA217" i="3"/>
  <c r="G221" i="3"/>
  <c r="BL224" i="3"/>
  <c r="G227" i="3"/>
  <c r="BA228" i="3"/>
  <c r="BL231" i="3"/>
  <c r="G232" i="3"/>
  <c r="BA235" i="3"/>
  <c r="G237" i="3"/>
  <c r="BA238" i="3"/>
  <c r="BL241" i="3"/>
  <c r="AZ241" i="3" s="1"/>
  <c r="G249" i="3"/>
  <c r="BA250" i="3"/>
  <c r="BL253" i="3"/>
  <c r="G254" i="3"/>
  <c r="BA259" i="3"/>
  <c r="G263" i="3"/>
  <c r="BL274" i="3"/>
  <c r="G276" i="3"/>
  <c r="BA277" i="3"/>
  <c r="BL279" i="3"/>
  <c r="G280" i="3"/>
  <c r="BL284" i="3"/>
  <c r="BA213" i="3"/>
  <c r="BL283" i="3"/>
  <c r="BA182" i="3"/>
  <c r="BA55" i="3"/>
  <c r="BA434" i="3"/>
  <c r="BL437" i="3"/>
  <c r="G439" i="3"/>
  <c r="BL443" i="3"/>
  <c r="G446" i="3"/>
  <c r="G447" i="3"/>
  <c r="BA447" i="3"/>
  <c r="BL450" i="3"/>
  <c r="G452" i="3"/>
  <c r="BA453" i="3"/>
  <c r="BL456" i="3"/>
  <c r="G457" i="3"/>
  <c r="BA459" i="3"/>
  <c r="BL462" i="3"/>
  <c r="G466" i="3"/>
  <c r="BL470" i="3"/>
  <c r="G471" i="3"/>
  <c r="BA476" i="3"/>
  <c r="BL478" i="3"/>
  <c r="BA479" i="3"/>
  <c r="BL485" i="3"/>
  <c r="G486" i="3"/>
  <c r="G487" i="3"/>
  <c r="BL490" i="3"/>
  <c r="G492" i="3"/>
  <c r="BA303" i="3"/>
  <c r="AZ303" i="3" s="1"/>
  <c r="BA307" i="3"/>
  <c r="AZ307" i="3" s="1"/>
  <c r="BL314" i="3"/>
  <c r="AZ314" i="3" s="1"/>
  <c r="G315" i="3"/>
  <c r="BA317" i="3"/>
  <c r="BA335" i="3"/>
  <c r="AZ335" i="3" s="1"/>
  <c r="BA339" i="3"/>
  <c r="AZ339" i="3" s="1"/>
  <c r="G347" i="3"/>
  <c r="BA348" i="3"/>
  <c r="AZ348" i="3" s="1"/>
  <c r="BL350" i="3"/>
  <c r="G351" i="3"/>
  <c r="BA353" i="3"/>
  <c r="G380" i="3"/>
  <c r="BA386" i="3"/>
  <c r="AZ386" i="3" s="1"/>
  <c r="G209" i="3"/>
  <c r="BL215" i="3"/>
  <c r="G218" i="3"/>
  <c r="BA219" i="3"/>
  <c r="AZ219" i="3" s="1"/>
  <c r="BL222" i="3"/>
  <c r="G223" i="3"/>
  <c r="BA224" i="3"/>
  <c r="BA226" i="3"/>
  <c r="BL229" i="3"/>
  <c r="BL233" i="3"/>
  <c r="G234" i="3"/>
  <c r="BL239" i="3"/>
  <c r="BA240" i="3"/>
  <c r="AZ240" i="3" s="1"/>
  <c r="BL243" i="3"/>
  <c r="G247" i="3"/>
  <c r="G252" i="3"/>
  <c r="G260" i="3"/>
  <c r="BL260" i="3"/>
  <c r="BA261" i="3"/>
  <c r="AZ261" i="3" s="1"/>
  <c r="BL267" i="3"/>
  <c r="BL272" i="3"/>
  <c r="G273" i="3"/>
  <c r="BA274" i="3"/>
  <c r="BA275" i="3"/>
  <c r="BA291" i="3"/>
  <c r="BA300" i="3"/>
  <c r="BL302" i="3"/>
  <c r="BA140" i="3"/>
  <c r="AZ140" i="3" s="1"/>
  <c r="BA218" i="3"/>
  <c r="BL221" i="3"/>
  <c r="BL228" i="3"/>
  <c r="BA229" i="3"/>
  <c r="AZ229" i="3" s="1"/>
  <c r="BL232" i="3"/>
  <c r="BA239" i="3"/>
  <c r="BL254" i="3"/>
  <c r="BA260" i="3"/>
  <c r="BL263" i="3"/>
  <c r="AZ263" i="3" s="1"/>
  <c r="BA122" i="3"/>
  <c r="BA126" i="3"/>
  <c r="BL48" i="3"/>
  <c r="BA134" i="3"/>
  <c r="BL137" i="3"/>
  <c r="BL142" i="3"/>
  <c r="AZ142" i="3" s="1"/>
  <c r="BA145" i="3"/>
  <c r="BA149" i="3"/>
  <c r="BA154" i="3"/>
  <c r="BA169" i="3"/>
  <c r="BL171" i="3"/>
  <c r="AZ171" i="3" s="1"/>
  <c r="BA172" i="3"/>
  <c r="AZ172" i="3" s="1"/>
  <c r="BL175" i="3"/>
  <c r="AZ175" i="3" s="1"/>
  <c r="BA181" i="3"/>
  <c r="BA186" i="3"/>
  <c r="BA201" i="3"/>
  <c r="BL203" i="3"/>
  <c r="AZ203" i="3" s="1"/>
  <c r="BA204" i="3"/>
  <c r="AZ204" i="3" s="1"/>
  <c r="BA207" i="3"/>
  <c r="BA26" i="3"/>
  <c r="BA32" i="3"/>
  <c r="BA36" i="3"/>
  <c r="BL53" i="3"/>
  <c r="BA66" i="3"/>
  <c r="AZ66" i="3" s="1"/>
  <c r="BL72" i="3"/>
  <c r="AZ72" i="3" s="1"/>
  <c r="BL79" i="3"/>
  <c r="BL90" i="3"/>
  <c r="BA99" i="3"/>
  <c r="BL101" i="3"/>
  <c r="BA104" i="3"/>
  <c r="D67" i="43"/>
  <c r="I100" i="43"/>
  <c r="BL286" i="3"/>
  <c r="BA289" i="3"/>
  <c r="BA297" i="3"/>
  <c r="BL297" i="3"/>
  <c r="BL298" i="3"/>
  <c r="G299" i="3"/>
  <c r="BL113" i="3"/>
  <c r="G114" i="3"/>
  <c r="BL121" i="3"/>
  <c r="BA125" i="3"/>
  <c r="G128" i="3"/>
  <c r="G132" i="3"/>
  <c r="BA133" i="3"/>
  <c r="G136" i="3"/>
  <c r="BA138" i="3"/>
  <c r="AZ138" i="3" s="1"/>
  <c r="BL141" i="3"/>
  <c r="BL147" i="3"/>
  <c r="AZ147" i="3" s="1"/>
  <c r="BA148" i="3"/>
  <c r="AZ148" i="3" s="1"/>
  <c r="BL151" i="3"/>
  <c r="AZ151" i="3" s="1"/>
  <c r="G152" i="3"/>
  <c r="BA157" i="3"/>
  <c r="BA162" i="3"/>
  <c r="G166" i="3"/>
  <c r="G170" i="3"/>
  <c r="G171" i="3"/>
  <c r="G175" i="3"/>
  <c r="BA177" i="3"/>
  <c r="BL179" i="3"/>
  <c r="AZ179" i="3" s="1"/>
  <c r="BA180" i="3"/>
  <c r="AZ180" i="3" s="1"/>
  <c r="BL183" i="3"/>
  <c r="AZ183" i="3" s="1"/>
  <c r="G184" i="3"/>
  <c r="BA189" i="3"/>
  <c r="BA194" i="3"/>
  <c r="G198" i="3"/>
  <c r="G202" i="3"/>
  <c r="G203" i="3"/>
  <c r="G18" i="3"/>
  <c r="BA20" i="3"/>
  <c r="G22" i="3"/>
  <c r="BL22" i="3"/>
  <c r="BO5" i="3"/>
  <c r="BL29" i="3"/>
  <c r="G30" i="3"/>
  <c r="G31" i="3"/>
  <c r="BA33" i="3"/>
  <c r="G34" i="3"/>
  <c r="BL34" i="3"/>
  <c r="G38" i="3"/>
  <c r="G42" i="3"/>
  <c r="BA43" i="3"/>
  <c r="BL52" i="3"/>
  <c r="G53" i="3"/>
  <c r="BA54" i="3"/>
  <c r="G57" i="3"/>
  <c r="G58" i="3"/>
  <c r="BA59" i="3"/>
  <c r="BL64" i="3"/>
  <c r="G68" i="3"/>
  <c r="BA71" i="3"/>
  <c r="G72" i="3"/>
  <c r="BL78" i="3"/>
  <c r="G79" i="3"/>
  <c r="G84" i="3"/>
  <c r="G85" i="3"/>
  <c r="BA89" i="3"/>
  <c r="G90" i="3"/>
  <c r="BL96" i="3"/>
  <c r="BA98" i="3"/>
  <c r="BA100" i="3"/>
  <c r="G101" i="3"/>
  <c r="G106" i="3"/>
  <c r="G112" i="3"/>
  <c r="G100" i="43"/>
  <c r="I15" i="66"/>
  <c r="BL282" i="3"/>
  <c r="G283" i="3"/>
  <c r="BA287" i="3"/>
  <c r="BL289" i="3"/>
  <c r="G291" i="3"/>
  <c r="G292" i="3"/>
  <c r="BA292" i="3"/>
  <c r="AZ292" i="3" s="1"/>
  <c r="BL301" i="3"/>
  <c r="G302" i="3"/>
  <c r="G116" i="3"/>
  <c r="BA117" i="3"/>
  <c r="BL118" i="3"/>
  <c r="G126" i="3"/>
  <c r="BL129" i="3"/>
  <c r="G134" i="3"/>
  <c r="BL138" i="3"/>
  <c r="BA141" i="3"/>
  <c r="G144" i="3"/>
  <c r="BL145" i="3"/>
  <c r="BA146" i="3"/>
  <c r="AZ146" i="3" s="1"/>
  <c r="G150" i="3"/>
  <c r="G154" i="3"/>
  <c r="G155" i="3"/>
  <c r="G159" i="3"/>
  <c r="BA161" i="3"/>
  <c r="BL163" i="3"/>
  <c r="AZ163" i="3" s="1"/>
  <c r="BA164" i="3"/>
  <c r="AZ164" i="3" s="1"/>
  <c r="BL167" i="3"/>
  <c r="AZ167" i="3" s="1"/>
  <c r="G16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L59" i="3"/>
  <c r="G60" i="3"/>
  <c r="BA65" i="3"/>
  <c r="G66" i="3"/>
  <c r="BL69" i="3"/>
  <c r="G70" i="3"/>
  <c r="G77" i="3"/>
  <c r="BL80" i="3"/>
  <c r="BL81" i="3"/>
  <c r="G82" i="3"/>
  <c r="BL86" i="3"/>
  <c r="BL87" i="3"/>
  <c r="BL91" i="3"/>
  <c r="BA105" i="3"/>
  <c r="BL108" i="3"/>
  <c r="BA110" i="3"/>
  <c r="BA77" i="3"/>
  <c r="BA88" i="3"/>
  <c r="BA109" i="3"/>
  <c r="BA30" i="3"/>
  <c r="BA31" i="3"/>
  <c r="G39" i="3"/>
  <c r="BA45" i="3"/>
  <c r="AZ45" i="3" s="1"/>
  <c r="BA46" i="3"/>
  <c r="BA57" i="3"/>
  <c r="BA62" i="3"/>
  <c r="G71" i="3"/>
  <c r="BA108" i="3"/>
  <c r="G33" i="3"/>
  <c r="BA34" i="3"/>
  <c r="BA35" i="3"/>
  <c r="BA38" i="3"/>
  <c r="G44" i="3"/>
  <c r="BA44" i="3"/>
  <c r="G55" i="3"/>
  <c r="G64" i="3"/>
  <c r="BA64" i="3"/>
  <c r="BA67" i="3"/>
  <c r="BA70" i="3"/>
  <c r="BA76" i="3"/>
  <c r="BA51" i="3"/>
  <c r="BA63" i="3"/>
  <c r="G78" i="3"/>
  <c r="BS5" i="3"/>
  <c r="BL27"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W8" i="39"/>
  <c r="M11" i="43"/>
  <c r="N4" i="43"/>
  <c r="F35" i="43"/>
  <c r="I17" i="43"/>
  <c r="M6" i="43"/>
  <c r="H113" i="43"/>
  <c r="F39" i="43"/>
  <c r="N2" i="43"/>
  <c r="A15" i="62"/>
  <c r="B61" i="72" s="1"/>
  <c r="G7" i="1"/>
  <c r="G11" i="1"/>
  <c r="G10" i="1"/>
  <c r="BA25" i="3"/>
  <c r="BL21" i="3"/>
  <c r="BL18" i="3"/>
  <c r="BL25" i="3"/>
  <c r="BA23" i="3"/>
  <c r="BH5" i="3"/>
  <c r="BA21" i="3"/>
  <c r="AZ21" i="3" s="1"/>
  <c r="G25" i="3"/>
  <c r="BA24" i="3"/>
  <c r="BA19" i="3"/>
  <c r="BA17" i="3"/>
  <c r="I4" i="6"/>
  <c r="BJ5" i="3"/>
  <c r="BF5" i="3"/>
  <c r="BI5" i="3"/>
  <c r="E5" i="6" s="1"/>
  <c r="D9" i="11" s="1"/>
  <c r="C9" i="11" s="1"/>
  <c r="BE5" i="3"/>
  <c r="AC5" i="3"/>
  <c r="BA15" i="3"/>
  <c r="BD5" i="3"/>
  <c r="E11" i="6" s="1"/>
  <c r="E61" i="39" s="1"/>
  <c r="BB5" i="3"/>
  <c r="BC5" i="3"/>
  <c r="H5" i="3"/>
  <c r="F29" i="6"/>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F33" i="36"/>
  <c r="AA33" i="36" s="1"/>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AZ230" i="3"/>
  <c r="J12" i="21"/>
  <c r="AC12" i="21" s="1"/>
  <c r="H23" i="35"/>
  <c r="H24" i="36"/>
  <c r="AB24" i="36" s="1"/>
  <c r="G582" i="3"/>
  <c r="G552" i="3"/>
  <c r="BA551" i="3"/>
  <c r="G551" i="3"/>
  <c r="BL548" i="3"/>
  <c r="AZ548" i="3" s="1"/>
  <c r="G526" i="3"/>
  <c r="BL15" i="3"/>
  <c r="AZ15" i="3" s="1"/>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AZ433" i="3" s="1"/>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228" i="3"/>
  <c r="BA234" i="3"/>
  <c r="BL237" i="3"/>
  <c r="AZ239" i="3"/>
  <c r="BL249" i="3"/>
  <c r="AZ260" i="3"/>
  <c r="G271" i="3"/>
  <c r="BL276" i="3"/>
  <c r="BA284" i="3"/>
  <c r="AZ284" i="3" s="1"/>
  <c r="BL586" i="3"/>
  <c r="BL585" i="3"/>
  <c r="AZ585" i="3" s="1"/>
  <c r="BA400" i="3"/>
  <c r="AZ400" i="3" s="1"/>
  <c r="BL402" i="3"/>
  <c r="AZ402" i="3" s="1"/>
  <c r="BL408" i="3"/>
  <c r="AZ408" i="3" s="1"/>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54" i="3"/>
  <c r="AZ354" i="3" s="1"/>
  <c r="BA367" i="3"/>
  <c r="BA384" i="3"/>
  <c r="AZ384" i="3" s="1"/>
  <c r="BL212" i="3"/>
  <c r="BA215" i="3"/>
  <c r="AZ215" i="3" s="1"/>
  <c r="BL236" i="3"/>
  <c r="BA243" i="3"/>
  <c r="AZ243" i="3" s="1"/>
  <c r="BL248" i="3"/>
  <c r="BL269" i="3"/>
  <c r="F26" i="33"/>
  <c r="W9" i="34"/>
  <c r="G566" i="3"/>
  <c r="BL550" i="3"/>
  <c r="BA550" i="3"/>
  <c r="AZ550" i="3" s="1"/>
  <c r="G14" i="3"/>
  <c r="BL403" i="3"/>
  <c r="AZ403" i="3" s="1"/>
  <c r="BA407" i="3"/>
  <c r="AZ407" i="3" s="1"/>
  <c r="G410" i="3"/>
  <c r="G411" i="3"/>
  <c r="G412" i="3"/>
  <c r="BL412" i="3"/>
  <c r="BL419" i="3"/>
  <c r="AZ419" i="3" s="1"/>
  <c r="BA423" i="3"/>
  <c r="AZ423" i="3" s="1"/>
  <c r="BA424" i="3"/>
  <c r="AZ424" i="3" s="1"/>
  <c r="G427" i="3"/>
  <c r="G428" i="3"/>
  <c r="BL428" i="3"/>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A492" i="3"/>
  <c r="AZ492" i="3" s="1"/>
  <c r="BL316" i="3"/>
  <c r="AZ316" i="3" s="1"/>
  <c r="G318" i="3"/>
  <c r="BL332" i="3"/>
  <c r="AZ332" i="3" s="1"/>
  <c r="G334" i="3"/>
  <c r="BL346" i="3"/>
  <c r="AZ346" i="3" s="1"/>
  <c r="G349" i="3"/>
  <c r="BA350" i="3"/>
  <c r="AZ350" i="3" s="1"/>
  <c r="BA366" i="3"/>
  <c r="AZ366" i="3" s="1"/>
  <c r="BL368" i="3"/>
  <c r="G219" i="3"/>
  <c r="BA258" i="3"/>
  <c r="AZ262" i="3"/>
  <c r="BA266" i="3"/>
  <c r="AZ294" i="3"/>
  <c r="AZ38" i="3"/>
  <c r="G366" i="3"/>
  <c r="BA368" i="3"/>
  <c r="BA385" i="3"/>
  <c r="AZ385" i="3" s="1"/>
  <c r="BA388" i="3"/>
  <c r="AZ388" i="3" s="1"/>
  <c r="BA392" i="3"/>
  <c r="AZ392" i="3" s="1"/>
  <c r="G395" i="3"/>
  <c r="BL395" i="3"/>
  <c r="AZ395" i="3" s="1"/>
  <c r="G211" i="3"/>
  <c r="BL211" i="3"/>
  <c r="AZ211" i="3" s="1"/>
  <c r="G217" i="3"/>
  <c r="BL217" i="3"/>
  <c r="AZ217" i="3" s="1"/>
  <c r="BA221" i="3"/>
  <c r="AZ221" i="3" s="1"/>
  <c r="BA222" i="3"/>
  <c r="AZ222" i="3" s="1"/>
  <c r="BA223" i="3"/>
  <c r="AZ223" i="3" s="1"/>
  <c r="G226" i="3"/>
  <c r="BL226" i="3"/>
  <c r="AZ226" i="3" s="1"/>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AZ280" i="3" s="1"/>
  <c r="BA282" i="3"/>
  <c r="AZ282" i="3" s="1"/>
  <c r="BA283" i="3"/>
  <c r="AZ283" i="3" s="1"/>
  <c r="G288" i="3"/>
  <c r="BL288" i="3"/>
  <c r="AZ288" i="3" s="1"/>
  <c r="BL295" i="3"/>
  <c r="G296" i="3"/>
  <c r="BA299" i="3"/>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G278" i="3"/>
  <c r="BA279" i="3"/>
  <c r="AZ279" i="3" s="1"/>
  <c r="BA286" i="3"/>
  <c r="G290" i="3"/>
  <c r="BL290" i="3"/>
  <c r="AZ290" i="3" s="1"/>
  <c r="BL291" i="3"/>
  <c r="AZ291" i="3" s="1"/>
  <c r="BL294" i="3"/>
  <c r="BA296" i="3"/>
  <c r="AZ296" i="3" s="1"/>
  <c r="BA298" i="3"/>
  <c r="AZ298" i="3" s="1"/>
  <c r="BL123" i="3"/>
  <c r="AZ123" i="3" s="1"/>
  <c r="G362" i="3"/>
  <c r="G378" i="3"/>
  <c r="BL383" i="3"/>
  <c r="AZ383" i="3" s="1"/>
  <c r="G208" i="3"/>
  <c r="BL208" i="3"/>
  <c r="AZ208" i="3" s="1"/>
  <c r="BA212" i="3"/>
  <c r="AZ212" i="3" s="1"/>
  <c r="BL214" i="3"/>
  <c r="AZ214" i="3" s="1"/>
  <c r="G220" i="3"/>
  <c r="BL220" i="3"/>
  <c r="AZ220" i="3" s="1"/>
  <c r="G229" i="3"/>
  <c r="G230" i="3"/>
  <c r="BL230" i="3"/>
  <c r="BA236" i="3"/>
  <c r="AZ236" i="3" s="1"/>
  <c r="BA237" i="3"/>
  <c r="AZ237" i="3" s="1"/>
  <c r="G240" i="3"/>
  <c r="G241" i="3"/>
  <c r="G242" i="3"/>
  <c r="BL242" i="3"/>
  <c r="AZ242" i="3" s="1"/>
  <c r="BA247" i="3"/>
  <c r="AZ247" i="3" s="1"/>
  <c r="BA248" i="3"/>
  <c r="BA249" i="3"/>
  <c r="AZ249" i="3" s="1"/>
  <c r="BL251" i="3"/>
  <c r="AZ251" i="3" s="1"/>
  <c r="G261" i="3"/>
  <c r="G262" i="3"/>
  <c r="BL262" i="3"/>
  <c r="BA267" i="3"/>
  <c r="AZ267" i="3" s="1"/>
  <c r="BA268" i="3"/>
  <c r="AZ268" i="3" s="1"/>
  <c r="BA269" i="3"/>
  <c r="AZ269" i="3" s="1"/>
  <c r="BL271" i="3"/>
  <c r="AZ271" i="3" s="1"/>
  <c r="BA276" i="3"/>
  <c r="AZ276" i="3" s="1"/>
  <c r="BA278" i="3"/>
  <c r="BL280" i="3"/>
  <c r="G281" i="3"/>
  <c r="BL281" i="3"/>
  <c r="AZ289" i="3"/>
  <c r="G294" i="3"/>
  <c r="BA295" i="3"/>
  <c r="AZ295" i="3" s="1"/>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BL162" i="3"/>
  <c r="AZ162" i="3" s="1"/>
  <c r="BL165" i="3"/>
  <c r="BL178" i="3"/>
  <c r="AZ178" i="3" s="1"/>
  <c r="BL181" i="3"/>
  <c r="BL194" i="3"/>
  <c r="AZ194" i="3" s="1"/>
  <c r="BL197" i="3"/>
  <c r="BA205" i="3"/>
  <c r="AZ205" i="3" s="1"/>
  <c r="BA206" i="3"/>
  <c r="AZ206" i="3" s="1"/>
  <c r="BL19" i="3"/>
  <c r="AZ19" i="3" s="1"/>
  <c r="BA22" i="3"/>
  <c r="AZ22" i="3" s="1"/>
  <c r="BL24" i="3"/>
  <c r="AZ24" i="3" s="1"/>
  <c r="BL32" i="3"/>
  <c r="AZ32" i="3" s="1"/>
  <c r="BL37" i="3"/>
  <c r="AZ37" i="3" s="1"/>
  <c r="BL38" i="3"/>
  <c r="AZ44" i="3"/>
  <c r="BA47" i="3"/>
  <c r="AZ47" i="3" s="1"/>
  <c r="BA48" i="3"/>
  <c r="AZ48" i="3" s="1"/>
  <c r="BA50" i="3"/>
  <c r="AZ50" i="3" s="1"/>
  <c r="BL54" i="3"/>
  <c r="AZ54" i="3" s="1"/>
  <c r="BL56" i="3"/>
  <c r="BL82" i="3"/>
  <c r="G89" i="3"/>
  <c r="BA91" i="3"/>
  <c r="AZ91" i="3" s="1"/>
  <c r="BA95" i="3"/>
  <c r="BL97" i="3"/>
  <c r="AZ99" i="3"/>
  <c r="BL103" i="3"/>
  <c r="BA107" i="3"/>
  <c r="BL109" i="3"/>
  <c r="AZ109" i="3" s="1"/>
  <c r="AZ126" i="3"/>
  <c r="BA129" i="3"/>
  <c r="AZ129" i="3" s="1"/>
  <c r="BA130" i="3"/>
  <c r="AZ130" i="3" s="1"/>
  <c r="G135" i="3"/>
  <c r="G138" i="3"/>
  <c r="G139" i="3"/>
  <c r="G142" i="3"/>
  <c r="G143" i="3"/>
  <c r="G146" i="3"/>
  <c r="G147" i="3"/>
  <c r="G148" i="3"/>
  <c r="BL150" i="3"/>
  <c r="AZ150" i="3" s="1"/>
  <c r="BL153" i="3"/>
  <c r="AZ153" i="3" s="1"/>
  <c r="BA160" i="3"/>
  <c r="AZ160" i="3" s="1"/>
  <c r="G164" i="3"/>
  <c r="BL166" i="3"/>
  <c r="AZ166" i="3" s="1"/>
  <c r="BL169" i="3"/>
  <c r="AZ169" i="3" s="1"/>
  <c r="BA176" i="3"/>
  <c r="AZ176" i="3" s="1"/>
  <c r="G180" i="3"/>
  <c r="BL182" i="3"/>
  <c r="AZ182" i="3" s="1"/>
  <c r="BL185" i="3"/>
  <c r="AZ185" i="3" s="1"/>
  <c r="BA192" i="3"/>
  <c r="AZ192" i="3" s="1"/>
  <c r="G196" i="3"/>
  <c r="BL198" i="3"/>
  <c r="AZ198" i="3" s="1"/>
  <c r="BL201" i="3"/>
  <c r="AZ201" i="3" s="1"/>
  <c r="BA18" i="3"/>
  <c r="AZ18" i="3" s="1"/>
  <c r="BL20" i="3"/>
  <c r="AZ20" i="3" s="1"/>
  <c r="G26" i="3"/>
  <c r="BL26" i="3"/>
  <c r="BL33" i="3"/>
  <c r="AZ33" i="3" s="1"/>
  <c r="G37" i="3"/>
  <c r="BL39" i="3"/>
  <c r="AZ39" i="3" s="1"/>
  <c r="BL41" i="3"/>
  <c r="AZ104" i="3"/>
  <c r="BL117" i="3"/>
  <c r="AZ117" i="3" s="1"/>
  <c r="BL119" i="3"/>
  <c r="AZ119" i="3" s="1"/>
  <c r="AZ134" i="3"/>
  <c r="AZ137" i="3"/>
  <c r="AZ141" i="3"/>
  <c r="AZ145" i="3"/>
  <c r="BL154" i="3"/>
  <c r="AZ154" i="3" s="1"/>
  <c r="BL157" i="3"/>
  <c r="AZ157" i="3" s="1"/>
  <c r="BL170" i="3"/>
  <c r="AZ170" i="3" s="1"/>
  <c r="BL173" i="3"/>
  <c r="AZ173" i="3" s="1"/>
  <c r="BL186" i="3"/>
  <c r="AZ186" i="3" s="1"/>
  <c r="BL189" i="3"/>
  <c r="AZ189" i="3" s="1"/>
  <c r="BL202" i="3"/>
  <c r="AZ202" i="3" s="1"/>
  <c r="AZ25" i="3"/>
  <c r="BL30" i="3"/>
  <c r="AZ30" i="3" s="1"/>
  <c r="BL43" i="3"/>
  <c r="AZ43"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BA41" i="3"/>
  <c r="AZ41" i="3" s="1"/>
  <c r="BL57" i="3"/>
  <c r="AZ57" i="3" s="1"/>
  <c r="AZ64" i="3"/>
  <c r="BL68" i="3"/>
  <c r="BA80" i="3"/>
  <c r="BL83" i="3"/>
  <c r="BA86" i="3"/>
  <c r="AZ86" i="3" s="1"/>
  <c r="G99" i="3"/>
  <c r="BA101" i="3"/>
  <c r="AZ101" i="3" s="1"/>
  <c r="BA102" i="3"/>
  <c r="G105" i="3"/>
  <c r="AZ108" i="3"/>
  <c r="BL110" i="3"/>
  <c r="AZ110" i="3" s="1"/>
  <c r="BA60" i="3"/>
  <c r="AZ60" i="3" s="1"/>
  <c r="BA61" i="3"/>
  <c r="AZ61" i="3" s="1"/>
  <c r="BL63" i="3"/>
  <c r="AZ63" i="3" s="1"/>
  <c r="BL70" i="3"/>
  <c r="AZ70" i="3" s="1"/>
  <c r="BA73" i="3"/>
  <c r="AZ73" i="3" s="1"/>
  <c r="BA74" i="3"/>
  <c r="AZ74" i="3" s="1"/>
  <c r="BA75" i="3"/>
  <c r="AZ75" i="3" s="1"/>
  <c r="BL77" i="3"/>
  <c r="AZ77" i="3" s="1"/>
  <c r="BL84" i="3"/>
  <c r="G88" i="3"/>
  <c r="BL88" i="3"/>
  <c r="BA92" i="3"/>
  <c r="AZ92" i="3" s="1"/>
  <c r="BA93" i="3"/>
  <c r="AZ93" i="3" s="1"/>
  <c r="BA94" i="3"/>
  <c r="AZ94" i="3" s="1"/>
  <c r="G97" i="3"/>
  <c r="G98" i="3"/>
  <c r="BL98" i="3"/>
  <c r="AZ98" i="3" s="1"/>
  <c r="G104" i="3"/>
  <c r="BL104" i="3"/>
  <c r="BA106" i="3"/>
  <c r="AZ106" i="3" s="1"/>
  <c r="BA112" i="3"/>
  <c r="AZ112" i="3" s="1"/>
  <c r="G45" i="3"/>
  <c r="G46" i="3"/>
  <c r="BL46" i="3"/>
  <c r="AZ46" i="3" s="1"/>
  <c r="BL51" i="3"/>
  <c r="AZ51" i="3" s="1"/>
  <c r="BA56" i="3"/>
  <c r="AZ56" i="3" s="1"/>
  <c r="BL58" i="3"/>
  <c r="AZ58" i="3" s="1"/>
  <c r="G65" i="3"/>
  <c r="BL65" i="3"/>
  <c r="AZ65" i="3" s="1"/>
  <c r="BA68" i="3"/>
  <c r="AZ68" i="3" s="1"/>
  <c r="BA69" i="3"/>
  <c r="AZ69" i="3" s="1"/>
  <c r="BL71" i="3"/>
  <c r="AZ71" i="3" s="1"/>
  <c r="BA81" i="3"/>
  <c r="AZ81" i="3" s="1"/>
  <c r="BA82" i="3"/>
  <c r="BA83" i="3"/>
  <c r="AZ83" i="3" s="1"/>
  <c r="BL85" i="3"/>
  <c r="AZ85" i="3" s="1"/>
  <c r="BA87" i="3"/>
  <c r="AZ87" i="3" s="1"/>
  <c r="BL89" i="3"/>
  <c r="AZ89" i="3" s="1"/>
  <c r="BA96" i="3"/>
  <c r="AZ96" i="3" s="1"/>
  <c r="BA97" i="3"/>
  <c r="G100" i="3"/>
  <c r="BL100" i="3"/>
  <c r="AZ100" i="3" s="1"/>
  <c r="BA103" i="3"/>
  <c r="BL105" i="3"/>
  <c r="AZ105" i="3" s="1"/>
  <c r="G109" i="3"/>
  <c r="G110" i="3"/>
  <c r="G111" i="3"/>
  <c r="BL111" i="3"/>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BL102" i="3"/>
  <c r="G107" i="3"/>
  <c r="BL107" i="3"/>
  <c r="AZ107" i="3" s="1"/>
  <c r="L100" i="43"/>
  <c r="D93" i="9"/>
  <c r="K6" i="1"/>
  <c r="G29" i="6"/>
  <c r="AC26" i="33"/>
  <c r="W26" i="33"/>
  <c r="W27" i="34"/>
  <c r="AC27" i="34"/>
  <c r="AB34" i="36"/>
  <c r="U34" i="36"/>
  <c r="AB33" i="36"/>
  <c r="U33" i="36"/>
  <c r="AC12" i="39"/>
  <c r="W12" i="39"/>
  <c r="AC39" i="40"/>
  <c r="W39" i="40"/>
  <c r="AZ401" i="3"/>
  <c r="AZ412" i="3"/>
  <c r="AZ417" i="3"/>
  <c r="AZ428" i="3"/>
  <c r="AZ465" i="3"/>
  <c r="AZ586" i="3"/>
  <c r="W12" i="33"/>
  <c r="AC12" i="33"/>
  <c r="AA32" i="36"/>
  <c r="S32" i="36"/>
  <c r="AZ551" i="3"/>
  <c r="AZ437" i="3"/>
  <c r="AZ441" i="3"/>
  <c r="AZ457" i="3"/>
  <c r="AZ473" i="3"/>
  <c r="AZ490" i="3"/>
  <c r="AA39" i="34"/>
  <c r="F28" i="6"/>
  <c r="BL14" i="3"/>
  <c r="AZ266" i="3"/>
  <c r="U30" i="33"/>
  <c r="AC13" i="34"/>
  <c r="AA47" i="34"/>
  <c r="W28" i="37"/>
  <c r="S19" i="39"/>
  <c r="F12" i="33"/>
  <c r="H12" i="39"/>
  <c r="AB12" i="39" s="1"/>
  <c r="F39" i="40"/>
  <c r="BA14" i="3"/>
  <c r="AZ367" i="3"/>
  <c r="AZ224" i="3"/>
  <c r="AZ234" i="3"/>
  <c r="AZ238" i="3"/>
  <c r="AZ254" i="3"/>
  <c r="AZ281" i="3"/>
  <c r="AZ286" i="3"/>
  <c r="AZ297" i="3"/>
  <c r="AZ149" i="3"/>
  <c r="AZ165" i="3"/>
  <c r="AZ181" i="3"/>
  <c r="AZ197" i="3"/>
  <c r="AZ26" i="3"/>
  <c r="AZ35" i="3"/>
  <c r="S12" i="1"/>
  <c r="T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BL17" i="3"/>
  <c r="AZ17" i="3" s="1"/>
  <c r="BL13" i="3"/>
  <c r="G30" i="6"/>
  <c r="G31" i="6" s="1"/>
  <c r="J56" i="9"/>
  <c r="J57" i="9" s="1"/>
  <c r="A24" i="51"/>
  <c r="B18" i="72" s="1"/>
  <c r="U29" i="34"/>
  <c r="P10" i="1"/>
  <c r="E32" i="6"/>
  <c r="L19" i="6" s="1"/>
  <c r="G1" i="68"/>
  <c r="K1" i="12"/>
  <c r="E28"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H55" i="43"/>
  <c r="H51" i="43"/>
  <c r="H56" i="43"/>
  <c r="H76" i="43"/>
  <c r="H72" i="43"/>
  <c r="H77" i="43"/>
  <c r="L20" i="6"/>
  <c r="B6" i="1"/>
  <c r="E6" i="1" s="1"/>
  <c r="S8" i="1"/>
  <c r="K11" i="1"/>
  <c r="M11" i="1" s="1"/>
  <c r="O11" i="1" s="1"/>
  <c r="P11" i="1" s="1"/>
  <c r="AP6" i="1"/>
  <c r="B9" i="1"/>
  <c r="E9" i="1" s="1"/>
  <c r="K7" i="1"/>
  <c r="AN1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15"/>
  <c r="M8" i="15"/>
  <c r="L48" i="67"/>
  <c r="M24" i="67"/>
  <c r="F36" i="67"/>
  <c r="F43" i="67"/>
  <c r="M29" i="67"/>
  <c r="F40" i="67"/>
  <c r="M6" i="15"/>
  <c r="M23" i="67"/>
  <c r="F6" i="67"/>
  <c r="C76" i="67"/>
  <c r="F13" i="67"/>
  <c r="J15" i="67"/>
  <c r="M24" i="15"/>
  <c r="M8" i="67"/>
  <c r="M26" i="67"/>
  <c r="F36" i="15"/>
  <c r="F42" i="15"/>
  <c r="M9" i="15"/>
  <c r="M22" i="67"/>
  <c r="M28" i="67"/>
  <c r="L48" i="15"/>
  <c r="F8" i="15"/>
  <c r="F7" i="67"/>
  <c r="L47" i="15"/>
  <c r="J15" i="15"/>
  <c r="F42" i="67"/>
  <c r="F38" i="67"/>
  <c r="M6" i="67"/>
  <c r="M26" i="15"/>
  <c r="F9" i="67"/>
  <c r="F7" i="15"/>
  <c r="F37" i="67"/>
  <c r="F43" i="15"/>
  <c r="F9" i="15"/>
  <c r="M28" i="15"/>
  <c r="M9" i="67"/>
  <c r="F8" i="67"/>
  <c r="F13" i="15"/>
  <c r="F26" i="67"/>
  <c r="F16" i="67"/>
  <c r="F6" i="15"/>
  <c r="F40" i="15"/>
  <c r="L47" i="67"/>
  <c r="G1" i="73"/>
  <c r="AC15" i="21" l="1"/>
  <c r="C58" i="21"/>
  <c r="D58" i="21" s="1"/>
  <c r="I7" i="21"/>
  <c r="G7" i="21"/>
  <c r="E7" i="21"/>
  <c r="F53" i="9"/>
  <c r="F48" i="9"/>
  <c r="O52" i="9" s="1"/>
  <c r="AZ82" i="3"/>
  <c r="AB39" i="37"/>
  <c r="U39" i="37"/>
  <c r="U12" i="33"/>
  <c r="AB12" i="33"/>
  <c r="AZ503" i="3"/>
  <c r="AZ34" i="3"/>
  <c r="AZ59" i="3"/>
  <c r="AZ399" i="3"/>
  <c r="AC40" i="37"/>
  <c r="W40" i="37"/>
  <c r="AB26" i="37"/>
  <c r="U26" i="37"/>
  <c r="AC36" i="39"/>
  <c r="W36" i="39"/>
  <c r="W40" i="40"/>
  <c r="AC40" i="40"/>
  <c r="AA29" i="21"/>
  <c r="AZ103" i="3"/>
  <c r="AZ299" i="3"/>
  <c r="AZ36" i="3"/>
  <c r="AZ274" i="3"/>
  <c r="AZ317" i="3"/>
  <c r="AZ228" i="3"/>
  <c r="AZ573" i="3"/>
  <c r="S36" i="39"/>
  <c r="AA36" i="39"/>
  <c r="W43" i="39"/>
  <c r="AC43" i="39"/>
  <c r="AZ559" i="3"/>
  <c r="AZ504" i="3"/>
  <c r="AA40" i="40"/>
  <c r="S40" i="40"/>
  <c r="F30" i="6"/>
  <c r="E29" i="6"/>
  <c r="E10" i="6"/>
  <c r="G3" i="43"/>
  <c r="AH11" i="43" s="1"/>
  <c r="AH13" i="43" s="1"/>
  <c r="U35" i="21"/>
  <c r="W17" i="21"/>
  <c r="F32" i="39"/>
  <c r="AA32" i="39" s="1"/>
  <c r="U12" i="39"/>
  <c r="F59" i="43"/>
  <c r="C4" i="4"/>
  <c r="B4" i="62" s="1"/>
  <c r="B71" i="72" s="1"/>
  <c r="E4" i="4"/>
  <c r="B5" i="62" s="1"/>
  <c r="B73" i="72" s="1"/>
  <c r="E14" i="6"/>
  <c r="E64" i="39" s="1"/>
  <c r="E8" i="6"/>
  <c r="F27" i="6" s="1"/>
  <c r="F31" i="6" s="1"/>
  <c r="AQ12" i="1"/>
  <c r="AR12" i="1"/>
  <c r="AE11" i="43"/>
  <c r="AE13" i="43" s="1"/>
  <c r="E15" i="6"/>
  <c r="E12" i="6"/>
  <c r="AR10" i="1"/>
  <c r="E13" i="6"/>
  <c r="E58" i="40" s="1"/>
  <c r="AZ14" i="3"/>
  <c r="BA5" i="3"/>
  <c r="E59" i="43"/>
  <c r="B57" i="43" s="1"/>
  <c r="C24" i="43" s="1"/>
  <c r="T10" i="1"/>
  <c r="E56" i="40"/>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F64" i="15"/>
  <c r="F51" i="15"/>
  <c r="F65" i="15"/>
  <c r="J57" i="15"/>
  <c r="J55" i="15" s="1"/>
  <c r="J58" i="15" s="1"/>
  <c r="Q50" i="15" s="1"/>
  <c r="F68" i="15"/>
  <c r="M7" i="15"/>
  <c r="F50"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M29" i="15"/>
  <c r="C16" i="67"/>
  <c r="M22" i="15"/>
  <c r="C76" i="15"/>
  <c r="F38" i="15"/>
  <c r="M23" i="15"/>
  <c r="F16" i="15"/>
  <c r="F26" i="15"/>
  <c r="C101" i="43" l="1"/>
  <c r="C104" i="43" s="1"/>
  <c r="AF11" i="43"/>
  <c r="AF13" i="43" s="1"/>
  <c r="AD11" i="43"/>
  <c r="AD13" i="43" s="1"/>
  <c r="J101" i="43"/>
  <c r="J109" i="43" s="1"/>
  <c r="Y11" i="43"/>
  <c r="Y13" i="43" s="1"/>
  <c r="B113" i="43"/>
  <c r="D116" i="43" s="1"/>
  <c r="E116" i="43" s="1"/>
  <c r="F116" i="43" s="1"/>
  <c r="G116" i="43" s="1"/>
  <c r="H116" i="43" s="1"/>
  <c r="E22" i="43"/>
  <c r="Z7" i="43"/>
  <c r="AI11" i="43"/>
  <c r="AI13" i="43" s="1"/>
  <c r="D101" i="43"/>
  <c r="E59" i="40"/>
  <c r="G101" i="43"/>
  <c r="G106" i="43" s="1"/>
  <c r="N104" i="46"/>
  <c r="AC11" i="43"/>
  <c r="AC13" i="43" s="1"/>
  <c r="H101" i="43"/>
  <c r="AG11" i="43"/>
  <c r="AG13" i="43" s="1"/>
  <c r="N101" i="43"/>
  <c r="N103" i="43" s="1"/>
  <c r="K101" i="43"/>
  <c r="K103" i="43" s="1"/>
  <c r="H22" i="43"/>
  <c r="I101" i="43"/>
  <c r="I109" i="43" s="1"/>
  <c r="AB11" i="43"/>
  <c r="AB13" i="43" s="1"/>
  <c r="E101" i="43"/>
  <c r="E104" i="43" s="1"/>
  <c r="F101" i="43"/>
  <c r="F106" i="43" s="1"/>
  <c r="M101" i="43"/>
  <c r="M103" i="43" s="1"/>
  <c r="L101" i="43"/>
  <c r="L105" i="43" s="1"/>
  <c r="AA11" i="43"/>
  <c r="AA13" i="43" s="1"/>
  <c r="Z11" i="43"/>
  <c r="Z13" i="43" s="1"/>
  <c r="AJ11" i="43"/>
  <c r="AJ13" i="43" s="1"/>
  <c r="C27" i="15"/>
  <c r="Q71" i="15"/>
  <c r="F66" i="15"/>
  <c r="J106" i="43"/>
  <c r="H11" i="21"/>
  <c r="J11" i="21"/>
  <c r="F11" i="21"/>
  <c r="F11" i="39"/>
  <c r="H11" i="39"/>
  <c r="J11" i="39"/>
  <c r="F22" i="43"/>
  <c r="G22" i="43"/>
  <c r="K4" i="4"/>
  <c r="B46" i="48" s="1"/>
  <c r="B4" i="72" s="1"/>
  <c r="C109" i="43"/>
  <c r="H66" i="43"/>
  <c r="H64" i="43"/>
  <c r="H61" i="43"/>
  <c r="H59" i="43"/>
  <c r="H65" i="43"/>
  <c r="H63" i="43"/>
  <c r="H62" i="43"/>
  <c r="H60" i="43"/>
  <c r="H67" i="43"/>
  <c r="E103" i="43"/>
  <c r="E102" i="43"/>
  <c r="E109" i="43"/>
  <c r="M104" i="43"/>
  <c r="E106" i="43"/>
  <c r="E56" i="39"/>
  <c r="E107" i="43"/>
  <c r="E51" i="40"/>
  <c r="E105" i="43"/>
  <c r="H104" i="43"/>
  <c r="B118" i="43"/>
  <c r="C118" i="43" s="1"/>
  <c r="D104" i="43"/>
  <c r="H109" i="43"/>
  <c r="H106" i="43"/>
  <c r="D102" i="43"/>
  <c r="D105" i="43"/>
  <c r="H103" i="43"/>
  <c r="D107" i="43"/>
  <c r="D103" i="43"/>
  <c r="H105" i="43"/>
  <c r="M106" i="43"/>
  <c r="I118" i="43"/>
  <c r="J118" i="43" s="1"/>
  <c r="K118" i="43" s="1"/>
  <c r="L118" i="43" s="1"/>
  <c r="M118" i="43" s="1"/>
  <c r="D115" i="43"/>
  <c r="E115" i="43" s="1"/>
  <c r="F115" i="43" s="1"/>
  <c r="G115" i="43" s="1"/>
  <c r="H115" i="43" s="1"/>
  <c r="I115" i="43"/>
  <c r="J115" i="43" s="1"/>
  <c r="K115" i="43" s="1"/>
  <c r="L115" i="43" s="1"/>
  <c r="M115" i="43" s="1"/>
  <c r="B116" i="43"/>
  <c r="C116" i="43" s="1"/>
  <c r="D117" i="43"/>
  <c r="E117" i="43" s="1"/>
  <c r="F117" i="43" s="1"/>
  <c r="G117" i="43" s="1"/>
  <c r="H117" i="43" s="1"/>
  <c r="G118" i="43"/>
  <c r="H118" i="43" s="1"/>
  <c r="I116" i="43"/>
  <c r="J116" i="43" s="1"/>
  <c r="K116" i="43" s="1"/>
  <c r="L116" i="43" s="1"/>
  <c r="M116" i="43" s="1"/>
  <c r="K105" i="43"/>
  <c r="C103" i="43"/>
  <c r="C105" i="43"/>
  <c r="C106" i="43"/>
  <c r="C102" i="43"/>
  <c r="K104" i="43"/>
  <c r="K109" i="43"/>
  <c r="K106" i="43"/>
  <c r="K107" i="43"/>
  <c r="G109" i="43"/>
  <c r="C107" i="43"/>
  <c r="B115" i="43"/>
  <c r="C115" i="43" s="1"/>
  <c r="D118" i="43"/>
  <c r="E118" i="43" s="1"/>
  <c r="F118" i="43" s="1"/>
  <c r="I117" i="43"/>
  <c r="J117" i="43" s="1"/>
  <c r="K117" i="43" s="1"/>
  <c r="L117" i="43" s="1"/>
  <c r="M117" i="43" s="1"/>
  <c r="J107" i="43"/>
  <c r="E16" i="6"/>
  <c r="E63" i="39"/>
  <c r="E57" i="40"/>
  <c r="E62" i="39"/>
  <c r="E60" i="40"/>
  <c r="E65" i="39"/>
  <c r="E27" i="6"/>
  <c r="E31" i="6" s="1"/>
  <c r="S5" i="43"/>
  <c r="T5" i="43" s="1"/>
  <c r="V5" i="43" s="1"/>
  <c r="S7" i="43"/>
  <c r="T7" i="43" s="1"/>
  <c r="V7" i="43" s="1"/>
  <c r="S6" i="43"/>
  <c r="T6" i="43" s="1"/>
  <c r="V6" i="43" s="1"/>
  <c r="C23" i="43"/>
  <c r="S3" i="43"/>
  <c r="T3" i="43" s="1"/>
  <c r="V3" i="43" s="1"/>
  <c r="S4" i="43"/>
  <c r="T4" i="43" s="1"/>
  <c r="V4" i="43" s="1"/>
  <c r="S2" i="43"/>
  <c r="T2" i="43" s="1"/>
  <c r="V2" i="43" s="1"/>
  <c r="AY6" i="3"/>
  <c r="AY160" i="3" s="1"/>
  <c r="E3" i="6"/>
  <c r="D37" i="11" s="1"/>
  <c r="C30" i="69"/>
  <c r="C48" i="68"/>
  <c r="K16" i="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16" i="15"/>
  <c r="F105" i="43" l="1"/>
  <c r="I105" i="43"/>
  <c r="I107" i="43"/>
  <c r="J104" i="43"/>
  <c r="G103" i="43"/>
  <c r="I102" i="43"/>
  <c r="I106" i="43"/>
  <c r="M102" i="43"/>
  <c r="J105" i="43"/>
  <c r="J103" i="43"/>
  <c r="G102" i="43"/>
  <c r="G107" i="43"/>
  <c r="I103" i="43"/>
  <c r="G105" i="43"/>
  <c r="G104" i="43"/>
  <c r="I104" i="43"/>
  <c r="J102" i="43"/>
  <c r="K102" i="43"/>
  <c r="N104" i="43"/>
  <c r="N102" i="43"/>
  <c r="F104" i="43"/>
  <c r="L106" i="43"/>
  <c r="L104" i="43"/>
  <c r="N106" i="43"/>
  <c r="L107" i="43"/>
  <c r="L103" i="43"/>
  <c r="N109" i="43"/>
  <c r="F107" i="43"/>
  <c r="F102" i="43"/>
  <c r="N107" i="43"/>
  <c r="F103" i="43"/>
  <c r="N105" i="43"/>
  <c r="B117" i="43"/>
  <c r="C117" i="43" s="1"/>
  <c r="H107" i="43"/>
  <c r="H102" i="43"/>
  <c r="F109" i="43"/>
  <c r="D109" i="43"/>
  <c r="D106" i="43"/>
  <c r="L109" i="43"/>
  <c r="L102" i="43"/>
  <c r="M109" i="43"/>
  <c r="M107" i="43"/>
  <c r="M105" i="43"/>
  <c r="D22" i="43"/>
  <c r="C21" i="43" s="1"/>
  <c r="C29" i="43" s="1"/>
  <c r="C30" i="43" s="1"/>
  <c r="E30" i="43" s="1"/>
  <c r="W11" i="39"/>
  <c r="AC11" i="39"/>
  <c r="S11" i="21"/>
  <c r="AA11" i="21"/>
  <c r="AB11" i="39"/>
  <c r="U11" i="39"/>
  <c r="W11" i="21"/>
  <c r="AC11" i="21"/>
  <c r="AA11" i="39"/>
  <c r="S11" i="39"/>
  <c r="U11" i="21"/>
  <c r="AB11" i="21"/>
  <c r="D113" i="43"/>
  <c r="J22" i="43" s="1"/>
  <c r="AY459" i="3"/>
  <c r="AY531" i="3"/>
  <c r="E66" i="39"/>
  <c r="AY35" i="3"/>
  <c r="AY521" i="3"/>
  <c r="AY86" i="3"/>
  <c r="AY80" i="3"/>
  <c r="AY405" i="3"/>
  <c r="AY353" i="3"/>
  <c r="AY213" i="3"/>
  <c r="AY331" i="3"/>
  <c r="AY17" i="3"/>
  <c r="AY134" i="3"/>
  <c r="BT6" i="3"/>
  <c r="AY159" i="3"/>
  <c r="AY280" i="3"/>
  <c r="AY487" i="3"/>
  <c r="AY390" i="3"/>
  <c r="AY429" i="3"/>
  <c r="AY195" i="3"/>
  <c r="AY440" i="3"/>
  <c r="AY120" i="3"/>
  <c r="AY530" i="3"/>
  <c r="AY161" i="3"/>
  <c r="AY566" i="3"/>
  <c r="AY400" i="3"/>
  <c r="AY323" i="3"/>
  <c r="AY273" i="3"/>
  <c r="AY27" i="3"/>
  <c r="AY512" i="3"/>
  <c r="AY466" i="3"/>
  <c r="AY221" i="3"/>
  <c r="AY167" i="3"/>
  <c r="AY94" i="3"/>
  <c r="AY509" i="3"/>
  <c r="AY410" i="3"/>
  <c r="AY218" i="3"/>
  <c r="AY580" i="3"/>
  <c r="BI6" i="3"/>
  <c r="AY97" i="3"/>
  <c r="AY284" i="3"/>
  <c r="AY511" i="3"/>
  <c r="AY322" i="3"/>
  <c r="AY576" i="3"/>
  <c r="AY329" i="3"/>
  <c r="AY586" i="3"/>
  <c r="BD6" i="3"/>
  <c r="AY448" i="3"/>
  <c r="AY375" i="3"/>
  <c r="AY136" i="3"/>
  <c r="AY39" i="3"/>
  <c r="AY13" i="3"/>
  <c r="AY330" i="3"/>
  <c r="AY233" i="3"/>
  <c r="AY203" i="3"/>
  <c r="AY563" i="3"/>
  <c r="AY575" i="3"/>
  <c r="AY450" i="3"/>
  <c r="AY129" i="3"/>
  <c r="AY464" i="3"/>
  <c r="AY230" i="3"/>
  <c r="AY417" i="3"/>
  <c r="AY272" i="3"/>
  <c r="AY383" i="3"/>
  <c r="AY47" i="3"/>
  <c r="AY431" i="3"/>
  <c r="AY501" i="3"/>
  <c r="AY25" i="3"/>
  <c r="AY441" i="3"/>
  <c r="AY235" i="3"/>
  <c r="AY498" i="3"/>
  <c r="AY504" i="3"/>
  <c r="BC6" i="3"/>
  <c r="AY550" i="3"/>
  <c r="AY416" i="3"/>
  <c r="AY474" i="3"/>
  <c r="AY339" i="3"/>
  <c r="AY208" i="3"/>
  <c r="AY288" i="3"/>
  <c r="AY175" i="3"/>
  <c r="AY22" i="3"/>
  <c r="AY102" i="3"/>
  <c r="AY528" i="3"/>
  <c r="AY421" i="3"/>
  <c r="AY482" i="3"/>
  <c r="AY347" i="3"/>
  <c r="AY216" i="3"/>
  <c r="AY296" i="3"/>
  <c r="AY140" i="3"/>
  <c r="AY30" i="3"/>
  <c r="AY110" i="3"/>
  <c r="AY548" i="3"/>
  <c r="AY537" i="3"/>
  <c r="AY564" i="3"/>
  <c r="AY399" i="3"/>
  <c r="AY418" i="3"/>
  <c r="AY468" i="3"/>
  <c r="AY336" i="3"/>
  <c r="AY369" i="3"/>
  <c r="AY251" i="3"/>
  <c r="AY189" i="3"/>
  <c r="AY519" i="3"/>
  <c r="AY527" i="3"/>
  <c r="AY398" i="3"/>
  <c r="AY324" i="3"/>
  <c r="AY243" i="3"/>
  <c r="AY56" i="3"/>
  <c r="AY373" i="3"/>
  <c r="AY271" i="3"/>
  <c r="AY154" i="3"/>
  <c r="AY84" i="3"/>
  <c r="AY574" i="3"/>
  <c r="AY310" i="3"/>
  <c r="AY116" i="3"/>
  <c r="AY334" i="3"/>
  <c r="AY207" i="3"/>
  <c r="AY567" i="3"/>
  <c r="AY583" i="3"/>
  <c r="AY15" i="3"/>
  <c r="AY413" i="3"/>
  <c r="AY432" i="3"/>
  <c r="AY306" i="3"/>
  <c r="AY367" i="3"/>
  <c r="AY256" i="3"/>
  <c r="AY119" i="3"/>
  <c r="AY179" i="3"/>
  <c r="AY70" i="3"/>
  <c r="AY587" i="3"/>
  <c r="AY517" i="3"/>
  <c r="AY424" i="3"/>
  <c r="AY314" i="3"/>
  <c r="AY376" i="3"/>
  <c r="AY264" i="3"/>
  <c r="AY127" i="3"/>
  <c r="AY187" i="3"/>
  <c r="AY78" i="3"/>
  <c r="BA6" i="3"/>
  <c r="BR6" i="3"/>
  <c r="AY502" i="3"/>
  <c r="AY499" i="3"/>
  <c r="AY423" i="3"/>
  <c r="AY442" i="3"/>
  <c r="AY471" i="3"/>
  <c r="AY321" i="3"/>
  <c r="AY223" i="3"/>
  <c r="AY287" i="3"/>
  <c r="AY48" i="3"/>
  <c r="AY532" i="3"/>
  <c r="AY516" i="3"/>
  <c r="AY462" i="3"/>
  <c r="AY341" i="3"/>
  <c r="AY130" i="3"/>
  <c r="AY109" i="3"/>
  <c r="AY227" i="3"/>
  <c r="AY117" i="3"/>
  <c r="AY190" i="3"/>
  <c r="AY100" i="3"/>
  <c r="AY535" i="3"/>
  <c r="AY372" i="3"/>
  <c r="AY497" i="3"/>
  <c r="AY209" i="3"/>
  <c r="D3" i="6"/>
  <c r="D25" i="6" s="1"/>
  <c r="AY579" i="3"/>
  <c r="AY461" i="3"/>
  <c r="AY328" i="3"/>
  <c r="AY364" i="3"/>
  <c r="AY158" i="3"/>
  <c r="AY101" i="3"/>
  <c r="AY495" i="3"/>
  <c r="AY419" i="3"/>
  <c r="AY308"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E29" i="43" l="1"/>
  <c r="D11" i="6"/>
  <c r="M19" i="9"/>
  <c r="C118" i="9" s="1"/>
  <c r="C14" i="74" s="1"/>
  <c r="B2" i="74" s="1"/>
  <c r="T48" i="21"/>
  <c r="G48" i="21" s="1"/>
  <c r="M20" i="6"/>
  <c r="I20" i="6" s="1"/>
  <c r="S20" i="6" s="1"/>
  <c r="S7" i="1"/>
  <c r="E7" i="70" s="1"/>
  <c r="D28" i="6"/>
  <c r="D15" i="6"/>
  <c r="D20" i="6"/>
  <c r="D21" i="6"/>
  <c r="C34" i="11"/>
  <c r="C35" i="11" s="1"/>
  <c r="H24" i="6"/>
  <c r="D29" i="6"/>
  <c r="D10" i="6"/>
  <c r="D5" i="6"/>
  <c r="D23" i="6"/>
  <c r="C18" i="4"/>
  <c r="A10" i="51" s="1"/>
  <c r="B9" i="72" s="1"/>
  <c r="D19" i="6"/>
  <c r="H22" i="6"/>
  <c r="L19" i="9"/>
  <c r="D9" i="6"/>
  <c r="D14" i="6"/>
  <c r="D8" i="6"/>
  <c r="D26" i="6"/>
  <c r="H21" i="6"/>
  <c r="E61" i="40"/>
  <c r="D13" i="6"/>
  <c r="D12" i="6"/>
  <c r="D24" i="6"/>
  <c r="D22" i="6"/>
  <c r="D10" i="68"/>
  <c r="D19" i="68" s="1"/>
  <c r="C28" i="11"/>
  <c r="C27" i="11" s="1"/>
  <c r="C24" i="11"/>
  <c r="C22" i="11" s="1"/>
  <c r="H23" i="6"/>
  <c r="H26" i="6"/>
  <c r="D6" i="6"/>
  <c r="S6" i="1"/>
  <c r="M19" i="6"/>
  <c r="K27" i="6"/>
  <c r="H25" i="6"/>
  <c r="R25" i="6" s="1"/>
  <c r="D20" i="12"/>
  <c r="C20" i="12" s="1"/>
  <c r="AA7" i="34"/>
  <c r="R49" i="34" s="1"/>
  <c r="E49" i="34" s="1"/>
  <c r="C36" i="11"/>
  <c r="J24" i="67"/>
  <c r="J18" i="67"/>
  <c r="J24" i="15"/>
  <c r="J18" i="15"/>
  <c r="G36" i="36"/>
  <c r="R37" i="36"/>
  <c r="AB7" i="34"/>
  <c r="T49" i="34" s="1"/>
  <c r="G49" i="34" s="1"/>
  <c r="G53" i="34" s="1"/>
  <c r="H53" i="34" s="1"/>
  <c r="W7" i="21"/>
  <c r="AA7" i="21"/>
  <c r="R48" i="21" s="1"/>
  <c r="E48" i="21" s="1"/>
  <c r="E52" i="21" s="1"/>
  <c r="F52" i="21"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70" i="39"/>
  <c r="C14" i="12"/>
  <c r="E6" i="76"/>
  <c r="C17" i="15"/>
  <c r="H20" i="6" l="1"/>
  <c r="R20" i="6" s="1"/>
  <c r="R7" i="1" s="1"/>
  <c r="C4" i="52"/>
  <c r="B45" i="72" s="1"/>
  <c r="R50" i="34"/>
  <c r="R26" i="6"/>
  <c r="R23" i="6"/>
  <c r="T7" i="1"/>
  <c r="AR7" i="1"/>
  <c r="AQ7" i="1"/>
  <c r="R24" i="6"/>
  <c r="R21" i="6"/>
  <c r="R8" i="1" s="1"/>
  <c r="D30" i="6"/>
  <c r="A7" i="51"/>
  <c r="B7" i="72" s="1"/>
  <c r="R22" i="6"/>
  <c r="C38" i="11"/>
  <c r="C33" i="11" s="1"/>
  <c r="C42" i="11" s="1"/>
  <c r="C10" i="68"/>
  <c r="H9" i="68" s="1"/>
  <c r="B29" i="1" s="1"/>
  <c r="C8" i="68" s="1"/>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8" i="12" l="1"/>
  <c r="C21" i="12" s="1"/>
  <c r="C22" i="12" s="1"/>
  <c r="D31" i="6"/>
  <c r="I6" i="6" s="1"/>
  <c r="I27" i="6"/>
  <c r="H19" i="6"/>
  <c r="S19" i="6"/>
  <c r="S27" i="6" s="1"/>
  <c r="C7" i="69"/>
  <c r="B2" i="76"/>
  <c r="B3" i="76" s="1"/>
  <c r="B3" i="43"/>
  <c r="C49" i="21"/>
  <c r="C24" i="68"/>
  <c r="C33" i="68"/>
  <c r="C91" i="9" s="1"/>
  <c r="I63" i="40"/>
  <c r="H65" i="40"/>
  <c r="C39" i="11"/>
  <c r="C43" i="11" s="1"/>
  <c r="C41" i="11" s="1"/>
  <c r="I70" i="39"/>
  <c r="I5" i="6" l="1"/>
  <c r="C92" i="9"/>
  <c r="C94" i="9"/>
  <c r="H27" i="6"/>
  <c r="R19" i="6"/>
  <c r="C39" i="68"/>
  <c r="C43" i="68" s="1"/>
  <c r="C42" i="68"/>
  <c r="J63" i="40"/>
  <c r="I65" i="40"/>
  <c r="C46" i="11"/>
  <c r="C45" i="11" s="1"/>
  <c r="C49" i="11" s="1"/>
  <c r="C51" i="11" s="1"/>
  <c r="C52" i="11" s="1"/>
  <c r="B2" i="11" s="1"/>
  <c r="B3" i="11" s="1"/>
  <c r="J70" i="39"/>
  <c r="R27" i="6" l="1"/>
  <c r="R6" i="1"/>
  <c r="C41" i="68"/>
  <c r="C46" i="68"/>
  <c r="C45" i="68" s="1"/>
  <c r="K63" i="40"/>
  <c r="J65" i="40"/>
  <c r="K70" i="39"/>
  <c r="C56" i="11"/>
  <c r="C57" i="11" s="1"/>
  <c r="F35" i="67"/>
  <c r="M21" i="15"/>
  <c r="F35" i="15"/>
  <c r="M21" i="67"/>
  <c r="F63" i="67" l="1"/>
  <c r="C62" i="67" s="1"/>
  <c r="C34" i="67"/>
  <c r="F63" i="15"/>
  <c r="C62" i="15" s="1"/>
  <c r="C34" i="15"/>
  <c r="J20" i="15"/>
  <c r="J20" i="67"/>
  <c r="R16" i="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L51" i="15"/>
  <c r="M27" i="67"/>
  <c r="M27" i="15"/>
  <c r="F41" i="67"/>
  <c r="Q67" i="15" l="1"/>
  <c r="L57" i="15"/>
  <c r="L60" i="15" s="1"/>
  <c r="Q57" i="15" s="1"/>
  <c r="J26" i="15"/>
  <c r="J29" i="15" s="1"/>
  <c r="J26" i="67"/>
  <c r="J29" i="67" s="1"/>
  <c r="C58" i="15"/>
  <c r="C67" i="15" s="1"/>
  <c r="F69" i="15"/>
  <c r="C40" i="15"/>
  <c r="F69" i="67"/>
  <c r="C68" i="67" s="1"/>
  <c r="C71" i="67" s="1"/>
  <c r="C40" i="67"/>
  <c r="C83" i="67" s="1"/>
  <c r="C82" i="67" s="1"/>
  <c r="C43" i="15" l="1"/>
  <c r="L46" i="15"/>
  <c r="B2" i="15" s="1"/>
  <c r="Q66" i="15"/>
  <c r="C68" i="15"/>
  <c r="C71" i="15" s="1"/>
  <c r="C83" i="15"/>
  <c r="C82" i="15" s="1"/>
  <c r="Q65" i="15"/>
  <c r="Q47" i="15"/>
  <c r="Q53" i="15" s="1"/>
  <c r="Q56" i="15"/>
  <c r="Q62" i="15" s="1"/>
  <c r="C43" i="67"/>
  <c r="C45" i="67"/>
  <c r="C46" i="67" s="1"/>
  <c r="Q65" i="67"/>
  <c r="Q75" i="67" s="1"/>
  <c r="Q56" i="67"/>
  <c r="Q62" i="67" s="1"/>
  <c r="Q47" i="67"/>
  <c r="Q53" i="67" s="1"/>
  <c r="D2" i="67"/>
  <c r="B2" i="67" s="1"/>
  <c r="AO6" i="1"/>
  <c r="AO7" i="1"/>
  <c r="AO8" i="1"/>
  <c r="E2" i="69"/>
  <c r="B3" i="15" l="1"/>
  <c r="D6" i="12" s="1"/>
  <c r="L18" i="12" s="1"/>
  <c r="D8" i="12"/>
  <c r="Q75" i="15"/>
  <c r="B8" i="70"/>
  <c r="B7" i="70"/>
  <c r="B6" i="70"/>
  <c r="C46" i="15"/>
  <c r="B2" i="69"/>
  <c r="B3" i="69" s="1"/>
  <c r="B3" i="67"/>
  <c r="D2" i="33"/>
  <c r="D2" i="36"/>
  <c r="D2" i="37"/>
  <c r="D2" i="21"/>
  <c r="D2" i="35"/>
  <c r="F20" i="31"/>
  <c r="D2" i="34"/>
  <c r="E2" i="68"/>
  <c r="B20" i="31" l="1"/>
  <c r="B2" i="36"/>
  <c r="B3" i="36" s="1"/>
  <c r="B2" i="35"/>
  <c r="B3" i="35" s="1"/>
  <c r="B2" i="37"/>
  <c r="B3" i="37" s="1"/>
  <c r="B2" i="34"/>
  <c r="B3" i="34" s="1"/>
  <c r="B2" i="21"/>
  <c r="B2" i="70"/>
  <c r="B3" i="70" s="1"/>
  <c r="B3" i="21" l="1"/>
  <c r="C6" i="12" s="1"/>
  <c r="C8" i="12"/>
  <c r="C4" i="12" s="1"/>
  <c r="C31" i="12" l="1"/>
  <c r="C23" i="12"/>
  <c r="C30" i="12" l="1"/>
  <c r="C28" i="12" s="1"/>
  <c r="C27" i="12"/>
  <c r="C25" i="12" s="1"/>
  <c r="J7" i="33"/>
  <c r="W7" i="33" s="1"/>
  <c r="F7" i="33"/>
  <c r="S7" i="33" s="1"/>
  <c r="H7" i="33"/>
  <c r="AB7" i="33" s="1"/>
  <c r="T48" i="33" s="1"/>
  <c r="G48" i="33" s="1"/>
  <c r="C32" i="12" l="1"/>
  <c r="B2" i="12" s="1"/>
  <c r="B3" i="12" s="1"/>
  <c r="G52" i="33"/>
  <c r="H52" i="33" s="1"/>
  <c r="AA7" i="33"/>
  <c r="R48" i="33" s="1"/>
  <c r="U7" i="33"/>
  <c r="AC7" i="33"/>
  <c r="V48" i="33" s="1"/>
  <c r="I48" i="33" s="1"/>
  <c r="D19" i="9"/>
  <c r="D20" i="9"/>
  <c r="J22" i="9" l="1"/>
  <c r="D21" i="9"/>
  <c r="D102" i="9"/>
  <c r="D103" i="9"/>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C20" i="9"/>
  <c r="D34" i="9"/>
  <c r="D35" i="9"/>
  <c r="C19" i="9"/>
  <c r="G19" i="9" l="1"/>
  <c r="D27" i="9" s="1"/>
  <c r="C102" i="9"/>
  <c r="C21" i="9"/>
  <c r="D22" i="9"/>
  <c r="C103" i="9"/>
  <c r="G20" i="9"/>
  <c r="D122" i="9"/>
  <c r="H108" i="9"/>
  <c r="D15" i="53" s="1"/>
  <c r="B31" i="72" s="1"/>
  <c r="D13" i="53"/>
  <c r="G21" i="9" l="1"/>
  <c r="C32" i="9"/>
  <c r="C35" i="9" s="1"/>
  <c r="F118" i="9" s="1"/>
  <c r="D14" i="53"/>
  <c r="B32" i="72" s="1"/>
  <c r="B30" i="72"/>
  <c r="G14" i="74"/>
  <c r="B6" i="74" s="1"/>
  <c r="D123" i="9"/>
  <c r="D9" i="52" s="1"/>
  <c r="D8" i="52"/>
  <c r="H118" i="9" l="1"/>
  <c r="C104" i="9" s="1"/>
  <c r="C34" i="9"/>
  <c r="D118" i="9" s="1"/>
  <c r="G118" i="9"/>
  <c r="G4" i="52" s="1"/>
  <c r="B52" i="72" s="1"/>
  <c r="F119" i="9"/>
  <c r="F5" i="52" s="1"/>
  <c r="B53" i="72" s="1"/>
  <c r="F4" i="52"/>
  <c r="B51" i="72" s="1"/>
  <c r="D6" i="74"/>
  <c r="C6" i="74"/>
  <c r="H4" i="52" l="1"/>
  <c r="I118" i="9"/>
  <c r="I4" i="52" s="1"/>
  <c r="H119" i="9"/>
  <c r="H5" i="52" s="1"/>
  <c r="H101" i="9"/>
  <c r="D45" i="9" s="1"/>
  <c r="D14" i="74"/>
  <c r="F14" i="74" s="1"/>
  <c r="D119" i="9"/>
  <c r="D5" i="52" s="1"/>
  <c r="B49" i="72" s="1"/>
  <c r="D4" i="52"/>
  <c r="B47" i="72" s="1"/>
  <c r="E118" i="9" l="1"/>
  <c r="E4" i="52" s="1"/>
  <c r="B48" i="72" s="1"/>
  <c r="H109" i="9"/>
  <c r="D124" i="9" s="1"/>
  <c r="H102" i="9"/>
  <c r="D7" i="53" s="1"/>
  <c r="B21" i="72" s="1"/>
  <c r="D5" i="53"/>
  <c r="D6" i="53" s="1"/>
  <c r="B22" i="72" s="1"/>
  <c r="M48" i="9"/>
  <c r="C105" i="9"/>
  <c r="E14" i="74"/>
  <c r="D53" i="9"/>
  <c r="D48" i="9" s="1"/>
  <c r="M52" i="9" s="1"/>
  <c r="D52" i="9"/>
  <c r="D55" i="9"/>
  <c r="M53" i="9" s="1"/>
  <c r="C78" i="9"/>
  <c r="C73" i="9" s="1"/>
  <c r="C64" i="9"/>
  <c r="C63" i="9" s="1"/>
  <c r="C67" i="9" s="1"/>
  <c r="C68" i="9" s="1"/>
  <c r="D54" i="9" s="1"/>
  <c r="C85" i="9"/>
  <c r="C93" i="9"/>
  <c r="C86" i="9" s="1"/>
  <c r="C72" i="9"/>
  <c r="H110" i="9"/>
  <c r="D18" i="53" s="1"/>
  <c r="B35" i="72" s="1"/>
  <c r="M49" i="9" l="1"/>
  <c r="L64" i="9" s="1"/>
  <c r="M64" i="9" s="1"/>
  <c r="D16" i="53"/>
  <c r="B34" i="72" s="1"/>
  <c r="B20" i="72"/>
  <c r="C79" i="9"/>
  <c r="D10" i="52"/>
  <c r="D125" i="9"/>
  <c r="D11" i="52" s="1"/>
  <c r="H14" i="74"/>
  <c r="B7" i="74" s="1"/>
  <c r="C95" i="9"/>
  <c r="AD3" i="71"/>
  <c r="P21" i="43" s="1"/>
  <c r="L67" i="9" l="1"/>
  <c r="M67" i="9" s="1"/>
  <c r="L68" i="9"/>
  <c r="M68" i="9" s="1"/>
  <c r="L65" i="9"/>
  <c r="M65" i="9" s="1"/>
  <c r="L63" i="9"/>
  <c r="M63" i="9" s="1"/>
  <c r="M69" i="9" s="1"/>
  <c r="N69" i="9" s="1"/>
  <c r="L66" i="9"/>
  <c r="M66" i="9" s="1"/>
  <c r="D17" i="53"/>
  <c r="B36" i="72" s="1"/>
  <c r="C80" i="9"/>
  <c r="E80" i="9" s="1"/>
  <c r="E81" i="9" s="1"/>
  <c r="C96" i="9"/>
  <c r="E96" i="9" s="1"/>
  <c r="E97" i="9" s="1"/>
  <c r="D7" i="74"/>
  <c r="C7" i="74"/>
  <c r="P22" i="43"/>
  <c r="P23" i="43"/>
  <c r="B71" i="39" s="1"/>
  <c r="P24" i="43"/>
  <c r="B66" i="40" s="1"/>
  <c r="P25" i="43"/>
  <c r="C97" i="9" l="1"/>
  <c r="D58" i="9" s="1"/>
  <c r="D56" i="9" s="1"/>
  <c r="M54" i="9" s="1"/>
  <c r="N57" i="9" s="1"/>
  <c r="N58" i="9" s="1"/>
  <c r="C81" i="9"/>
  <c r="P57" i="9" l="1"/>
  <c r="N59" i="9"/>
  <c r="J27" i="9" s="1"/>
  <c r="N60" i="9" l="1"/>
  <c r="N61" i="9"/>
  <c r="E15" i="74" l="1"/>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<sst xmlns="http://schemas.openxmlformats.org/spreadsheetml/2006/main" count="7875" uniqueCount="3331">
  <si>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</si>
  <si>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</si>
  <si>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</si>
  <si>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</si>
  <si>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</si>
  <si>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</si>
  <si>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</si>
  <si>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</si>
  <si>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</si>
  <si>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</si>
  <si>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</si>
  <si>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</si>
  <si>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</si>
  <si>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</si>
  <si>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</si>
  <si>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</si>
  <si>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</si>
  <si>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</si>
  <si>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</si>
  <si>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</si>
  <si>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</si>
  <si>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</si>
  <si>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</si>
  <si>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</si>
  <si>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</si>
  <si>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</si>
  <si>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</si>
  <si>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</si>
  <si>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</si>
  <si>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</si>
  <si>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</si>
  <si>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</si>
  <si>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</si>
  <si>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</si>
  <si>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</si>
  <si>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</si>
  <si>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</si>
  <si>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</si>
  <si>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</si>
  <si>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</si>
  <si>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</si>
  <si>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</si>
  <si>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</si>
  <si>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</si>
  <si>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</si>
  <si>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</si>
  <si>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</si>
  <si>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</si>
  <si>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</si>
  <si>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</si>
  <si>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</si>
  <si>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</si>
  <si>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</si>
  <si>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</si>
  <si>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</si>
  <si>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</si>
  <si>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</si>
  <si>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</si>
  <si>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</si>
  <si>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</si>
  <si>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</si>
  <si>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</si>
  <si>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</si>
  <si>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</si>
  <si>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</si>
  <si>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</si>
  <si>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</si>
  <si>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</si>
  <si>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</si>
  <si>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</si>
  <si>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</si>
  <si>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</si>
  <si>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</si>
  <si>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</si>
  <si>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</si>
  <si>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</si>
  <si>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</si>
  <si>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</si>
  <si>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</si>
  <si>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</si>
  <si>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</si>
  <si>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</si>
  <si>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</si>
  <si>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</si>
  <si>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</si>
  <si>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</si>
  <si>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</si>
  <si>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</si>
  <si>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</si>
  <si>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</si>
  <si>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</si>
  <si>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</si>
  <si>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</si>
  <si>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</si>
  <si>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</si>
  <si>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</si>
  <si>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</si>
  <si>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</si>
  <si>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</si>
  <si>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</si>
  <si>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</si>
  <si>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</si>
  <si>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</si>
  <si>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</si>
  <si>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</si>
  <si>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</si>
  <si>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</si>
  <si>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</si>
  <si>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</si>
  <si>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</si>
  <si>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</si>
  <si>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</si>
  <si>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</si>
  <si>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</si>
  <si>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</si>
  <si>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</si>
  <si>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</si>
  <si>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</si>
  <si>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</si>
  <si>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</si>
  <si>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</si>
  <si>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</si>
  <si>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</si>
  <si>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</si>
  <si>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</si>
  <si>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</si>
  <si>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</si>
  <si>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</si>
  <si>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</si>
  <si>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</si>
  <si>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</si>
  <si>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</si>
  <si>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</si>
  <si>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</si>
  <si>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</si>
  <si>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</si>
  <si>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</si>
  <si>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</si>
  <si>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</si>
  <si>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</si>
  <si>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</si>
  <si>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</si>
  <si>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</si>
  <si>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</si>
  <si>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</si>
  <si>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</si>
  <si>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</si>
  <si>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</si>
  <si>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</si>
  <si>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</si>
  <si>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</si>
  <si>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</si>
  <si>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</si>
  <si>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</si>
  <si>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</si>
  <si>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</si>
  <si>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</si>
  <si>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</si>
  <si>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</si>
  <si>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</si>
  <si>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</si>
  <si>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</si>
  <si>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</si>
  <si>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</si>
  <si>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</si>
  <si>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</si>
  <si>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</si>
  <si>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</si>
  <si>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</si>
  <si>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</si>
  <si>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</si>
  <si>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</si>
  <si>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</si>
  <si>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</si>
  <si>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</si>
  <si>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</si>
  <si>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</si>
  <si>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</si>
  <si>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</si>
  <si>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</si>
  <si>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</si>
  <si>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</si>
  <si>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</si>
  <si>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</si>
  <si>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</si>
  <si>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</si>
  <si>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</si>
  <si>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</si>
  <si>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</si>
  <si>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</si>
  <si>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</si>
  <si>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</si>
  <si>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</si>
  <si>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</si>
  <si>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</si>
  <si>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</si>
  <si>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</si>
  <si>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</si>
  <si>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</si>
  <si>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</si>
  <si>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</si>
  <si>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</si>
  <si>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</si>
  <si>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</si>
  <si>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</si>
  <si>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</si>
  <si>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</si>
  <si>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</si>
  <si>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</si>
  <si>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</si>
  <si>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</si>
  <si>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</si>
  <si>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</si>
  <si>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</si>
  <si>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</si>
  <si>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</si>
  <si>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</si>
  <si>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</si>
  <si>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</si>
  <si>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</si>
  <si>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</si>
  <si>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</si>
  <si>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</si>
  <si>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</si>
  <si>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</si>
  <si>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</si>
  <si>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</si>
  <si>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</si>
  <si>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</si>
  <si>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</si>
  <si>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</si>
  <si>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</si>
  <si>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</si>
  <si>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</si>
  <si>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</si>
  <si>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</si>
  <si>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</si>
  <si>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</si>
  <si>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</si>
  <si>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</si>
  <si>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</si>
  <si>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</si>
  <si>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</si>
  <si>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</si>
  <si>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</si>
  <si>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</si>
  <si>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</si>
  <si>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</si>
  <si>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</si>
  <si>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</si>
  <si>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</si>
  <si>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</si>
  <si>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</si>
  <si>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</si>
  <si>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</si>
  <si>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</si>
  <si>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</si>
  <si>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</si>
  <si>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</si>
  <si>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</si>
  <si>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</si>
  <si>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</si>
  <si>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</si>
  <si>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</si>
  <si>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</si>
  <si>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</si>
  <si>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</si>
  <si>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</si>
  <si>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</si>
  <si>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</si>
  <si>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</si>
  <si>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</si>
  <si>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</si>
  <si>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</si>
  <si>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</si>
  <si>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</si>
  <si>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</si>
  <si>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</si>
  <si>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</si>
  <si>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</si>
  <si>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</si>
  <si>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</si>
  <si>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</si>
  <si>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</si>
  <si>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</si>
  <si>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</si>
  <si>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</si>
  <si>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</si>
  <si>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</si>
  <si>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</si>
  <si>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</si>
  <si>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</si>
  <si>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</si>
  <si>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</si>
  <si>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</si>
  <si>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</si>
  <si>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</si>
  <si>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</si>
  <si>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</si>
  <si>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</si>
  <si>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</si>
  <si>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</si>
  <si>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</si>
  <si>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</si>
  <si>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</si>
  <si>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</si>
  <si>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</si>
  <si>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</si>
  <si>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</si>
  <si>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</si>
  <si>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</si>
  <si>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</si>
  <si>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</si>
  <si>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</si>
  <si>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</si>
  <si>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</si>
  <si>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</si>
  <si>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</si>
  <si>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</si>
  <si>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</si>
  <si>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</si>
  <si>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</si>
  <si>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</si>
  <si>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</si>
  <si>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</si>
  <si>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</si>
  <si>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</si>
  <si>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</si>
  <si>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</si>
  <si>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</si>
  <si>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</si>
  <si>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</si>
  <si>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</si>
  <si>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</si>
  <si>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</si>
  <si>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</si>
  <si>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</si>
  <si>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</si>
  <si>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</si>
  <si>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</si>
  <si>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</si>
  <si>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</si>
  <si>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</si>
  <si>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</si>
  <si>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</si>
  <si>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</si>
  <si>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</si>
  <si>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</si>
  <si>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</si>
  <si>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</si>
  <si>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</si>
  <si>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</si>
  <si>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</si>
  <si>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</si>
  <si>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</si>
  <si>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</si>
  <si>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</si>
  <si>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</si>
  <si>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</si>
  <si>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</si>
  <si>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</si>
  <si>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</si>
  <si>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</si>
  <si>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</si>
  <si>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</si>
  <si>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</si>
  <si>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</si>
  <si>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</si>
  <si>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</si>
  <si>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</si>
  <si>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</si>
  <si>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</si>
  <si>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</si>
  <si>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</si>
  <si>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</si>
  <si>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</si>
  <si>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</si>
  <si>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</si>
  <si>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</si>
  <si>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</si>
  <si>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</si>
  <si>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</si>
  <si>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</si>
  <si>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</si>
  <si>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</si>
  <si>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</si>
  <si>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</si>
  <si>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</si>
  <si>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</si>
  <si>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</si>
  <si>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</si>
  <si>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</si>
  <si>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</si>
  <si>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</si>
  <si>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</si>
  <si>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</si>
  <si>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</si>
  <si>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</si>
  <si>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</si>
  <si>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</si>
  <si>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</si>
  <si>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</si>
  <si>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</si>
  <si>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</si>
  <si>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</si>
  <si>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</si>
  <si>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</si>
  <si>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</si>
  <si>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</si>
  <si>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</si>
  <si>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</si>
  <si>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</si>
  <si>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</si>
  <si>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</si>
  <si>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</si>
  <si>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</si>
  <si>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</si>
  <si>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</si>
  <si>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</si>
  <si>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</si>
  <si>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</si>
  <si>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</si>
  <si>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</si>
  <si>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</si>
  <si>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</si>
  <si>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</si>
  <si>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</si>
  <si>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</si>
  <si>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</si>
  <si>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</si>
  <si>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</si>
  <si>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</si>
  <si>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</si>
  <si>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</si>
  <si>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</si>
  <si>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</si>
  <si>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</si>
  <si>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</si>
  <si>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</si>
  <si>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</si>
  <si>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</si>
  <si>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</si>
  <si>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</si>
  <si>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</si>
  <si>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</si>
  <si>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</si>
  <si>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</si>
  <si>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</si>
  <si>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</si>
  <si>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</si>
  <si>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</si>
  <si>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</si>
  <si>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</si>
  <si>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</si>
  <si>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</si>
  <si>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</si>
  <si>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</si>
  <si>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</si>
  <si>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</si>
  <si>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</si>
  <si>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</si>
  <si>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</si>
  <si>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</si>
  <si>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</si>
  <si>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</si>
  <si>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</si>
  <si>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</si>
  <si>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</si>
  <si>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</si>
  <si>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</si>
  <si>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</si>
  <si>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</si>
  <si>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</si>
  <si>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</si>
  <si>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</si>
  <si>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</si>
  <si>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</si>
  <si>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</si>
  <si>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</si>
  <si>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</si>
  <si>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</si>
  <si>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</si>
  <si>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</si>
  <si>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</si>
  <si>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</si>
  <si>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</si>
  <si>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</si>
  <si>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</si>
  <si>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</si>
  <si>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</si>
  <si>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</si>
  <si>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</si>
  <si>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</si>
  <si>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</si>
  <si>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</si>
  <si>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</si>
  <si>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</si>
  <si>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</si>
  <si>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</si>
  <si>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</si>
  <si>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</si>
  <si>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</si>
  <si>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</si>
  <si>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</si>
  <si>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</si>
  <si>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</si>
  <si>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</si>
  <si>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</si>
  <si>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</si>
  <si>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</si>
  <si>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</si>
  <si>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</si>
  <si>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</si>
  <si>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</si>
  <si>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</si>
  <si>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</si>
  <si>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</si>
  <si>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</si>
  <si>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</si>
  <si>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</si>
  <si>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</si>
  <si>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</si>
  <si>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</si>
  <si>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</si>
  <si>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</si>
  <si>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</si>
  <si>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</si>
  <si>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</si>
  <si>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</si>
  <si>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</si>
  <si>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</si>
  <si>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</si>
  <si>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</si>
  <si>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</si>
  <si>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</si>
  <si>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</si>
  <si>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</si>
  <si>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</si>
  <si>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</si>
  <si>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</si>
  <si>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</si>
  <si>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</si>
  <si>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</si>
  <si>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</si>
  <si>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</si>
  <si>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</si>
  <si>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</si>
  <si>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</si>
  <si>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</si>
  <si>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</si>
  <si>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</si>
  <si>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</si>
  <si>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</si>
  <si>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</si>
  <si>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</si>
  <si>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</si>
  <si>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</si>
  <si>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</si>
  <si>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</si>
  <si>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</si>
  <si>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</si>
  <si>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</si>
  <si>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</si>
  <si>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</si>
  <si>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</si>
  <si>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</si>
  <si>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</si>
  <si>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</si>
  <si>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</si>
  <si>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</si>
  <si>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</si>
  <si>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</si>
  <si>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</si>
  <si>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</si>
  <si>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</si>
  <si>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</si>
  <si>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</si>
  <si>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</si>
  <si>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</si>
  <si>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</si>
  <si>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</si>
  <si>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</si>
  <si>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</si>
  <si>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</si>
  <si>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</si>
  <si>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</si>
  <si>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</si>
  <si>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</si>
  <si>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</si>
  <si>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</si>
  <si>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</si>
  <si>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</si>
  <si>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</si>
  <si>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</si>
  <si>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</si>
  <si>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</si>
  <si>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</si>
  <si>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</si>
  <si>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</si>
  <si>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</si>
  <si>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</si>
  <si>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</si>
  <si>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</si>
  <si>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</si>
  <si>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</si>
  <si>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</si>
  <si>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</si>
  <si>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</si>
  <si>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</si>
  <si>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</si>
  <si>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</si>
  <si>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</si>
  <si>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</si>
  <si>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</si>
  <si>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</si>
  <si>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</si>
  <si>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</si>
  <si>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</si>
  <si>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</si>
  <si>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</si>
  <si>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</si>
  <si>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</si>
  <si>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</si>
  <si>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</si>
  <si>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</si>
  <si>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</si>
  <si>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</si>
  <si>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</si>
  <si>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</si>
  <si>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</si>
  <si>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</si>
  <si>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</si>
  <si>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</si>
  <si>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</si>
  <si>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</si>
  <si>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</si>
  <si>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</si>
  <si>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</si>
  <si>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</si>
  <si>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</si>
  <si>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</si>
  <si>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</si>
  <si>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</si>
  <si>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</si>
  <si>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</si>
  <si>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</si>
  <si>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</si>
  <si>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</si>
  <si>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</si>
  <si>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</si>
  <si>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</si>
  <si>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</si>
  <si>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</si>
  <si>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</si>
  <si>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</si>
  <si>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</si>
  <si>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</si>
  <si>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</si>
  <si>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</si>
  <si>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</si>
  <si>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</si>
  <si>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</si>
  <si>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</si>
  <si>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</si>
  <si>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</si>
  <si>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</si>
  <si>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</si>
  <si>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</si>
  <si>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</si>
  <si>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</si>
  <si>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</si>
  <si>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</si>
  <si>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</si>
  <si>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</si>
  <si>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</si>
  <si>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</si>
  <si>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</si>
  <si>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</si>
  <si>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</si>
  <si>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</si>
  <si>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</si>
  <si>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</si>
  <si>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</si>
  <si>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</si>
  <si>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</si>
  <si>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</si>
  <si>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</si>
  <si>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</si>
  <si>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</si>
  <si>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</si>
  <si>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</si>
  <si>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</si>
  <si>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</si>
  <si>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</si>
  <si>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</si>
  <si>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</si>
  <si>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</si>
  <si>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</si>
  <si>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</si>
  <si>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</si>
  <si>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</si>
  <si>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</si>
  <si>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</si>
  <si>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</si>
  <si>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</si>
  <si>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</si>
  <si>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</si>
  <si>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</si>
  <si>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</si>
  <si>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</si>
  <si>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</si>
  <si>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</si>
  <si>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</si>
  <si>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</si>
  <si>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</si>
  <si>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</si>
  <si>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</si>
  <si>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</si>
  <si>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</si>
  <si>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</si>
  <si>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</si>
  <si>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</si>
  <si>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</si>
  <si>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</si>
  <si>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</si>
  <si>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</si>
  <si>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</si>
  <si>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</si>
  <si>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</si>
  <si>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</si>
  <si>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</si>
  <si>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</si>
  <si>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</si>
  <si>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</si>
  <si>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</si>
  <si>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</si>
  <si>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</si>
  <si>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</si>
  <si>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</si>
  <si>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</si>
  <si>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</si>
  <si>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</si>
  <si>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</si>
  <si>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</si>
  <si>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</si>
  <si>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</si>
  <si>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</si>
  <si>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</si>
  <si>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</si>
  <si>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</si>
  <si>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</si>
  <si>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</si>
  <si>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</si>
  <si>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</si>
  <si>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</si>
  <si>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</si>
  <si>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</si>
  <si>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</si>
  <si>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</si>
  <si>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</si>
  <si>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</si>
  <si>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</si>
  <si>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</si>
  <si>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</si>
  <si>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</si>
  <si>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</si>
  <si>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</si>
  <si>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</si>
  <si>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</si>
  <si>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</si>
  <si>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</si>
  <si>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</si>
  <si>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</si>
  <si>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</si>
  <si>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</si>
  <si>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</si>
  <si>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</si>
  <si>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</si>
  <si>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</si>
  <si>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</si>
  <si>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</si>
  <si>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</si>
  <si>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</si>
  <si>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</si>
  <si>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</si>
  <si>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</si>
  <si>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</si>
  <si>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</si>
  <si>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</si>
  <si>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</si>
  <si>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</si>
  <si>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</si>
  <si>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</si>
  <si>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</si>
  <si>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</si>
  <si>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</si>
  <si>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</si>
  <si>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</si>
  <si>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</si>
  <si>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</si>
  <si>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</si>
  <si>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</si>
  <si>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</si>
  <si>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</si>
  <si>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</si>
  <si>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</si>
  <si>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</si>
  <si>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</si>
  <si>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</si>
  <si>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</si>
  <si>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</si>
  <si>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</si>
  <si>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</si>
  <si>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</si>
  <si>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</si>
  <si>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</si>
  <si>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</si>
  <si>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</si>
  <si>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</si>
  <si>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</si>
  <si>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</si>
  <si>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</si>
  <si>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</si>
  <si>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</si>
  <si>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</si>
  <si>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</si>
  <si>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</si>
  <si>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</si>
  <si>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</si>
  <si>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</si>
  <si>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</si>
  <si>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</si>
  <si>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</si>
  <si>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</si>
  <si>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</si>
  <si>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</si>
  <si>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</si>
  <si>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</si>
  <si>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</si>
  <si>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</si>
  <si>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</si>
  <si>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</si>
  <si>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</si>
  <si>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</si>
  <si>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</si>
  <si>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</si>
  <si>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</si>
  <si>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</si>
  <si>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</si>
  <si>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</si>
  <si>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</si>
  <si>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</si>
  <si>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</si>
  <si>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</si>
  <si>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</si>
  <si>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</si>
  <si>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</si>
  <si>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</si>
  <si>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</si>
  <si>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</si>
  <si>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</si>
  <si>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</si>
  <si>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</si>
  <si>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</si>
  <si>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</si>
  <si>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</si>
  <si>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</si>
  <si>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</si>
  <si>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</si>
  <si>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</si>
  <si>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</si>
  <si>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</si>
  <si>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</si>
  <si>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</si>
  <si>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</si>
  <si>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</si>
  <si>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</si>
  <si>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</si>
  <si>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</si>
  <si>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</si>
  <si>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</si>
  <si>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</si>
  <si>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</si>
  <si>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</si>
  <si>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</si>
  <si>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</si>
  <si>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</si>
  <si>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</si>
  <si>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</si>
  <si>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</si>
  <si>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</si>
  <si>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</si>
  <si>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</si>
  <si>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</si>
  <si>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</si>
  <si>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</si>
  <si>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</si>
  <si>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</si>
  <si>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</si>
  <si>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</si>
  <si>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</si>
  <si>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</si>
  <si>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</si>
  <si>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</si>
  <si>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</si>
  <si>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</si>
  <si>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</si>
  <si>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</si>
  <si>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</si>
  <si>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</si>
  <si>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</si>
  <si>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</si>
  <si>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</si>
  <si>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</si>
  <si>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</si>
  <si>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</si>
  <si>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</si>
  <si>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</si>
  <si>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</si>
  <si>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</si>
  <si>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</si>
  <si>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</si>
  <si>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</si>
  <si>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</si>
  <si>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</si>
  <si>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</si>
  <si>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</si>
  <si>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</si>
  <si>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</si>
  <si>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</si>
  <si>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</si>
  <si>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</si>
  <si>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</si>
  <si>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</si>
  <si>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</si>
  <si>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</si>
  <si>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</si>
  <si>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</si>
  <si>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</si>
  <si>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</si>
  <si>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</si>
  <si>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</si>
  <si>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</si>
  <si>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</si>
  <si>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</si>
  <si>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</si>
  <si>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</si>
  <si>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</si>
  <si>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</si>
  <si>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</si>
  <si>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</si>
  <si>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</si>
  <si>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</si>
  <si>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</si>
  <si>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</si>
  <si>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</si>
  <si>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</si>
  <si>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</si>
  <si>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</si>
  <si>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</si>
  <si>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</si>
  <si>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</si>
  <si>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</si>
  <si>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</si>
  <si>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</si>
  <si>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</si>
  <si>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</si>
  <si>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</si>
  <si>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</si>
  <si>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</si>
  <si>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</si>
  <si>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</si>
  <si>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</si>
  <si>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</si>
  <si>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</si>
  <si>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</si>
  <si>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</si>
  <si>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</si>
  <si>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</si>
  <si>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</si>
  <si>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</si>
  <si>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</si>
  <si>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</si>
  <si>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</si>
  <si>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</si>
  <si>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</si>
  <si>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</si>
  <si>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</si>
  <si>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</si>
  <si>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</si>
  <si>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</si>
  <si>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</si>
  <si>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</si>
  <si>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</si>
  <si>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</si>
  <si>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</si>
  <si>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</si>
  <si>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</si>
  <si>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</si>
  <si>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</si>
  <si>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</si>
  <si>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</si>
  <si>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</si>
  <si>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</si>
  <si>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</si>
  <si>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</si>
  <si>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</si>
  <si>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</si>
  <si>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</si>
  <si>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</si>
  <si>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</si>
  <si>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</si>
  <si>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</si>
  <si>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</si>
  <si>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</si>
  <si>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</si>
  <si>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</si>
  <si>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</si>
  <si>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</si>
  <si>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</si>
  <si>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</si>
  <si>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</si>
  <si>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</si>
  <si>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</si>
  <si>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</si>
  <si>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</si>
  <si>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</si>
  <si>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</si>
  <si>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</si>
  <si>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</si>
  <si>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</si>
  <si>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</si>
  <si>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</si>
  <si>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</si>
  <si>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</si>
  <si>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</si>
  <si>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</si>
  <si>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</si>
  <si>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</si>
  <si>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</si>
  <si>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</si>
  <si>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</si>
  <si>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</si>
  <si>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</si>
  <si>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</si>
  <si>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</si>
  <si>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</si>
  <si>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</si>
  <si>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</si>
  <si>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</si>
  <si>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</si>
  <si>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</si>
  <si>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</si>
  <si>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</si>
  <si>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</si>
  <si>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</si>
  <si>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</si>
  <si>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</si>
  <si>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</si>
  <si>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</si>
  <si>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</si>
  <si>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</si>
  <si>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</si>
  <si>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</si>
  <si>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</si>
  <si>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</si>
  <si>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</si>
  <si>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</si>
  <si>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</si>
  <si>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</si>
  <si>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</si>
  <si>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</si>
  <si>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</si>
  <si>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</si>
  <si>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</si>
  <si>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</si>
  <si>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</si>
  <si>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</si>
  <si>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</si>
  <si>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</si>
  <si>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</si>
  <si>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</si>
  <si>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</si>
  <si>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</si>
  <si>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</si>
  <si>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</si>
  <si>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</si>
  <si>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</si>
  <si>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</si>
  <si>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</si>
  <si>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</si>
  <si>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</si>
  <si>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</si>
  <si>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</si>
  <si>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</si>
  <si>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</si>
  <si>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</si>
  <si>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</si>
  <si>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</si>
  <si>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</si>
  <si>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</si>
  <si>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</si>
  <si>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</si>
  <si>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</si>
  <si>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</si>
  <si>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</si>
  <si>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</si>
  <si>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</si>
  <si>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</si>
  <si>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</si>
  <si>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</si>
  <si>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</si>
  <si>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</si>
  <si>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</si>
  <si>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</si>
  <si>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</si>
  <si>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</si>
  <si>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</si>
  <si>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</si>
  <si>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</si>
  <si>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</si>
  <si>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</si>
  <si>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</si>
  <si>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</si>
  <si>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</si>
  <si>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</si>
  <si>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</si>
  <si>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</si>
  <si>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</si>
  <si>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</si>
  <si>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</si>
  <si>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</si>
  <si>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</si>
  <si>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</si>
  <si>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</si>
  <si>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</si>
  <si>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</si>
  <si>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</si>
  <si>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</si>
  <si>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</si>
  <si>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</si>
  <si>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</si>
  <si>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</si>
  <si>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</si>
  <si>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</si>
  <si>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</si>
  <si>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</si>
  <si>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</si>
  <si>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</si>
  <si>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</si>
  <si>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</si>
  <si>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</si>
  <si>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</si>
  <si>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</si>
  <si>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</si>
  <si>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</si>
  <si>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</si>
  <si>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</si>
  <si>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</si>
  <si>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</si>
  <si>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</si>
  <si>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</si>
  <si>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</si>
  <si>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</si>
  <si>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</si>
  <si>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</si>
  <si>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</si>
  <si>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</si>
  <si>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</si>
  <si>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</si>
  <si>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</si>
  <si>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</si>
  <si>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</si>
  <si>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</si>
  <si>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</si>
  <si>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</si>
  <si>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</si>
  <si>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</si>
  <si>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</si>
  <si>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</si>
  <si>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</si>
  <si>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</si>
  <si>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</si>
  <si>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</si>
  <si>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</si>
  <si>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</si>
  <si>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</si>
  <si>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</si>
  <si>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</si>
  <si>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</si>
  <si>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</si>
  <si>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</si>
  <si>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</si>
  <si>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</si>
  <si>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</si>
  <si>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</si>
  <si>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</si>
  <si>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</si>
  <si>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</si>
  <si>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</si>
  <si>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</si>
  <si>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</si>
  <si>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</si>
  <si>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</si>
  <si>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</si>
  <si>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</si>
  <si>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</si>
  <si>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</si>
  <si>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</si>
  <si>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</si>
  <si>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</si>
  <si>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</si>
  <si>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</si>
  <si>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</si>
  <si>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</si>
  <si>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</si>
  <si>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</si>
  <si>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</si>
  <si>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</si>
  <si>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</si>
  <si>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</si>
  <si>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</si>
  <si>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</si>
  <si>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</si>
  <si>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</si>
  <si>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</si>
  <si>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</si>
  <si>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</si>
  <si>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</si>
  <si>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</si>
  <si>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</si>
  <si>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</si>
  <si>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</si>
  <si>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</si>
  <si>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</si>
  <si>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</si>
  <si>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</si>
  <si>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</si>
  <si>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</si>
  <si>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</si>
  <si>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</si>
  <si>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</si>
  <si>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</si>
  <si>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</si>
  <si>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</si>
  <si>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</si>
  <si>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</si>
  <si>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</si>
  <si>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</si>
  <si>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</si>
  <si>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</si>
  <si>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</si>
  <si>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</si>
  <si>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</si>
  <si>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</si>
  <si>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</si>
  <si>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</si>
  <si>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</si>
  <si>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</si>
  <si>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</si>
  <si>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</si>
  <si>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</si>
  <si>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</si>
  <si>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</si>
  <si>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</si>
  <si>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</si>
  <si>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</si>
  <si>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</si>
  <si>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</si>
  <si>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</si>
  <si>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</si>
  <si>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</si>
  <si>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</si>
  <si>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</si>
  <si>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</si>
  <si>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</si>
  <si>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</si>
  <si>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</si>
  <si>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</si>
  <si>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</si>
  <si>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</si>
  <si>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</si>
  <si>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</si>
  <si>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</si>
  <si>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</si>
  <si>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</si>
  <si>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</si>
  <si>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</si>
  <si>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</si>
  <si>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</si>
  <si>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</si>
  <si>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</si>
  <si>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</si>
  <si>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</si>
  <si>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</si>
  <si>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</si>
  <si>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</si>
  <si>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</si>
  <si>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</si>
  <si>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</si>
  <si>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</si>
  <si>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</si>
  <si>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</si>
  <si>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</si>
  <si>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</si>
  <si>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</si>
  <si>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</si>
  <si>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</si>
  <si>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</si>
  <si>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</si>
  <si>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</si>
  <si>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</si>
  <si>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</si>
  <si>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</si>
  <si>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</si>
  <si>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</si>
  <si>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</si>
  <si>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</si>
  <si>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</si>
  <si>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</si>
  <si>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</si>
  <si>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</si>
  <si>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</si>
  <si>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</si>
  <si>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</si>
  <si>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</si>
  <si>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</si>
  <si>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</si>
  <si>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</si>
  <si>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</si>
  <si>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</si>
  <si>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</si>
  <si>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</si>
  <si>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</si>
  <si>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</si>
  <si>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</si>
  <si>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</si>
  <si>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</si>
  <si>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</si>
  <si>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</si>
  <si>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</si>
  <si>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</si>
  <si>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</si>
  <si>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</si>
  <si>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</si>
  <si>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</si>
  <si>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</si>
  <si>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</si>
  <si>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</si>
  <si>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</si>
  <si>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</si>
  <si>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</si>
  <si>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</si>
  <si>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</si>
  <si>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</si>
  <si>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</si>
  <si>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</si>
  <si>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</si>
  <si>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</si>
  <si>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</si>
  <si>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</si>
  <si>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</si>
  <si>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</si>
  <si>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</si>
  <si>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</si>
  <si>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</si>
  <si>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</si>
  <si>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</si>
  <si>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</si>
  <si>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</si>
  <si>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</si>
  <si>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</si>
  <si>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</si>
  <si>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</si>
  <si>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</si>
  <si>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</si>
  <si>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</si>
  <si>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</si>
  <si>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</si>
  <si>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</si>
  <si>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</si>
  <si>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</si>
  <si>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</si>
  <si>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</si>
  <si>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</si>
  <si>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</si>
  <si>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</si>
  <si>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</si>
  <si>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</si>
  <si>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</si>
  <si>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</si>
  <si>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</si>
  <si>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</si>
  <si>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</si>
  <si>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</si>
  <si>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</si>
  <si>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</si>
  <si>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</si>
  <si>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</si>
  <si>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</si>
  <si>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</si>
  <si>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</si>
  <si>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</si>
  <si>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</si>
  <si>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</si>
  <si>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</si>
  <si>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</si>
  <si>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</si>
  <si>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</si>
  <si>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</si>
  <si>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</si>
  <si>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</si>
  <si>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</si>
  <si>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</si>
  <si>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</si>
  <si>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</si>
  <si>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</si>
  <si>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</si>
  <si>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</si>
  <si>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</si>
  <si>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</si>
  <si>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</si>
  <si>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</si>
  <si>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</si>
  <si>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</si>
  <si>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</si>
  <si>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</si>
  <si>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</si>
  <si>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</si>
  <si>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</si>
  <si>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</si>
  <si>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</si>
  <si>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</si>
  <si>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</si>
  <si>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</si>
  <si>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</si>
  <si>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</si>
  <si>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</si>
  <si>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</si>
  <si>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</si>
  <si>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</si>
  <si>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</si>
  <si>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</si>
  <si>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</si>
  <si>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</si>
  <si>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</si>
  <si>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</si>
  <si>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</si>
  <si>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</si>
  <si>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</si>
  <si>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</si>
  <si>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</si>
  <si>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</si>
  <si>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</si>
  <si>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</si>
  <si>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</si>
  <si>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</si>
  <si>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</si>
  <si>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</si>
  <si>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</si>
  <si>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</si>
  <si>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</si>
  <si>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</si>
  <si>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</si>
  <si>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</si>
  <si>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</si>
  <si>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</si>
  <si>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</si>
  <si>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</si>
  <si>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</si>
  <si>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</si>
  <si>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</si>
  <si>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</si>
  <si>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</si>
  <si>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</si>
  <si>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</si>
  <si>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</si>
  <si>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</si>
  <si>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</si>
  <si>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</si>
  <si>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</si>
  <si>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</si>
  <si>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</si>
  <si>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</si>
  <si>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</si>
  <si>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</si>
  <si>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</si>
  <si>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</si>
  <si>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</si>
  <si>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</si>
  <si>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</si>
  <si>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</si>
  <si>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</si>
  <si>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</si>
  <si>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</si>
  <si>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</si>
  <si>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</si>
  <si>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</si>
  <si>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</si>
  <si>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</si>
  <si>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</si>
  <si>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</si>
  <si>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</si>
  <si>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</si>
  <si>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</si>
  <si>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</si>
  <si>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</si>
  <si>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</si>
  <si>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</si>
  <si>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</si>
  <si>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</si>
  <si>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</si>
  <si>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</si>
  <si>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</si>
  <si>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</si>
  <si>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</si>
  <si>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</si>
  <si>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</si>
  <si>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</si>
  <si>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</si>
  <si>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</si>
  <si>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</si>
  <si>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</si>
  <si>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</si>
  <si>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</si>
  <si>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</si>
  <si>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</si>
  <si>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</si>
  <si>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</si>
  <si>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</si>
  <si>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</si>
  <si>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</si>
  <si>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</si>
  <si>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</si>
  <si>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</si>
  <si>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</si>
  <si>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</si>
  <si>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</si>
  <si>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</si>
  <si>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</si>
  <si>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</si>
  <si>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</si>
  <si>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</si>
  <si>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</si>
  <si>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</si>
  <si>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</si>
  <si>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</si>
  <si>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</si>
  <si>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</si>
  <si>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</si>
  <si>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</si>
  <si>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</si>
  <si>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</si>
  <si>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</si>
  <si>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</si>
  <si>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</si>
  <si>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</si>
  <si>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</si>
  <si>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</si>
  <si>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</si>
  <si>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</si>
  <si>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</si>
  <si>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</si>
  <si>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</si>
  <si>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</si>
  <si>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</si>
  <si>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</si>
  <si>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</si>
  <si>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</si>
  <si>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</si>
  <si>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</si>
  <si>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</si>
  <si>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</si>
  <si>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</si>
  <si>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</si>
  <si>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</si>
  <si>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</si>
  <si>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</si>
  <si>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</si>
  <si>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</si>
  <si>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</si>
  <si>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</si>
  <si>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</si>
  <si>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</si>
  <si>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</si>
  <si>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</si>
  <si>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</si>
  <si>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</si>
  <si>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</si>
  <si>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</si>
  <si>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</si>
  <si>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</si>
  <si>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</si>
  <si>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</si>
  <si>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</si>
  <si>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</si>
  <si>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</si>
  <si>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</si>
  <si>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</si>
  <si>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</si>
  <si>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</si>
  <si>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</si>
  <si>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</si>
  <si>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</si>
  <si>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</si>
  <si>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</si>
  <si>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</si>
  <si>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</si>
  <si>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</si>
  <si>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</si>
  <si>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</si>
  <si>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</si>
  <si>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</si>
  <si>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</si>
  <si>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</si>
  <si>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</si>
  <si>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</si>
  <si>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</si>
  <si>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</si>
  <si>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</si>
  <si>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</si>
  <si>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</si>
  <si>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</si>
  <si>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</si>
  <si>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</si>
  <si>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</si>
  <si>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</si>
  <si>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</si>
  <si>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</si>
  <si>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</si>
  <si>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</si>
  <si>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</si>
  <si>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</si>
  <si>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</si>
  <si>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</si>
  <si>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</si>
  <si>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</si>
  <si>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</si>
  <si>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</si>
  <si>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</si>
  <si>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</si>
  <si>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</si>
  <si>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</si>
  <si>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</si>
  <si>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</si>
  <si>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</si>
  <si>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</si>
  <si>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</si>
  <si>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</si>
  <si>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</si>
  <si>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</si>
  <si>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</si>
  <si>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</si>
  <si>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</si>
  <si>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</si>
  <si>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</si>
  <si>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</si>
  <si>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</si>
  <si>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</si>
  <si>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</si>
  <si>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</si>
  <si>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</si>
  <si>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</si>
  <si>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</si>
  <si>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</si>
  <si>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</si>
  <si>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</si>
  <si>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</si>
  <si>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</si>
  <si>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</si>
  <si>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</si>
  <si>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</si>
  <si>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</si>
  <si>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</si>
  <si>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</si>
  <si>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</si>
  <si>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</si>
  <si>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</si>
  <si>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</si>
  <si>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</si>
  <si>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</si>
  <si>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</si>
  <si>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</si>
  <si>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</si>
  <si>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</si>
  <si>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</si>
  <si>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</si>
  <si>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</si>
  <si>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</si>
  <si>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</si>
  <si>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</si>
  <si>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</si>
  <si>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</si>
  <si>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</si>
  <si>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</si>
  <si>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</si>
  <si>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</si>
  <si>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</si>
  <si>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</si>
  <si>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</si>
  <si>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</si>
  <si>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</si>
  <si>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</si>
  <si>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</si>
  <si>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</si>
  <si>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</si>
  <si>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</si>
  <si>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</si>
  <si>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</si>
  <si>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</si>
  <si>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</si>
  <si>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</si>
  <si>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</si>
  <si>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</si>
  <si>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</si>
  <si>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</si>
  <si>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</si>
  <si>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</si>
  <si>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</si>
  <si>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</si>
  <si>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</si>
  <si>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</si>
  <si>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</si>
  <si>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</si>
  <si>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</si>
  <si>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</si>
  <si>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</si>
  <si>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</si>
  <si>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</si>
  <si>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</si>
  <si>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</si>
  <si>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</si>
  <si>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</si>
  <si>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</si>
  <si>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</si>
  <si>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</si>
  <si>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</si>
  <si>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</si>
  <si>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</si>
  <si>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</si>
  <si>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</si>
  <si>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</si>
  <si>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</si>
  <si>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</si>
  <si>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</si>
  <si>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</si>
  <si>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</si>
  <si>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</si>
  <si>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</si>
  <si>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</si>
  <si>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</si>
  <si>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</si>
  <si>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</si>
  <si>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</si>
  <si>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</si>
  <si>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</si>
  <si>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</si>
  <si>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</si>
  <si>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</si>
  <si>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</si>
  <si>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</si>
  <si>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</si>
  <si>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</si>
  <si>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</si>
  <si>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</si>
  <si>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</si>
  <si>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</si>
  <si>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</si>
  <si>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</si>
  <si>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</si>
  <si>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</si>
  <si>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</si>
  <si>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</si>
  <si>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</si>
  <si>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</si>
  <si>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</si>
  <si>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</si>
  <si>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</si>
  <si>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</si>
  <si>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</si>
  <si>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</si>
  <si>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</si>
  <si>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</si>
  <si>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</si>
  <si>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</si>
  <si>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</si>
  <si>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</si>
  <si>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</si>
  <si>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</si>
  <si>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</si>
  <si>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</si>
  <si>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</si>
  <si>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</si>
  <si>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</si>
  <si>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</si>
  <si>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</si>
  <si>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</si>
  <si>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</si>
  <si>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</si>
  <si>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</si>
  <si>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</si>
  <si>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</si>
  <si>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</si>
  <si>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</si>
  <si>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</si>
  <si>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</si>
  <si>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</si>
  <si>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</si>
  <si>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</si>
  <si>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</si>
  <si>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</si>
  <si>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</si>
  <si>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</si>
  <si>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</si>
  <si>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</si>
  <si>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</si>
  <si>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</si>
  <si>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</si>
  <si>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</si>
  <si>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</si>
  <si>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</si>
  <si>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</si>
  <si>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</si>
  <si>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</si>
  <si>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</si>
  <si>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</si>
  <si>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</si>
  <si>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</si>
  <si>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</si>
  <si>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</si>
  <si>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</si>
  <si>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</si>
  <si>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</si>
  <si>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</si>
  <si>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</si>
  <si>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</si>
  <si>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</si>
  <si>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</si>
  <si>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</si>
  <si>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</si>
  <si>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</si>
  <si>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</si>
  <si>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</si>
  <si>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</si>
  <si>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</si>
  <si>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</si>
  <si>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</si>
  <si>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</si>
  <si>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</si>
  <si>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</si>
  <si>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</si>
  <si>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</si>
  <si>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</si>
  <si>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</si>
  <si>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</si>
  <si>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</si>
  <si>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</si>
  <si>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</si>
  <si>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</si>
  <si>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</si>
  <si>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</si>
  <si>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</si>
  <si>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</si>
  <si>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</si>
  <si>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</si>
  <si>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</si>
  <si>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</si>
  <si>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</si>
  <si>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</si>
  <si>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</si>
  <si>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</si>
  <si>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</si>
  <si>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</si>
  <si>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</si>
  <si>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</si>
  <si>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</si>
  <si>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</si>
  <si>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</si>
  <si>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</si>
  <si>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</si>
  <si>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</si>
  <si>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</si>
  <si>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</si>
  <si>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</si>
  <si>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</si>
  <si>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</si>
  <si>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</si>
  <si>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</si>
  <si>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</si>
  <si>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</si>
  <si>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</si>
  <si>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</si>
  <si>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</si>
  <si>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</si>
  <si>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</si>
  <si>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</si>
  <si>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</si>
  <si>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</si>
  <si>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</si>
  <si>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</si>
  <si>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</si>
  <si>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</si>
  <si>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</si>
  <si>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</si>
  <si>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</si>
  <si>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</si>
  <si>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</si>
  <si>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</si>
  <si>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</si>
  <si>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</si>
  <si>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</si>
  <si>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</si>
  <si>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</si>
  <si>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</si>
  <si>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</si>
  <si>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</si>
  <si>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</si>
  <si>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</si>
  <si>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</si>
  <si>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</si>
  <si>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</si>
  <si>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</si>
  <si>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</si>
  <si>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</si>
  <si>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</si>
  <si>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</si>
  <si>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</si>
  <si>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</si>
  <si>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</si>
  <si>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</si>
  <si>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</si>
  <si>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</si>
  <si>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</si>
  <si>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</si>
  <si>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</si>
  <si>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</si>
  <si>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</si>
  <si>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</si>
  <si>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</si>
  <si>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</si>
  <si>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</si>
  <si>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</si>
  <si>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</si>
  <si>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</si>
  <si>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</si>
  <si>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</si>
  <si>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</si>
  <si>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</si>
  <si>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</si>
  <si>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</si>
  <si>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</si>
  <si>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</si>
  <si>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</si>
  <si>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</si>
  <si>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</si>
  <si>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</si>
  <si>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</si>
  <si>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</si>
  <si>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</si>
  <si>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</si>
  <si>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</si>
  <si>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</si>
  <si>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</si>
  <si>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</si>
  <si>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</si>
  <si>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</si>
  <si>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</si>
  <si>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</si>
  <si>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</si>
  <si>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</si>
  <si>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</si>
  <si>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</si>
  <si>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</si>
  <si>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</si>
  <si>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</si>
  <si>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</si>
  <si>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</si>
  <si>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</si>
  <si>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</si>
  <si>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</si>
  <si>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</si>
  <si>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</si>
  <si>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</si>
  <si>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</si>
  <si>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</si>
  <si>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</si>
  <si>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</si>
  <si>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</si>
  <si>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</si>
  <si>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</si>
  <si>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</si>
  <si>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</si>
  <si>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</si>
  <si>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</si>
  <si>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</si>
  <si>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</si>
  <si>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</si>
  <si>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</si>
  <si>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</si>
  <si>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</si>
  <si>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</si>
  <si>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</si>
  <si>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</si>
  <si>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</si>
  <si>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</si>
  <si>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</si>
  <si>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</si>
  <si>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</si>
  <si>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</si>
  <si>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</si>
  <si>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</si>
  <si>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</si>
  <si>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</si>
  <si>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</si>
  <si>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</si>
  <si>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</si>
  <si>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</si>
  <si>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</si>
  <si>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</si>
  <si>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</si>
  <si>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</si>
  <si>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</si>
  <si>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</si>
  <si>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</si>
  <si>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</si>
  <si>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</si>
  <si>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</si>
  <si>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</si>
  <si>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</si>
  <si>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</si>
  <si>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</si>
  <si>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</si>
  <si>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</si>
  <si>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</si>
  <si>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</si>
  <si>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</si>
  <si>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</si>
  <si>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</si>
  <si>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</si>
  <si>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</si>
  <si>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</si>
  <si>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</si>
  <si>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</si>
  <si>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</si>
  <si>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</si>
  <si>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</si>
  <si>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</si>
  <si>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</si>
  <si>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</si>
  <si>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</si>
  <si>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</si>
  <si>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</si>
  <si>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</si>
  <si>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</si>
  <si>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</si>
  <si>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</si>
  <si>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</si>
  <si>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</si>
  <si>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</si>
  <si>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</si>
  <si>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</si>
  <si>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</si>
  <si>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</si>
  <si>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</si>
  <si>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</si>
  <si>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</si>
  <si>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</si>
  <si>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</si>
  <si>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</si>
  <si>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</si>
  <si>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</si>
  <si>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</si>
  <si>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</si>
  <si>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</si>
  <si>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</si>
  <si>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</si>
  <si>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</si>
  <si>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</si>
  <si>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</si>
  <si>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</si>
  <si>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</si>
  <si>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</si>
  <si>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</si>
  <si>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</si>
  <si>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</si>
  <si>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</si>
  <si>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</si>
  <si>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</si>
  <si>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</si>
  <si>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</si>
  <si>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</si>
  <si>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</si>
  <si>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</si>
  <si>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</si>
  <si>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</si>
  <si>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</si>
  <si>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</si>
  <si>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</si>
  <si>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</si>
  <si>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</si>
  <si>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</si>
  <si>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</si>
  <si>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</si>
  <si>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</si>
  <si>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</si>
  <si>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</si>
  <si>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</si>
  <si>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</si>
  <si>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</si>
  <si>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</si>
  <si>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</si>
  <si>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</si>
  <si>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</si>
  <si>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</si>
  <si>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</si>
  <si>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</si>
  <si>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</si>
  <si>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</si>
  <si>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</si>
  <si>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</si>
  <si>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</si>
  <si>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</si>
  <si>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</si>
  <si>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</si>
  <si>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</si>
  <si>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</si>
  <si>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</si>
  <si>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</si>
  <si>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</si>
  <si>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</si>
  <si>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</si>
  <si>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</si>
  <si>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</si>
  <si>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</si>
  <si>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</si>
  <si>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</si>
  <si>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</si>
  <si>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</si>
  <si>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</si>
  <si>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</si>
  <si>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</si>
  <si>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</si>
  <si>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</si>
  <si>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</si>
  <si>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</si>
  <si>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</si>
  <si>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</si>
  <si>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</si>
  <si>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</si>
  <si>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</si>
  <si>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</si>
  <si>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</si>
  <si>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</si>
  <si>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</si>
  <si>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</si>
  <si>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</si>
  <si>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</si>
  <si>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</si>
  <si>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</si>
  <si>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</si>
  <si>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</si>
  <si>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</si>
  <si>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</si>
  <si>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</si>
  <si>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</si>
  <si>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</si>
  <si>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</si>
  <si>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</si>
  <si>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</si>
  <si>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</si>
  <si>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</si>
  <si>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</si>
  <si>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</si>
  <si>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</si>
  <si>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</si>
  <si>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</si>
  <si>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</si>
  <si>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</si>
  <si>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</si>
  <si>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</si>
  <si>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</si>
  <si>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</si>
  <si>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</si>
  <si>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</si>
  <si>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</si>
  <si>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</si>
  <si>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</si>
  <si>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</si>
  <si>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</si>
  <si>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</si>
  <si>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</si>
  <si>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</si>
  <si>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</si>
  <si>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</si>
  <si>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</si>
  <si>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</si>
  <si>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</si>
  <si>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</si>
  <si>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</si>
  <si>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</si>
  <si>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</si>
  <si>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</si>
  <si>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</si>
  <si>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</si>
  <si>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</si>
  <si>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</si>
  <si>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</si>
  <si>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</si>
  <si>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</si>
  <si>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</si>
  <si>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</si>
  <si>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</si>
  <si>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</si>
  <si>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</si>
  <si>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</si>
  <si>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</si>
  <si>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</si>
  <si>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</si>
  <si>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</si>
  <si>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</si>
  <si>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</si>
  <si>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</si>
  <si>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</si>
  <si>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</si>
  <si>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</si>
  <si>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</si>
  <si>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</si>
  <si>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</si>
  <si>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</si>
  <si>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</si>
  <si>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</si>
  <si>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</si>
  <si>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</si>
  <si>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</si>
  <si>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</si>
  <si>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</si>
  <si>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</si>
  <si>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</si>
  <si>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</si>
  <si>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</si>
  <si>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</si>
  <si>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</si>
  <si>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</si>
  <si>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</si>
  <si>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</si>
  <si>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</si>
  <si>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</si>
  <si>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</si>
  <si>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</si>
  <si>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</si>
  <si>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</si>
  <si>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</si>
  <si>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</si>
  <si>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</si>
  <si>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</si>
  <si>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</si>
  <si>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</si>
  <si>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</si>
  <si>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</si>
  <si>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</si>
  <si>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</si>
  <si>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</si>
  <si>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</si>
  <si>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</si>
  <si>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</si>
  <si>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</si>
  <si>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</si>
  <si>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</si>
  <si>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</si>
  <si>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</si>
  <si>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</si>
  <si>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</si>
  <si>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</si>
  <si>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</si>
  <si>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</si>
  <si>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</si>
  <si>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</si>
  <si>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</si>
  <si>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</si>
  <si>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</si>
  <si>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</si>
  <si>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</si>
  <si>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</si>
  <si>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</si>
  <si>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</si>
  <si>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</si>
  <si>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</si>
  <si>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</si>
  <si>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</si>
  <si>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</si>
  <si>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</si>
  <si>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</si>
  <si>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</si>
  <si>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</si>
  <si>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</si>
  <si>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</si>
  <si>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</si>
  <si>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</si>
  <si>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</si>
  <si>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</si>
  <si>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</si>
  <si>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</si>
  <si>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</si>
  <si>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</si>
  <si>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</si>
  <si>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</si>
  <si>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</si>
  <si>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</si>
  <si>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</si>
  <si>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</si>
  <si>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</si>
  <si>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</si>
  <si>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</si>
  <si>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</si>
  <si>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</si>
  <si>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</si>
  <si>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</si>
  <si>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</si>
  <si>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</si>
  <si>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</si>
  <si>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</si>
  <si>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</si>
  <si>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</si>
  <si>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</si>
  <si>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</si>
  <si>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</si>
  <si>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</si>
  <si>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</si>
  <si>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</si>
  <si>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</si>
  <si>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</si>
  <si>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</si>
  <si>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</si>
  <si>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</si>
  <si>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</si>
  <si>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</si>
  <si>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</si>
  <si>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</si>
  <si>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</si>
  <si>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</si>
  <si>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</si>
  <si>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</si>
  <si>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</si>
  <si>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</si>
  <si>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</si>
  <si>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</si>
  <si>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</si>
  <si>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</si>
  <si>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</si>
  <si>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</si>
  <si>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</si>
  <si>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</si>
  <si>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</si>
  <si>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</si>
  <si>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</si>
  <si>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</si>
  <si>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</si>
  <si>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</si>
  <si>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</si>
  <si>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</si>
  <si>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</si>
  <si>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</si>
  <si>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</si>
  <si>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</si>
  <si>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</si>
  <si>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</si>
  <si>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</si>
  <si>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</si>
  <si>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</si>
  <si>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</si>
  <si>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</si>
  <si>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</si>
  <si>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</si>
  <si>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</si>
  <si>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</si>
  <si>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</si>
  <si>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</si>
  <si>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</si>
  <si>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</si>
  <si>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</si>
  <si>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</si>
  <si>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</si>
  <si>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</si>
  <si>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</si>
  <si>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</si>
  <si>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</si>
  <si>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</si>
  <si>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</si>
  <si>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</si>
  <si>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</si>
  <si>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</si>
  <si>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</si>
  <si>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</si>
  <si>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</si>
  <si>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</si>
  <si>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</si>
  <si>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</si>
  <si>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</si>
  <si>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</si>
  <si>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</si>
  <si>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</si>
  <si>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</si>
  <si>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</si>
  <si>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</si>
  <si>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</si>
  <si>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</si>
  <si>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</si>
  <si>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</si>
  <si>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</si>
  <si>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</si>
  <si>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</si>
  <si>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</si>
  <si>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</si>
  <si>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</si>
  <si>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</si>
  <si>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</si>
  <si>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</si>
  <si>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</si>
  <si>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</si>
  <si>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</si>
  <si>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</si>
  <si>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</si>
  <si>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</si>
  <si>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</si>
  <si>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</si>
  <si>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</si>
  <si>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</si>
  <si>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</si>
  <si>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</si>
  <si>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</si>
  <si>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</si>
  <si>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</si>
  <si>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</si>
  <si>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</si>
  <si>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</si>
  <si>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</si>
  <si>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</si>
  <si>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</si>
  <si>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</si>
  <si>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</si>
  <si>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</si>
  <si>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</si>
  <si>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</si>
  <si>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</si>
  <si>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</si>
  <si>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</si>
  <si>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</si>
  <si>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</si>
  <si>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</si>
  <si>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</si>
  <si>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</si>
  <si>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</si>
  <si>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</si>
  <si>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</si>
  <si>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</si>
  <si>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</si>
  <si>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</si>
  <si>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</si>
  <si>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</si>
  <si>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</si>
  <si>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</si>
  <si>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</si>
  <si>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</si>
  <si>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</si>
  <si>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</si>
  <si>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</si>
  <si>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</si>
  <si>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</si>
  <si>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</si>
  <si>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</si>
  <si>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</si>
  <si>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</si>
  <si>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</si>
  <si>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</si>
  <si>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</si>
  <si>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</si>
  <si>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</si>
  <si>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</si>
  <si>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</si>
  <si>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</si>
  <si>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</si>
  <si>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</si>
  <si>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</si>
  <si>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</si>
  <si>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</si>
  <si>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</si>
  <si>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</si>
  <si>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</si>
  <si>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</si>
  <si>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</si>
  <si>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</si>
  <si>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</si>
  <si>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</si>
  <si>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</si>
  <si>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</si>
  <si>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</si>
  <si>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</si>
  <si>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</si>
  <si>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</si>
  <si>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</si>
  <si>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</si>
  <si>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</si>
  <si>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</si>
  <si>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</si>
  <si>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</si>
  <si>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</si>
  <si>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</si>
  <si>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</si>
  <si>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</si>
  <si>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</si>
  <si>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</si>
  <si>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</si>
  <si>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</si>
  <si>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</si>
  <si>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</si>
  <si>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</si>
  <si>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</si>
  <si>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</si>
  <si>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</si>
  <si>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</si>
  <si>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</si>
  <si>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</si>
  <si>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</si>
  <si>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</si>
  <si>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</si>
  <si>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</si>
  <si>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</si>
  <si>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</si>
  <si>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</si>
  <si>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</si>
  <si>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</si>
  <si>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</si>
  <si>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</si>
  <si>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</si>
  <si>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</si>
  <si>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</si>
  <si>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</si>
  <si>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</si>
  <si>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</si>
  <si>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</si>
  <si>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</si>
  <si>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</si>
  <si>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</si>
  <si>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</si>
  <si>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</si>
  <si>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</si>
  <si>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</si>
  <si>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</si>
  <si>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</si>
  <si>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</si>
  <si>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</si>
  <si>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</si>
  <si>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</si>
  <si>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</si>
  <si>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</si>
  <si>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</si>
  <si>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</si>
  <si>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</si>
  <si>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</si>
  <si>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</si>
  <si>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</si>
  <si>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</si>
  <si>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</si>
  <si>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</si>
  <si>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</si>
  <si>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</si>
  <si>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</si>
  <si>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</si>
  <si>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</si>
  <si>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</si>
  <si>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</si>
  <si>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</si>
  <si>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</si>
  <si>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</si>
  <si>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</si>
  <si>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</si>
  <si>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</si>
  <si>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</si>
  <si>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</si>
  <si>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</si>
  <si>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</si>
  <si>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</si>
  <si>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</si>
  <si>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</si>
  <si>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</si>
  <si>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</si>
  <si>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</si>
  <si>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</si>
  <si>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</si>
  <si>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</si>
  <si>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</si>
  <si>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</si>
  <si>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</si>
  <si>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</si>
  <si>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</si>
  <si>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</si>
  <si>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</si>
  <si>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</si>
  <si>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</si>
  <si>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</si>
  <si>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</si>
  <si>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</si>
  <si>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</si>
  <si>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</si>
  <si>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</si>
  <si>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</si>
  <si>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</si>
  <si>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</si>
  <si>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</si>
  <si>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</si>
  <si>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</si>
  <si>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</si>
  <si>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</si>
  <si>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</si>
  <si>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</si>
  <si>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</si>
  <si>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</si>
  <si>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</si>
  <si>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</si>
  <si>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</si>
  <si>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</si>
  <si>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</si>
  <si>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</si>
  <si>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</si>
  <si>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</si>
  <si>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</si>
  <si>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</si>
  <si>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</si>
  <si>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</si>
  <si>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</si>
  <si>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</si>
  <si>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</si>
  <si>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</si>
  <si>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</si>
  <si>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</si>
  <si>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</si>
  <si>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</si>
  <si>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</si>
  <si>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</si>
  <si>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</si>
  <si>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</si>
  <si>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</si>
  <si>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</si>
  <si>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</si>
  <si>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</si>
  <si>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</si>
  <si>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</si>
  <si>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</si>
  <si>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</si>
  <si>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</si>
  <si>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</si>
  <si>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</si>
  <si>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</si>
  <si>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</si>
  <si>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</si>
  <si>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</si>
  <si>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</si>
  <si>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</si>
  <si>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</si>
  <si>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</si>
  <si>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</si>
  <si>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</si>
  <si>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</si>
  <si>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</si>
  <si>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</si>
  <si>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</si>
  <si>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</si>
  <si>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</si>
  <si>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</si>
  <si>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</si>
  <si>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</si>
  <si>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</si>
  <si>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</si>
  <si>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</si>
  <si>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</si>
  <si>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</si>
  <si>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</si>
  <si>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</si>
  <si>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</si>
  <si>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</si>
  <si>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</si>
  <si>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</si>
  <si>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</si>
  <si>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</si>
  <si>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</si>
  <si>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</si>
  <si>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</si>
  <si>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</si>
  <si>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</si>
  <si>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</si>
  <si>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</si>
  <si>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</si>
  <si>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</si>
  <si>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</si>
  <si>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</si>
  <si>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</si>
  <si>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</si>
  <si>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</si>
  <si>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</si>
  <si>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</si>
  <si>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</si>
  <si>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</si>
  <si>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</si>
  <si>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</si>
  <si>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</si>
  <si>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</si>
  <si>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</si>
  <si>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</si>
  <si>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</si>
  <si>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</si>
  <si>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</si>
  <si>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</si>
  <si>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</si>
  <si>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</si>
  <si>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</si>
  <si>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</si>
  <si>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</si>
  <si>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</si>
  <si>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</si>
  <si>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</si>
  <si>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</si>
  <si>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</si>
  <si>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</si>
  <si>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</si>
  <si>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</si>
  <si>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</si>
  <si>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</si>
  <si>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</si>
  <si>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</si>
  <si>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</si>
  <si>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</si>
  <si>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</si>
  <si>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</si>
  <si>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</si>
  <si>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</si>
  <si>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</si>
  <si>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</si>
  <si>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</si>
  <si>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</si>
  <si>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</si>
  <si>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</si>
  <si>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</si>
  <si>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</si>
  <si>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</si>
  <si>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</si>
  <si>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</si>
  <si>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</si>
  <si>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</si>
  <si>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</si>
  <si>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</si>
  <si>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</si>
  <si>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</si>
  <si>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</si>
  <si>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</si>
  <si>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</si>
  <si>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</si>
  <si>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</si>
  <si>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</si>
  <si>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</si>
  <si>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</si>
  <si>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</si>
  <si>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</si>
  <si>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</si>
  <si>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</si>
  <si>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</si>
  <si>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</si>
  <si>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</si>
  <si>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</si>
  <si>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</si>
  <si>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</si>
  <si>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</si>
  <si>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</si>
  <si>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</si>
  <si>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</si>
  <si>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</si>
  <si>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</si>
  <si>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</si>
  <si>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</si>
  <si>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</si>
  <si>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</si>
  <si>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</si>
  <si>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</si>
  <si>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</si>
  <si>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</si>
  <si>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</si>
  <si>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</si>
  <si>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</si>
  <si>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</si>
  <si>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</si>
  <si>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</si>
  <si>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</si>
  <si>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</si>
  <si>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</si>
  <si>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</si>
  <si>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</si>
  <si>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</si>
  <si>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</si>
  <si>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</si>
  <si>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</si>
  <si>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</si>
  <si>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</si>
  <si>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</si>
  <si>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</si>
  <si>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</si>
  <si>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</si>
  <si>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</si>
  <si>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</si>
  <si>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</si>
  <si>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</si>
  <si>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</si>
  <si>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</si>
  <si>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</si>
  <si>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</si>
  <si>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</si>
  <si>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</si>
  <si>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</si>
  <si>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</si>
  <si>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</si>
  <si>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</si>
  <si>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</si>
  <si>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</si>
  <si>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</si>
  <si>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</si>
  <si>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</si>
  <si>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</si>
  <si>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</si>
  <si>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</si>
  <si>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</si>
  <si>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</si>
  <si>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</si>
  <si>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</si>
  <si>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</si>
  <si>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</si>
  <si>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</si>
  <si>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</si>
  <si>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</si>
  <si>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</si>
  <si>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</si>
  <si>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</si>
  <si>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</si>
  <si>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</si>
  <si>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</si>
  <si>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</si>
  <si>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</si>
  <si>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</si>
  <si>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</si>
  <si>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</si>
  <si>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</si>
  <si>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</si>
  <si>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</si>
  <si>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</si>
  <si>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</si>
  <si>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</si>
  <si>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</si>
  <si>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</si>
  <si>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</si>
  <si>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</si>
  <si>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</si>
  <si>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</si>
  <si>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</si>
  <si>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</si>
  <si>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</si>
  <si>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</si>
  <si>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</si>
  <si>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</si>
  <si>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</si>
  <si>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</si>
  <si>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</si>
  <si>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</si>
  <si>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</si>
  <si>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</si>
  <si>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</si>
  <si>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</si>
  <si>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</si>
  <si>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</si>
  <si>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</si>
  <si>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</si>
  <si>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</si>
  <si>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</si>
  <si>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</si>
  <si>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</si>
  <si>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</si>
  <si>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</si>
  <si>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</si>
  <si>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</si>
  <si>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</si>
  <si>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</si>
  <si>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</si>
  <si>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</si>
  <si>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</si>
  <si>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</si>
  <si>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</si>
  <si>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</si>
  <si>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</si>
  <si>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</si>
  <si>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</si>
  <si>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</si>
  <si>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</si>
  <si>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</si>
  <si>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</si>
  <si>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</si>
  <si>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</si>
  <si>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</si>
  <si>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</si>
  <si>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</si>
  <si>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</si>
  <si>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</si>
  <si>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</si>
  <si>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</si>
  <si>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</si>
  <si>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</si>
  <si>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</si>
  <si>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</si>
  <si>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</si>
  <si>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</si>
  <si>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</si>
  <si>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</si>
  <si>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</si>
  <si>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</si>
  <si>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</si>
  <si>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</si>
  <si>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</si>
  <si>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</si>
  <si>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</si>
  <si>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</si>
  <si>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</si>
  <si>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</si>
  <si>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</si>
  <si>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</si>
  <si>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</si>
  <si>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</si>
  <si>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</si>
  <si>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</si>
  <si>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</si>
  <si>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</si>
  <si>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</si>
  <si>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</si>
  <si>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</si>
  <si>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</si>
  <si>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</si>
  <si>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</si>
  <si>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</si>
  <si>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</si>
  <si>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</si>
  <si>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</si>
  <si>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</si>
  <si>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</si>
  <si>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</si>
  <si>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</si>
  <si>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</si>
  <si>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</si>
  <si>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</si>
  <si>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</si>
  <si>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</si>
  <si>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</si>
  <si>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</si>
  <si>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</si>
  <si>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</si>
  <si>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</si>
  <si>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</si>
  <si>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</si>
  <si>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</si>
  <si>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</si>
  <si>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</si>
  <si>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</si>
  <si>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</si>
  <si>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</si>
  <si>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</si>
  <si>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</si>
  <si>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</si>
  <si>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</si>
  <si>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</si>
  <si>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</si>
  <si>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</si>
  <si>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</si>
  <si>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</si>
  <si>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</si>
  <si>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</si>
  <si>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</si>
  <si>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</si>
  <si>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</si>
  <si>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</si>
  <si>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</si>
  <si>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</si>
  <si>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</si>
  <si>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</si>
  <si>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</si>
  <si>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</si>
  <si>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</si>
  <si>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</si>
  <si>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</si>
  <si>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</si>
  <si>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</si>
  <si>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</si>
  <si>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</si>
  <si>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</si>
  <si>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</si>
  <si>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</si>
  <si>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</si>
  <si>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</si>
  <si>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</si>
  <si>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</si>
  <si>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</si>
  <si>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</si>
  <si>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</si>
  <si>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</si>
  <si>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</si>
  <si>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</si>
  <si>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</si>
  <si>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</si>
  <si>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</si>
  <si>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</si>
  <si>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</si>
  <si>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</si>
  <si>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</si>
  <si>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</si>
  <si>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</si>
  <si>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</si>
  <si>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</si>
  <si>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</si>
  <si>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</si>
  <si>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</si>
  <si>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</si>
  <si>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</si>
  <si>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</si>
  <si>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</si>
  <si>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</si>
  <si>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</si>
  <si>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</si>
  <si>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</si>
  <si>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</si>
  <si>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</si>
  <si>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</si>
  <si>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</si>
  <si>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</si>
  <si>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</si>
  <si>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</si>
  <si>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</si>
  <si>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</si>
  <si>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</si>
  <si>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</si>
  <si>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办公楼</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</si>
  <si>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</si>
  <si>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</si>
  <si>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</si>
  <si>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</si>
  <si>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</si>
  <si>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</si>
  <si>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</si>
  <si>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</si>
  <si>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</si>
  <si>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</si>
  <si>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</si>
  <si>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</si>
  <si>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</si>
  <si>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</si>
  <si>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面积说明</t>
    <phoneticPr fontId="3" type="noConversion"/>
  </si>
  <si>
    <r>
      <t>1#</t>
    </r>
    <r>
      <rPr>
        <sz val="10"/>
        <color indexed="8"/>
        <rFont val="宋体"/>
        <family val="3"/>
        <charset val="134"/>
      </rPr>
      <t>商业办公楼</t>
    </r>
    <phoneticPr fontId="3" type="noConversion"/>
  </si>
  <si>
    <t>否</t>
  </si>
  <si>
    <t>底商</t>
  </si>
  <si>
    <r>
      <t>2#</t>
    </r>
    <r>
      <rPr>
        <sz val="10"/>
        <color indexed="8"/>
        <rFont val="宋体"/>
        <family val="3"/>
        <charset val="134"/>
      </rPr>
      <t>商业楼</t>
    </r>
    <phoneticPr fontId="3" type="noConversion"/>
  </si>
  <si>
    <r>
      <t>3#</t>
    </r>
    <r>
      <rPr>
        <sz val="10"/>
        <color indexed="8"/>
        <rFont val="宋体"/>
        <family val="3"/>
        <charset val="134"/>
      </rPr>
      <t>商业楼</t>
    </r>
    <phoneticPr fontId="3" type="noConversion"/>
  </si>
  <si>
    <t>两限房</t>
    <phoneticPr fontId="16" type="noConversion"/>
  </si>
  <si>
    <t>仓储</t>
  </si>
  <si>
    <t>戊类库房</t>
  </si>
  <si>
    <t>普通住宅</t>
  </si>
  <si>
    <t>欧红伟</t>
  </si>
  <si>
    <t>梁津</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</si>
  <si>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</si>
  <si>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</si>
  <si>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</si>
  <si>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</si>
  <si>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</si>
  <si>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</si>
  <si>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</si>
  <si>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</si>
  <si>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</si>
  <si>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</si>
  <si>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</si>
  <si>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</si>
  <si>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</si>
  <si>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</si>
  <si>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叠拼</t>
    <phoneticPr fontId="7" type="noConversion"/>
  </si>
  <si>
    <t>车库</t>
    <phoneticPr fontId="7" type="noConversion"/>
  </si>
  <si>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</si>
  <si>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</si>
  <si>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</si>
  <si>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</si>
  <si>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</si>
  <si>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</si>
  <si>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</si>
  <si>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</si>
  <si>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</si>
  <si>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</si>
  <si>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</si>
  <si>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</si>
  <si>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</si>
  <si>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</si>
  <si>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</si>
  <si>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</si>
  <si>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</si>
  <si>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</si>
  <si>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</si>
  <si>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</si>
  <si>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</si>
  <si>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</si>
  <si>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</si>
  <si>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</si>
  <si>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</si>
  <si>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</si>
  <si>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</si>
  <si>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</si>
  <si>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</si>
  <si>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</si>
  <si>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</si>
  <si>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</si>
  <si>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</si>
  <si>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</si>
  <si>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</si>
  <si>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</si>
  <si>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</si>
  <si>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</si>
  <si>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</si>
  <si>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</si>
  <si>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</si>
  <si>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</si>
  <si>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</si>
  <si>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</si>
  <si>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</si>
  <si>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</si>
  <si>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</si>
  <si>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</si>
  <si>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</si>
  <si>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</si>
  <si>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</si>
  <si>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</si>
  <si>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</si>
  <si>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</si>
  <si>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</si>
  <si>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</si>
  <si>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</si>
  <si>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</si>
  <si>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</si>
  <si>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</si>
  <si>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</si>
  <si>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</si>
  <si>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</si>
  <si>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</si>
  <si>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</si>
  <si>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</si>
  <si>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</si>
  <si>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</si>
  <si>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</si>
  <si>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</si>
  <si>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</si>
  <si>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</si>
  <si>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</si>
  <si>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</si>
  <si>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</si>
  <si>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</si>
  <si>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</si>
  <si>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</si>
  <si>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</si>
  <si>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</si>
  <si>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</si>
  <si>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</si>
  <si>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</si>
  <si>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</si>
  <si>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</si>
  <si>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</si>
  <si>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</si>
  <si>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</si>
  <si>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</si>
  <si>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</si>
  <si>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</si>
  <si>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</si>
  <si>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</si>
  <si>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</si>
  <si>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</si>
  <si>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</si>
  <si>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</si>
  <si>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</si>
  <si>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</si>
  <si>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</si>
  <si>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</si>
  <si>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北京市昌平区沙河高教园区住宅及配套设施二期(一)项目A6地块二类居住用地项目(配建公共租赁房)</t>
  </si>
  <si>
    <t>北京市昌平区沙河高教园区住宅及配套设施二期(一)项目A7、10地块二类居住用地项目(配建限价商品房、公共租赁房)</t>
  </si>
  <si>
    <t>昌平区沙河镇南一村居住项目用地</t>
  </si>
  <si>
    <t>保利(北京)房地产开发有限公司与北京金成华房地产开发有限公司联合体</t>
  </si>
  <si>
    <t>中关村科技园区昌平园东区三期联合储备开发项目0303-32-1地块普通商品住房项目国有建设用地</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</si>
  <si>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</si>
  <si>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</si>
  <si>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</si>
  <si>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</si>
  <si>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</si>
  <si>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</si>
  <si>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</si>
  <si>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</si>
  <si>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</si>
  <si>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</si>
  <si>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</si>
  <si>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</si>
  <si>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</si>
  <si>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</si>
  <si>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</si>
  <si>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</si>
  <si>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</si>
  <si>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</si>
  <si>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</si>
  <si>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</si>
  <si>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</si>
  <si>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</si>
  <si>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</si>
  <si>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</si>
  <si>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</si>
  <si>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成交日期</t>
  </si>
  <si>
    <t>2010-12-27</t>
  </si>
  <si>
    <t>2010-12-21</t>
  </si>
  <si>
    <t>2010-11-18</t>
  </si>
  <si>
    <t>2010-09-08</t>
  </si>
  <si>
    <t/>
  </si>
  <si>
    <t>2010-03-15</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</si>
  <si>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</si>
  <si>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</si>
  <si>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</si>
  <si>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</si>
  <si>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</si>
  <si>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</si>
  <si>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</si>
  <si>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</si>
  <si>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</si>
  <si>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</si>
  <si>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</si>
  <si>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</si>
  <si>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</si>
  <si>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</si>
  <si>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</si>
  <si>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</si>
  <si>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</si>
  <si>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</si>
  <si>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</si>
  <si>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</si>
  <si>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</si>
  <si>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</si>
  <si>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</si>
  <si>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</si>
  <si>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</si>
  <si>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</si>
  <si>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</si>
  <si>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</si>
  <si>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</si>
  <si>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</si>
  <si>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</si>
  <si>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</si>
  <si>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</si>
  <si>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</si>
  <si>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</si>
  <si>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</si>
  <si>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</si>
  <si>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</si>
  <si>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</si>
  <si>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大兴区黄村镇四街、五街、六街村项目DX00-0208-6001等地块</t>
  </si>
  <si>
    <t xml:space="preserve">   </t>
    <phoneticPr fontId="31" type="noConversion"/>
  </si>
  <si>
    <t>未包含在土地购买价格中</t>
  </si>
  <si>
    <t>收益法（车库）</t>
  </si>
  <si>
    <t>收益法（车库）</t>
    <phoneticPr fontId="16" type="noConversion"/>
  </si>
  <si>
    <t>在建（套用方法）</t>
  </si>
  <si>
    <t>钢混</t>
  </si>
  <si>
    <t>非生产用房</t>
  </si>
  <si>
    <t>泰禾拾景园</t>
    <phoneticPr fontId="3" type="noConversion"/>
  </si>
  <si>
    <t>正常</t>
  </si>
  <si>
    <t>住宅</t>
    <phoneticPr fontId="25"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</si>
  <si>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</si>
  <si>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</si>
  <si>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</si>
  <si>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</si>
  <si>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</si>
  <si>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</si>
  <si>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</si>
  <si>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</si>
  <si>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</si>
  <si>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</si>
  <si>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</si>
  <si>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</si>
  <si>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</si>
  <si>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</si>
  <si>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</si>
  <si>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</si>
  <si>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</si>
  <si>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</si>
  <si>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</si>
  <si>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</si>
  <si>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</si>
  <si>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</si>
  <si>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比较法-叠拼</t>
    <phoneticPr fontId="16" type="noConversion"/>
  </si>
  <si>
    <t>成本法</t>
  </si>
  <si>
    <t>假设开发法</t>
  </si>
  <si>
    <t>成本比率</t>
  </si>
  <si>
    <t>居住项目</t>
  </si>
  <si>
    <t>无</t>
  </si>
  <si>
    <t>含保障性住房</t>
  </si>
  <si>
    <t>限价商品房</t>
    <phoneticPr fontId="6" type="noConversion"/>
  </si>
  <si>
    <t>通路</t>
  </si>
  <si>
    <t>通电</t>
  </si>
  <si>
    <t>通讯</t>
  </si>
  <si>
    <t>通上水</t>
  </si>
  <si>
    <t>通下水</t>
  </si>
  <si>
    <t>燃气</t>
  </si>
  <si>
    <r>
      <t>2#</t>
    </r>
    <r>
      <rPr>
        <sz val="11"/>
        <color indexed="8"/>
        <rFont val="宋体"/>
        <family val="3"/>
        <charset val="134"/>
      </rPr>
      <t>地下车库</t>
    </r>
    <phoneticPr fontId="3" type="noConversion"/>
  </si>
  <si>
    <t>自定义</t>
  </si>
  <si>
    <t>按房产原值计税</t>
  </si>
  <si>
    <t>情况3</t>
  </si>
  <si>
    <t>非个人房产</t>
  </si>
  <si>
    <t>出让金+开发费</t>
  </si>
  <si>
    <t>F1</t>
  </si>
  <si>
    <t>F1</t>
    <phoneticPr fontId="31" type="noConversion"/>
  </si>
  <si>
    <t>金科天玺</t>
    <phoneticPr fontId="3" type="noConversion"/>
  </si>
  <si>
    <t>龙樾华府</t>
    <phoneticPr fontId="3" type="noConversion"/>
  </si>
  <si>
    <t>北京壹号庄园</t>
    <phoneticPr fontId="3" type="noConversion"/>
  </si>
  <si>
    <t>常兴庄组团北部地区B地块居住项目</t>
    <phoneticPr fontId="3" type="noConversion"/>
  </si>
  <si>
    <t>昌平京藏高速北安河出口向东约5公里</t>
    <phoneticPr fontId="3" type="noConversion"/>
  </si>
  <si>
    <t>北七家镇定泗路88号</t>
    <phoneticPr fontId="3" type="noConversion"/>
  </si>
  <si>
    <t>好</t>
  </si>
  <si>
    <t>独栋</t>
    <phoneticPr fontId="3" type="noConversion"/>
  </si>
  <si>
    <t>类独栋</t>
    <phoneticPr fontId="3" type="noConversion"/>
  </si>
  <si>
    <t>双拼</t>
    <phoneticPr fontId="3" type="noConversion"/>
  </si>
  <si>
    <t>联排</t>
    <phoneticPr fontId="3" type="noConversion"/>
  </si>
  <si>
    <t>叠拼</t>
    <phoneticPr fontId="3" type="noConversion"/>
  </si>
  <si>
    <t>类独栋</t>
  </si>
  <si>
    <t>独栋</t>
  </si>
  <si>
    <t>测绘</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</si>
</sst>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
      <i/>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56" fillId="0" borderId="0" xfId="13"/>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77" fontId="260" fillId="5" borderId="1" xfId="1" applyNumberFormat="1" applyFont="1" applyFill="1" applyBorder="1" applyAlignment="1" applyProtection="1">
      <alignment horizontal="center"/>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5" borderId="1" xfId="0" applyFont="1" applyFill="1" applyBorder="1" applyAlignment="1" applyProtection="1">
      <alignment horizontal="center" vertical="center"/>
    </xf>
    <xf numFmtId="0" fontId="106" fillId="5" borderId="37" xfId="0" applyNumberFormat="1" applyFont="1" applyFill="1" applyBorder="1" applyAlignment="1" applyProtection="1">
      <alignment horizontal="center" vertical="center" wrapText="1"/>
      <protection locked="0"/>
    </xf>
    <xf numFmtId="9" fontId="56" fillId="7" borderId="5"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410;&#24314;-&#26354;&#25935;20180315-131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6410;&#24314;-&#3964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48100.03</v>
          </cell>
          <cell r="E3">
            <v>176567.72</v>
          </cell>
        </row>
      </sheetData>
      <sheetData sheetId="14"/>
      <sheetData sheetId="15"/>
      <sheetData sheetId="16"/>
      <sheetData sheetId="17">
        <row r="19">
          <cell r="G19">
            <v>263434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329497</v>
          </cell>
        </row>
        <row r="59">
          <cell r="N59">
            <v>288695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北京市昌平区南邵镇（中关村科技园昌平园东区二期）0303-54地块出让国有建设用地使用权及在建建筑物房地产抵押价值预评估</v>
      </c>
    </row>
    <row r="3" spans="1:2" s="1594" customFormat="1">
      <c r="A3" s="1592" t="s">
        <v>1221</v>
      </c>
      <c r="B3" s="1593" t="str">
        <f>'预评函-封皮'!B40</f>
        <v>北京泰禾嘉兴房地产开发有限公司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受贵公司委托，我公司对北京市昌平区南邵镇（中关村科技园昌平园东区二期）0303-54地块出让国有建设用地使用权及在建建筑物房地产抵押价值进行了预评估。</v>
      </c>
    </row>
    <row r="7" spans="1:2" s="1594" customFormat="1">
      <c r="A7" s="1592" t="s">
        <v>1264</v>
      </c>
      <c r="B7" s="1593" t="str">
        <f>'预评函-1'!A7</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3435.11平方米，建筑面积为12609.74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3435.11平方米，规划建筑面积为12609.74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为估价委托人在向兴业银行、兴业信托办理贷款手续过程中，确定房地产抵押贷款额度提供参考依据而评估房地产抵押价值。</v>
      </c>
    </row>
    <row r="12" spans="1:2" s="1594" customFormat="1">
      <c r="A12" s="1592" t="s">
        <v>1226</v>
      </c>
      <c r="B12" s="1593" t="str">
        <f>'预评函-1'!A15</f>
        <v>2018年3月6日（评估专业人员实地查勘之日）</v>
      </c>
    </row>
    <row r="13" spans="1:2" s="1594" customFormat="1">
      <c r="A13" s="1592" t="s">
        <v>1227</v>
      </c>
      <c r="B13" s="1593"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16579</v>
      </c>
    </row>
    <row r="21" spans="1:2" s="1594" customFormat="1">
      <c r="A21" s="1592" t="s">
        <v>1235</v>
      </c>
      <c r="B21" s="1593">
        <f ca="1">'预评函-2'!D7</f>
        <v>13148</v>
      </c>
    </row>
    <row r="22" spans="1:2" s="1594" customFormat="1">
      <c r="A22" s="1592" t="s">
        <v>1236</v>
      </c>
      <c r="B22" s="1593" t="str">
        <f ca="1">'预评函-2'!D6</f>
        <v>壹亿陆仟伍佰柒拾玖万元整</v>
      </c>
    </row>
    <row r="23" spans="1:2" s="1594" customFormat="1">
      <c r="A23" s="1592" t="s">
        <v>1287</v>
      </c>
      <c r="B23" s="1593" t="str">
        <f>'预评函-2'!B8</f>
        <v>2.估价师知悉的法定优先受偿款</v>
      </c>
    </row>
    <row r="24" spans="1:2" s="1594" customFormat="1">
      <c r="A24" s="1592" t="s">
        <v>1293</v>
      </c>
      <c r="B24" s="1593">
        <f>'预评函-2'!D8</f>
        <v>1737</v>
      </c>
    </row>
    <row r="25" spans="1:2" s="1594" customFormat="1">
      <c r="A25" s="1592" t="s">
        <v>1237</v>
      </c>
      <c r="B25" s="1593" t="str">
        <f>'预评函-2'!D9</f>
        <v>壹仟柒佰叁拾柒万元整</v>
      </c>
    </row>
    <row r="26" spans="1:2" s="1594" customFormat="1">
      <c r="A26" s="1592" t="s">
        <v>1238</v>
      </c>
      <c r="B26" s="1593">
        <f>'预评函-2'!D10</f>
        <v>0</v>
      </c>
    </row>
    <row r="27" spans="1:2" s="1594" customFormat="1">
      <c r="A27" s="1592" t="s">
        <v>1239</v>
      </c>
      <c r="B27" s="1593">
        <f>'预评函-2'!D11</f>
        <v>1737</v>
      </c>
    </row>
    <row r="28" spans="1:2" s="1594" customFormat="1">
      <c r="A28" s="1592" t="s">
        <v>1240</v>
      </c>
      <c r="B28" s="1593">
        <f>'预评函-2'!D12</f>
        <v>0</v>
      </c>
    </row>
    <row r="29" spans="1:2" s="1594" customFormat="1">
      <c r="A29" s="1592" t="s">
        <v>1291</v>
      </c>
      <c r="B29" s="1593" t="str">
        <f>'预评函-2'!B13</f>
        <v>——</v>
      </c>
    </row>
    <row r="30" spans="1:2" s="1594" customFormat="1">
      <c r="A30" s="1592" t="s">
        <v>1292</v>
      </c>
      <c r="B30" s="1593" t="str">
        <f>'预评函-2'!D13</f>
        <v>——</v>
      </c>
    </row>
    <row r="31" spans="1:2" s="1594" customFormat="1">
      <c r="A31" s="1592" t="s">
        <v>1274</v>
      </c>
      <c r="B31" s="1593" t="e">
        <f>'预评函-2'!D15</f>
        <v>#VALUE!</v>
      </c>
    </row>
    <row r="32" spans="1:2" s="1594" customFormat="1">
      <c r="A32" s="1592" t="s">
        <v>1241</v>
      </c>
      <c r="B32" s="1593" t="e">
        <f>'预评函-2'!D14</f>
        <v>#VALUE!</v>
      </c>
    </row>
    <row r="33" spans="1:2" s="1594" customFormat="1">
      <c r="A33" s="1592" t="s">
        <v>1276</v>
      </c>
      <c r="B33" s="1593" t="str">
        <f>'预评函-2'!B16</f>
        <v>3.抵押担保权已注销时的房地产抵押价值</v>
      </c>
    </row>
    <row r="34" spans="1:2" s="1594" customFormat="1">
      <c r="A34" s="1592" t="s">
        <v>1294</v>
      </c>
      <c r="B34" s="1593">
        <f ca="1">'预评函-2'!D16</f>
        <v>14842</v>
      </c>
    </row>
    <row r="35" spans="1:2" s="1594" customFormat="1">
      <c r="A35" s="1592" t="s">
        <v>1275</v>
      </c>
      <c r="B35" s="1593">
        <f ca="1">'预评函-2'!D18</f>
        <v>11770</v>
      </c>
    </row>
    <row r="36" spans="1:2" s="1594" customFormat="1">
      <c r="A36" s="1592" t="s">
        <v>1242</v>
      </c>
      <c r="B36" s="1593" t="str">
        <f ca="1">'预评函-2'!D17</f>
        <v>壹亿肆仟捌佰肆拾贰万元整</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北京市昌平区南邵镇（中关村科技园昌平园东区二期）0303-54地块出让国有建设用地使用权及在建建筑物房地产</v>
      </c>
    </row>
    <row r="42" spans="1:2" s="1594" customFormat="1">
      <c r="A42" s="1592" t="s">
        <v>1288</v>
      </c>
      <c r="B42" s="1593" t="str">
        <f>'预评函-3'!B2</f>
        <v>建筑面积</v>
      </c>
    </row>
    <row r="43" spans="1:2" s="1594" customFormat="1">
      <c r="A43" s="1592" t="s">
        <v>1289</v>
      </c>
      <c r="B43" s="1593">
        <f>'预评函-3'!B4</f>
        <v>12609.74</v>
      </c>
    </row>
    <row r="44" spans="1:2" s="1594" customFormat="1">
      <c r="A44" s="1592" t="s">
        <v>1273</v>
      </c>
      <c r="B44" s="1593" t="str">
        <f>'预评函-3'!C2</f>
        <v>(分摊)土地面积</v>
      </c>
    </row>
    <row r="45" spans="1:2" s="1594" customFormat="1">
      <c r="A45" s="1592" t="s">
        <v>1245</v>
      </c>
      <c r="B45" s="1593">
        <f>'预评函-3'!C4</f>
        <v>3435.11</v>
      </c>
    </row>
    <row r="46" spans="1:2" s="1594" customFormat="1">
      <c r="A46" s="1592" t="s">
        <v>1271</v>
      </c>
      <c r="B46" s="1593" t="str">
        <f>'预评函-3'!D2</f>
        <v>出让国有建设用地使用权价值</v>
      </c>
    </row>
    <row r="47" spans="1:2" s="1594" customFormat="1">
      <c r="A47" s="1592" t="s">
        <v>1246</v>
      </c>
      <c r="B47" s="1593">
        <f ca="1">'预评函-3'!D4</f>
        <v>13827</v>
      </c>
    </row>
    <row r="48" spans="1:2" s="1594" customFormat="1">
      <c r="A48" s="1592" t="s">
        <v>1247</v>
      </c>
      <c r="B48" s="1593">
        <f ca="1">'预评函-3'!E4</f>
        <v>10966</v>
      </c>
    </row>
    <row r="49" spans="1:2" s="1594" customFormat="1">
      <c r="A49" s="1592" t="s">
        <v>1248</v>
      </c>
      <c r="B49" s="1593" t="str">
        <f ca="1">'预评函-3'!D5</f>
        <v>壹亿叁仟捌佰贰拾柒万元整</v>
      </c>
    </row>
    <row r="50" spans="1:2" s="1594" customFormat="1">
      <c r="A50" s="1592" t="s">
        <v>1272</v>
      </c>
      <c r="B50" s="1593" t="str">
        <f>'预评函-3'!F2</f>
        <v>在建建筑物价值</v>
      </c>
    </row>
    <row r="51" spans="1:2" s="1594" customFormat="1">
      <c r="A51" s="1592" t="s">
        <v>1249</v>
      </c>
      <c r="B51" s="1593">
        <f ca="1">'预评函-3'!F4</f>
        <v>2752</v>
      </c>
    </row>
    <row r="52" spans="1:2" s="1594" customFormat="1">
      <c r="A52" s="1592" t="s">
        <v>1250</v>
      </c>
      <c r="B52" s="1593">
        <f ca="1">'预评函-3'!G4</f>
        <v>2182</v>
      </c>
    </row>
    <row r="53" spans="1:2" s="1594" customFormat="1">
      <c r="A53" s="1592" t="s">
        <v>1278</v>
      </c>
      <c r="B53" s="1593" t="str">
        <f ca="1">'预评函-3'!F5</f>
        <v>贰仟柒佰伍拾贰万元整</v>
      </c>
    </row>
    <row r="54" spans="1:2" s="1594" customFormat="1">
      <c r="A54" s="1592" t="s">
        <v>1296</v>
      </c>
      <c r="B54" s="1593" t="str">
        <f>'预评函-3'!A8</f>
        <v/>
      </c>
    </row>
    <row r="55" spans="1:2" s="1594" customFormat="1">
      <c r="A55" s="1592" t="s">
        <v>1279</v>
      </c>
      <c r="B55" s="1593" t="str">
        <f>'预评函-3'!A10</f>
        <v>抵押担保权已注销时的房地产抵押价值</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故，本次评估估价师知悉的法定优先受偿款为人民币1737万元整。</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8" t="s">
        <v>3265</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8" t="s">
        <v>3294</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757</v>
      </c>
      <c r="C17" s="2016"/>
    </row>
    <row r="18" spans="1:3">
      <c r="A18" s="2015" t="s">
        <v>1766</v>
      </c>
      <c r="B18" s="2015" t="s">
        <v>757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3062</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及在建建筑物房地产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3" t="s">
        <v>864</v>
      </c>
      <c r="C54" s="2020" t="s">
        <v>1281</v>
      </c>
    </row>
    <row r="55" spans="1:4">
      <c r="A55" s="3018"/>
      <c r="B55" s="2023" t="s">
        <v>865</v>
      </c>
      <c r="C55" s="2020" t="s">
        <v>1282</v>
      </c>
    </row>
    <row r="56" spans="1:4">
      <c r="A56" s="3018"/>
      <c r="B56" s="2023" t="s">
        <v>866</v>
      </c>
      <c r="C56" s="2020" t="s">
        <v>1286</v>
      </c>
    </row>
    <row r="57" spans="1:4">
      <c r="A57" s="3018"/>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1775</v>
      </c>
      <c r="B1" s="3027"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北京市昌平区南邵镇（中关村科技园昌平园东区二期）0303-54地块出让国有建设用地使用权及在建建筑物房地产抵押价值预评估</v>
      </c>
      <c r="C1" s="3028"/>
      <c r="D1" s="3028"/>
      <c r="E1" s="3028"/>
      <c r="F1" s="3028"/>
      <c r="G1" s="3028"/>
      <c r="H1" s="3028"/>
      <c r="I1" s="302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北京市昌平区南邵镇（中关村科技园昌平园东区二期）0303-54地块出让国有建设用地使用权及在建建筑物房地产抵押价值</v>
      </c>
    </row>
    <row r="2" spans="1:19" ht="18" customHeight="1">
      <c r="A2" s="2027" t="s">
        <v>1776</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北京市昌平区南邵镇（中关村科技园昌平园东区二期）0303-54地块出让国有建设用地使用权及在建建筑物房地产</v>
      </c>
    </row>
    <row r="3" spans="1:19" ht="18" customHeight="1">
      <c r="A3" s="2036" t="s">
        <v>1777</v>
      </c>
      <c r="B3" s="2037">
        <v>43165</v>
      </c>
      <c r="C3" s="2038" t="s">
        <v>1778</v>
      </c>
      <c r="D3" s="2037">
        <f>B3</f>
        <v>43165</v>
      </c>
      <c r="E3" s="2027"/>
      <c r="F3" s="2027"/>
      <c r="G3" s="2027"/>
      <c r="H3" s="2027"/>
      <c r="I3" s="2027"/>
      <c r="J3" s="2027"/>
      <c r="K3" s="2028"/>
      <c r="L3" s="2029"/>
      <c r="M3" s="2029"/>
      <c r="N3" s="2030"/>
      <c r="O3" s="2031"/>
      <c r="P3" s="2030"/>
      <c r="Q3" s="2030"/>
      <c r="R3" s="2030"/>
      <c r="S3" s="2032"/>
    </row>
    <row r="4" spans="1:19" ht="18" customHeight="1" thickBot="1">
      <c r="A4" s="2039" t="s">
        <v>1779</v>
      </c>
      <c r="B4" s="2040" t="s">
        <v>3066</v>
      </c>
      <c r="C4" s="1039">
        <f ca="1">SUMIF(注册房地产估价师,B4,估价师及机构信息!B3:B24)</f>
        <v>1120000080</v>
      </c>
      <c r="D4" s="2040" t="s">
        <v>3067</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7.5" customHeight="1" thickTop="1">
      <c r="A5" s="2045" t="s">
        <v>1780</v>
      </c>
      <c r="B5" s="2942" t="s">
        <v>3076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1781</v>
      </c>
      <c r="B6" s="2943" t="s">
        <v>3069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1782</v>
      </c>
      <c r="B7" s="2942" t="s">
        <v>3068</v>
      </c>
      <c r="C7" s="2049"/>
      <c r="D7" s="2050"/>
      <c r="E7" s="2035"/>
      <c r="F7" s="2043"/>
      <c r="G7" s="2043"/>
      <c r="H7" s="2043"/>
      <c r="I7" s="2043"/>
      <c r="J7" s="2043"/>
      <c r="K7" s="2052"/>
      <c r="L7" s="2029"/>
      <c r="M7" s="2029"/>
      <c r="N7" s="2030"/>
      <c r="O7" s="2031"/>
      <c r="P7" s="2030"/>
      <c r="Q7" s="2030"/>
      <c r="R7" s="2030"/>
    </row>
    <row r="8" spans="1:19" ht="18" customHeight="1">
      <c r="A8" s="2048" t="s">
        <v>1783</v>
      </c>
      <c r="B8" s="2053" t="s">
        <v>3070</v>
      </c>
      <c r="C8" s="2054"/>
      <c r="D8" s="3030" t="s">
        <v>1784</v>
      </c>
      <c r="E8" s="2055" t="s">
        <v>3072</v>
      </c>
      <c r="F8" s="2056"/>
      <c r="G8" s="2027"/>
      <c r="H8" s="2027"/>
      <c r="I8" s="2027"/>
      <c r="J8" s="2043"/>
      <c r="K8" s="2044"/>
      <c r="L8" s="2029"/>
      <c r="M8" s="2029"/>
      <c r="N8" s="2030"/>
      <c r="O8" s="2031"/>
      <c r="P8" s="2030"/>
      <c r="Q8" s="2030"/>
      <c r="R8" s="2030"/>
    </row>
    <row r="9" spans="1:19" ht="18" customHeight="1" thickBot="1">
      <c r="A9" s="2041" t="s">
        <v>1785</v>
      </c>
      <c r="B9" s="2057" t="s">
        <v>3071</v>
      </c>
      <c r="C9" s="2058"/>
      <c r="D9" s="3031"/>
      <c r="E9" s="2057"/>
      <c r="F9" s="2059"/>
      <c r="G9" s="2060"/>
      <c r="H9" s="2060"/>
      <c r="I9" s="2060"/>
      <c r="J9" s="2043"/>
      <c r="K9" s="2052"/>
      <c r="L9" s="2029"/>
      <c r="M9" s="2029"/>
      <c r="N9" s="2030"/>
      <c r="O9" s="2031"/>
      <c r="P9" s="2030"/>
      <c r="Q9" s="2030"/>
      <c r="R9" s="2030"/>
    </row>
    <row r="10" spans="1:19" ht="18" customHeight="1" thickTop="1">
      <c r="A10" s="2061" t="s">
        <v>1786</v>
      </c>
      <c r="B10" s="2062" t="s">
        <v>3073</v>
      </c>
      <c r="C10" s="2063"/>
      <c r="D10" s="2047"/>
      <c r="E10" s="2064" t="s">
        <v>1787</v>
      </c>
      <c r="F10" s="2065" t="s">
        <v>3074</v>
      </c>
      <c r="G10" s="2066"/>
      <c r="H10" s="2067"/>
      <c r="I10" s="2047"/>
      <c r="J10" s="2043"/>
      <c r="K10" s="2052"/>
      <c r="L10" s="2029"/>
      <c r="M10" s="2029"/>
      <c r="N10" s="2030"/>
      <c r="O10" s="2031"/>
      <c r="P10" s="2030"/>
      <c r="Q10" s="2030"/>
      <c r="R10" s="2030"/>
    </row>
    <row r="11" spans="1:19" ht="18" customHeight="1">
      <c r="A11" s="2068" t="s">
        <v>1788</v>
      </c>
      <c r="B11" s="2069" t="s">
        <v>3075</v>
      </c>
      <c r="C11" s="2944" t="s">
        <v>3077</v>
      </c>
      <c r="D11" s="2070"/>
      <c r="E11" s="2043"/>
      <c r="F11" s="2043"/>
      <c r="G11" s="2043"/>
      <c r="H11" s="2043"/>
      <c r="I11" s="2043"/>
      <c r="J11" s="2043"/>
      <c r="K11" s="2052"/>
      <c r="L11" s="2029"/>
      <c r="M11" s="2029"/>
      <c r="N11" s="2030"/>
      <c r="O11" s="2031"/>
      <c r="P11" s="2030"/>
      <c r="Q11" s="2030"/>
      <c r="R11" s="2030"/>
    </row>
    <row r="12" spans="1:19" ht="18" customHeight="1">
      <c r="A12" s="2071" t="s">
        <v>1789</v>
      </c>
      <c r="B12" s="2069" t="s">
        <v>3043</v>
      </c>
      <c r="C12" s="2072" t="s">
        <v>1790</v>
      </c>
      <c r="D12" s="2073" t="s">
        <v>1791</v>
      </c>
      <c r="E12" s="2073" t="s">
        <v>1792</v>
      </c>
      <c r="F12" s="2073" t="s">
        <v>1793</v>
      </c>
      <c r="G12" s="2073" t="s">
        <v>1794</v>
      </c>
      <c r="H12" s="2073" t="s">
        <v>1795</v>
      </c>
      <c r="I12" s="2073" t="s">
        <v>1796</v>
      </c>
      <c r="J12" s="2043"/>
      <c r="K12" s="2052"/>
      <c r="L12" s="2029"/>
      <c r="M12" s="2029"/>
      <c r="N12" s="2030"/>
      <c r="O12" s="2031"/>
      <c r="P12" s="2030"/>
      <c r="Q12" s="2030"/>
      <c r="R12" s="2030"/>
    </row>
    <row r="13" spans="1:19" ht="18" customHeight="1">
      <c r="A13" s="2074"/>
      <c r="B13" s="2075"/>
      <c r="C13" s="2076" t="s">
        <v>1797</v>
      </c>
      <c r="D13" s="2077">
        <v>67887</v>
      </c>
      <c r="E13" s="2077">
        <v>56929</v>
      </c>
      <c r="F13" s="2077"/>
      <c r="G13" s="2077">
        <v>60582</v>
      </c>
      <c r="H13" s="2077">
        <v>60582</v>
      </c>
      <c r="I13" s="1049"/>
      <c r="J13" s="2043"/>
      <c r="K13" s="2052"/>
      <c r="L13" s="2029"/>
      <c r="M13" s="2029"/>
      <c r="N13" s="2030"/>
      <c r="O13" s="2031"/>
      <c r="P13" s="2030"/>
      <c r="Q13" s="2030"/>
      <c r="R13" s="2030"/>
    </row>
    <row r="14" spans="1:19" ht="18" customHeight="1">
      <c r="A14" s="2074"/>
      <c r="B14" s="2075"/>
      <c r="C14" s="2076" t="s">
        <v>1798</v>
      </c>
      <c r="D14" s="1052">
        <v>70</v>
      </c>
      <c r="E14" s="1052">
        <v>40</v>
      </c>
      <c r="F14" s="1052">
        <v>50</v>
      </c>
      <c r="G14" s="1052">
        <v>50</v>
      </c>
      <c r="H14" s="1052">
        <v>50</v>
      </c>
      <c r="I14" s="1052"/>
      <c r="J14" s="2043"/>
      <c r="K14" s="2078"/>
      <c r="L14" s="2029"/>
      <c r="M14" s="2029"/>
      <c r="N14" s="2030"/>
      <c r="O14" s="2031"/>
      <c r="P14" s="2030"/>
      <c r="Q14" s="2030"/>
      <c r="R14" s="2030"/>
    </row>
    <row r="15" spans="1:19" ht="18" customHeight="1">
      <c r="A15" s="2061"/>
      <c r="B15" s="2079"/>
      <c r="C15" s="2076" t="s">
        <v>1799</v>
      </c>
      <c r="D15" s="1051">
        <f>IF(B12="出让",IF(D13="","",ROUNDDOWN(MIN((D13-$D$3)/365,D14),2)),D14)</f>
        <v>67.73</v>
      </c>
      <c r="E15" s="1051">
        <f>IF(B12="出让",IF(E13="","",ROUNDDOWN(MIN((E13-$D$3)/365,E14),2)),E14)</f>
        <v>37.700000000000003</v>
      </c>
      <c r="F15" s="1051" t="str">
        <f>IF(B12="出让",IF(F13="","",ROUNDDOWN(MIN((F13-$D$3)/365,F14),2)),F14)</f>
        <v/>
      </c>
      <c r="G15" s="1051">
        <f>IF(B12="出让",IF(G13="","",ROUNDDOWN(MIN((G13-$D$3)/365,G14),2)),G14)</f>
        <v>47.71</v>
      </c>
      <c r="H15" s="1051">
        <f>IF(B12="出让",IF(H13="","",ROUNDDOWN(MIN((H13-$D$3)/365,H14),2)),H14)</f>
        <v>47.71</v>
      </c>
      <c r="I15" s="1051" t="str">
        <f>IF(B12="出让",IF(I13="","",ROUNDDOWN(MIN((I13-$D$3)/365,I14),2)),I14)</f>
        <v/>
      </c>
      <c r="J15" s="2043"/>
      <c r="K15" s="2080"/>
      <c r="L15" s="2081"/>
      <c r="M15" s="2081"/>
      <c r="N15" s="2082"/>
      <c r="O15" s="2081"/>
      <c r="P15" s="2082"/>
      <c r="Q15" s="2030"/>
      <c r="R15" s="2030"/>
    </row>
    <row r="16" spans="1:19" ht="30.75" customHeight="1">
      <c r="A16" s="2064" t="s">
        <v>1800</v>
      </c>
      <c r="B16" s="3037"/>
      <c r="C16" s="3038"/>
      <c r="D16" s="3039"/>
      <c r="E16" s="2083" t="s">
        <v>1801</v>
      </c>
      <c r="F16" s="3040"/>
      <c r="G16" s="3041"/>
      <c r="H16" s="3041"/>
      <c r="I16" s="3042"/>
      <c r="J16" s="2030"/>
      <c r="K16" s="2080"/>
      <c r="L16" s="2081"/>
      <c r="M16" s="2081"/>
      <c r="N16" s="2082"/>
      <c r="O16" s="2081"/>
      <c r="P16" s="2082"/>
      <c r="Q16" s="2030"/>
      <c r="R16" s="2030"/>
    </row>
    <row r="17" spans="1:22" ht="18" customHeight="1">
      <c r="A17" s="2084" t="s">
        <v>1802</v>
      </c>
      <c r="B17" s="2036" t="s">
        <v>1803</v>
      </c>
      <c r="C17" s="1056">
        <f>'数据-汇总表'!E3</f>
        <v>12609.74</v>
      </c>
      <c r="D17" s="2085" t="s">
        <v>1804</v>
      </c>
      <c r="E17" s="3043" t="s">
        <v>3078</v>
      </c>
      <c r="F17" s="3044"/>
      <c r="G17" s="3044"/>
      <c r="H17" s="3044"/>
      <c r="I17" s="3045"/>
      <c r="J17" s="2030"/>
      <c r="K17" s="2086"/>
      <c r="L17" s="2081"/>
      <c r="M17" s="2081"/>
      <c r="N17" s="2082"/>
      <c r="O17" s="2081"/>
      <c r="P17" s="2082"/>
      <c r="Q17" s="2030"/>
      <c r="R17" s="2030"/>
      <c r="S17" s="2030"/>
      <c r="T17" s="2030"/>
      <c r="U17" s="2030"/>
      <c r="V17" s="2030"/>
    </row>
    <row r="18" spans="1:22" ht="36" customHeight="1" thickBot="1">
      <c r="A18" s="2087" t="s">
        <v>1805</v>
      </c>
      <c r="B18" s="2039" t="s">
        <v>1806</v>
      </c>
      <c r="C18" s="1445">
        <f>'数据-汇总表'!D3</f>
        <v>3435.11</v>
      </c>
      <c r="D18" s="2088" t="s">
        <v>1804</v>
      </c>
      <c r="E18" s="3046" t="s">
        <v>3079</v>
      </c>
      <c r="F18" s="3047"/>
      <c r="G18" s="3047"/>
      <c r="H18" s="3047"/>
      <c r="I18" s="3048"/>
      <c r="J18" s="2030"/>
      <c r="K18" s="2086"/>
      <c r="L18" s="2081"/>
      <c r="M18" s="2081"/>
      <c r="N18" s="2082"/>
      <c r="O18" s="2081"/>
      <c r="P18" s="2082"/>
      <c r="Q18" s="2030"/>
      <c r="R18" s="2030"/>
      <c r="S18" s="2030"/>
      <c r="T18" s="2030"/>
      <c r="U18" s="2030"/>
      <c r="V18" s="2030"/>
    </row>
    <row r="19" spans="1:22" ht="37.5" customHeight="1" thickTop="1" thickBot="1">
      <c r="A19" s="372" t="s">
        <v>1807</v>
      </c>
      <c r="B19" s="351" t="s">
        <v>1808</v>
      </c>
      <c r="C19" s="2089" t="s">
        <v>3042</v>
      </c>
      <c r="D19" s="2090" t="s">
        <v>1809</v>
      </c>
      <c r="E19" s="2091"/>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1810</v>
      </c>
      <c r="B20" s="3033" t="s">
        <v>1811</v>
      </c>
      <c r="C20" s="3034"/>
      <c r="D20" s="3035" t="s">
        <v>1812</v>
      </c>
      <c r="E20" s="3036"/>
      <c r="F20" s="2095" t="s">
        <v>1813</v>
      </c>
      <c r="G20" s="2043"/>
      <c r="H20" s="2043"/>
      <c r="I20" s="2043"/>
      <c r="J20" s="2043"/>
      <c r="K20" s="3032" t="s">
        <v>1814</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9"/>
      <c r="N20" s="2082"/>
      <c r="O20" s="2081"/>
      <c r="P20" s="2082"/>
      <c r="Q20" s="2030"/>
      <c r="R20" s="2030"/>
      <c r="S20" s="2030"/>
      <c r="T20" s="2030"/>
      <c r="U20" s="2030"/>
      <c r="V20" s="2030"/>
    </row>
    <row r="21" spans="1:22" ht="24.75" customHeight="1">
      <c r="A21" s="2094"/>
      <c r="B21" s="2096"/>
      <c r="C21" s="2097"/>
      <c r="D21" s="2098" t="s">
        <v>1816</v>
      </c>
      <c r="E21" s="2099" t="s">
        <v>1815</v>
      </c>
      <c r="F21" s="2100"/>
      <c r="G21" s="2043"/>
      <c r="H21" s="2043"/>
      <c r="I21" s="2043"/>
      <c r="J21" s="2043"/>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3080</v>
      </c>
      <c r="C22" s="2097" t="s">
        <v>1817</v>
      </c>
      <c r="D22" s="2027"/>
      <c r="E22" s="2027"/>
      <c r="F22" s="2102"/>
      <c r="G22" s="2043"/>
      <c r="H22" s="2043"/>
      <c r="I22" s="2043"/>
      <c r="J22" s="2043"/>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1818</v>
      </c>
      <c r="B23" s="182" t="s">
        <v>1819</v>
      </c>
      <c r="C23" s="2104"/>
      <c r="D23" s="2105" t="s">
        <v>1819</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1820</v>
      </c>
      <c r="C24" s="2109"/>
      <c r="D24" s="2103" t="s">
        <v>1820</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1821</v>
      </c>
      <c r="C25" s="2109"/>
      <c r="D25" s="2103" t="s">
        <v>1821</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1822</v>
      </c>
      <c r="C26" s="2113"/>
      <c r="D26" s="2114" t="s">
        <v>1823</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20" t="s">
        <v>1824</v>
      </c>
      <c r="B27" s="2061" t="s">
        <v>1825</v>
      </c>
      <c r="C27" s="2117" t="s">
        <v>3298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0"/>
      <c r="B28" s="2036" t="s">
        <v>1826</v>
      </c>
      <c r="C28" s="2119" t="s">
        <v>3299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20"/>
      <c r="B29" s="2036" t="s">
        <v>1827</v>
      </c>
      <c r="C29" s="2122" t="s">
        <v>3300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21"/>
      <c r="B30" s="2036" t="s">
        <v>1828</v>
      </c>
      <c r="C30" s="3022" t="s">
        <v>3301</v>
      </c>
      <c r="D30" s="3023"/>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24" t="s">
        <v>1829</v>
      </c>
      <c r="B31" s="2124"/>
      <c r="C31" s="2125" t="str">
        <f>IF(B31="现房","成新及维护状况正常否",IF(B31="在建","工程状态是否正常",IF(B31="土地","是否闲置","-")))</f>
        <v>-</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25"/>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25"/>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1" t="s">
        <v>3302</v>
      </c>
      <c r="C34" s="2131" t="s">
        <v>3303</v>
      </c>
      <c r="D34" s="2131" t="s">
        <v>3304</v>
      </c>
      <c r="E34" s="2131" t="s">
        <v>3305</v>
      </c>
      <c r="F34" s="2131" t="s">
        <v>3306</v>
      </c>
      <c r="G34" s="2131" t="s">
        <v>3307</v>
      </c>
      <c r="H34" s="2131"/>
      <c r="I34" s="2043"/>
      <c r="J34" s="2043"/>
      <c r="K34" s="1796">
        <f>COUNTIF(B34:H34,"——")</f>
        <v>0</v>
      </c>
      <c r="L34" s="2072" t="s">
        <v>1831</v>
      </c>
      <c r="M34" s="2072" t="s">
        <v>1832</v>
      </c>
      <c r="N34" s="2072" t="s">
        <v>1833</v>
      </c>
      <c r="O34" s="2072" t="s">
        <v>1834</v>
      </c>
      <c r="P34" s="2072" t="s">
        <v>1835</v>
      </c>
      <c r="Q34" s="2072" t="s">
        <v>1836</v>
      </c>
      <c r="R34" s="2072" t="s">
        <v>1837</v>
      </c>
      <c r="S34" s="3019" t="s">
        <v>1838</v>
      </c>
      <c r="T34" s="2132" t="str">
        <f>NUMBERSTRING(7-K34,1)&amp;"通"</f>
        <v>七通</v>
      </c>
      <c r="U34" s="2030"/>
      <c r="V34" s="2030"/>
    </row>
    <row r="35" spans="1:22" ht="18" customHeight="1">
      <c r="A35" s="2133"/>
      <c r="B35" s="3026" t="s">
        <v>1839</v>
      </c>
      <c r="C35" s="3026"/>
      <c r="D35" s="3026"/>
      <c r="E35" s="3026"/>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9"/>
      <c r="T35" s="48" t="str">
        <f>IF(T34="一通",L35,IF(T34="二通",M35,IF(T34="三通",N35,IF(T34="四通",O35,IF(T34="五通",P35,IF(T34="六通",Q35,R35))))))</f>
        <v>通路、通电、通讯、通上水、通下水、燃气、</v>
      </c>
      <c r="U35" s="2030"/>
      <c r="V35" s="2030"/>
    </row>
    <row r="36" spans="1:22" ht="18" customHeight="1">
      <c r="A36" s="2135"/>
      <c r="B36" s="2134" t="s">
        <v>1840</v>
      </c>
      <c r="C36" s="2134" t="s">
        <v>1841</v>
      </c>
      <c r="D36" s="2134" t="s">
        <v>1842</v>
      </c>
      <c r="E36" s="2134" t="s">
        <v>1843</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1844</v>
      </c>
      <c r="B37" s="2945" t="s">
        <v>528</v>
      </c>
      <c r="C37" s="2945" t="s">
        <v>528</v>
      </c>
      <c r="D37" s="2945" t="s">
        <v>528</v>
      </c>
      <c r="E37" s="2138"/>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945" t="s">
        <v>3081</v>
      </c>
      <c r="C38" s="2945" t="s">
        <v>3081</v>
      </c>
      <c r="D38" s="2945" t="s">
        <v>3081</v>
      </c>
      <c r="E38" s="2140"/>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1847</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1848</v>
      </c>
      <c r="B42" s="1796" t="s">
        <v>1849</v>
      </c>
      <c r="C42" s="1796" t="s">
        <v>1850</v>
      </c>
      <c r="D42" s="1796" t="s">
        <v>1851</v>
      </c>
      <c r="E42" s="1796" t="s">
        <v>1852</v>
      </c>
      <c r="F42" s="1796" t="s">
        <v>1853</v>
      </c>
      <c r="G42" s="1796" t="s">
        <v>1854</v>
      </c>
      <c r="H42" s="1796" t="s">
        <v>1855</v>
      </c>
      <c r="I42" s="1796" t="s">
        <v>1856</v>
      </c>
      <c r="J42" s="2150" t="s">
        <v>1857</v>
      </c>
      <c r="K42" s="2073" t="s">
        <v>1858</v>
      </c>
      <c r="L42" s="2073" t="s">
        <v>1859</v>
      </c>
      <c r="M42" s="2073" t="s">
        <v>1860</v>
      </c>
      <c r="N42" s="1796" t="s">
        <v>1861</v>
      </c>
      <c r="O42" s="1796" t="s">
        <v>1862</v>
      </c>
      <c r="P42" s="1796" t="s">
        <v>1863</v>
      </c>
      <c r="Q42" s="2072" t="s">
        <v>1864</v>
      </c>
      <c r="R42" s="2072" t="s">
        <v>1865</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C27" sqref="C2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1871</v>
      </c>
      <c r="AZ2" s="1272"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51535.14</v>
      </c>
      <c r="B3" s="14">
        <f>IF(C3="否",G5-AT5,G5)</f>
        <v>189177.46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4"/>
      <c r="C5" s="1804"/>
      <c r="D5" s="1807"/>
      <c r="E5" s="16" t="s">
        <v>1</v>
      </c>
      <c r="F5" s="16">
        <f>SUM(F13:F587)</f>
        <v>0</v>
      </c>
      <c r="G5" s="16">
        <f>SUM(G13:G587)</f>
        <v>189177.46</v>
      </c>
      <c r="H5" s="16">
        <f t="shared" ref="H5:AT5" si="0">SUM(H13:H656)</f>
        <v>189177.46</v>
      </c>
      <c r="I5" s="16">
        <f t="shared" si="0"/>
        <v>20243.63</v>
      </c>
      <c r="J5" s="16">
        <f t="shared" si="0"/>
        <v>0</v>
      </c>
      <c r="K5" s="16">
        <f t="shared" si="0"/>
        <v>45625.95</v>
      </c>
      <c r="L5" s="16">
        <f t="shared" si="0"/>
        <v>0</v>
      </c>
      <c r="M5" s="16">
        <f t="shared" si="0"/>
        <v>36609.57</v>
      </c>
      <c r="N5" s="16">
        <f t="shared" si="0"/>
        <v>0</v>
      </c>
      <c r="O5" s="16">
        <f t="shared" si="0"/>
        <v>23569.75</v>
      </c>
      <c r="P5" s="16">
        <f t="shared" si="0"/>
        <v>0</v>
      </c>
      <c r="Q5" s="16">
        <f t="shared" si="0"/>
        <v>1580.4299999999998</v>
      </c>
      <c r="R5" s="16">
        <f t="shared" si="0"/>
        <v>0</v>
      </c>
      <c r="S5" s="16">
        <f t="shared" si="0"/>
        <v>48766.86</v>
      </c>
      <c r="T5" s="16">
        <f t="shared" si="0"/>
        <v>0</v>
      </c>
      <c r="U5" s="16">
        <f t="shared" si="0"/>
        <v>8555.2199999999993</v>
      </c>
      <c r="V5" s="16">
        <f t="shared" si="0"/>
        <v>0</v>
      </c>
      <c r="W5" s="16">
        <f t="shared" si="0"/>
        <v>3755.89</v>
      </c>
      <c r="X5" s="16">
        <f t="shared" si="0"/>
        <v>0</v>
      </c>
      <c r="Y5" s="16">
        <f t="shared" si="0"/>
        <v>470.16</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12609.74</v>
      </c>
      <c r="BA5" s="18">
        <f t="shared" si="1"/>
        <v>12609.74</v>
      </c>
      <c r="BB5" s="18">
        <f t="shared" si="1"/>
        <v>3196.74</v>
      </c>
      <c r="BC5" s="18">
        <f t="shared" si="1"/>
        <v>9413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51535.16</v>
      </c>
      <c r="F6" s="16" t="s">
        <v>1</v>
      </c>
      <c r="G6" s="16" t="s">
        <v>2</v>
      </c>
      <c r="H6" s="20">
        <f>SUMIF(I$12:AB$12,"总值",I6:AB6)</f>
        <v>51535.16</v>
      </c>
      <c r="I6" s="16">
        <f t="shared" ref="I6:AB6" si="2">ROUND($A$3*I5/$B$3,2)</f>
        <v>5514.71</v>
      </c>
      <c r="J6" s="16">
        <f t="shared" si="2"/>
        <v>0</v>
      </c>
      <c r="K6" s="16">
        <f t="shared" si="2"/>
        <v>12429.28</v>
      </c>
      <c r="L6" s="16">
        <f t="shared" si="2"/>
        <v>0</v>
      </c>
      <c r="M6" s="16">
        <f t="shared" si="2"/>
        <v>9973.07</v>
      </c>
      <c r="N6" s="16">
        <f t="shared" si="2"/>
        <v>0</v>
      </c>
      <c r="O6" s="16">
        <f t="shared" si="2"/>
        <v>6420.8</v>
      </c>
      <c r="P6" s="16">
        <f t="shared" si="2"/>
        <v>0</v>
      </c>
      <c r="Q6" s="16">
        <f t="shared" si="2"/>
        <v>430.54</v>
      </c>
      <c r="R6" s="16">
        <f t="shared" si="2"/>
        <v>0</v>
      </c>
      <c r="S6" s="16">
        <f t="shared" si="2"/>
        <v>13284.92</v>
      </c>
      <c r="T6" s="16">
        <f t="shared" si="2"/>
        <v>0</v>
      </c>
      <c r="U6" s="16">
        <f t="shared" si="2"/>
        <v>2330.59</v>
      </c>
      <c r="V6" s="16">
        <f t="shared" si="2"/>
        <v>0</v>
      </c>
      <c r="W6" s="16">
        <f t="shared" si="2"/>
        <v>1023.17</v>
      </c>
      <c r="X6" s="16">
        <f t="shared" si="2"/>
        <v>0</v>
      </c>
      <c r="Y6" s="16">
        <f t="shared" si="2"/>
        <v>128.08000000000001</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3435.11</v>
      </c>
      <c r="AZ6" s="16" t="s">
        <v>3</v>
      </c>
      <c r="BA6" s="16">
        <f>ROUND($AY$6*BA5/$AZ$5,2)</f>
        <v>3435.11</v>
      </c>
      <c r="BB6" s="16">
        <f>ROUND($AY$6*BB5/$AZ$5,2)</f>
        <v>870.85</v>
      </c>
      <c r="BC6" s="16">
        <f t="shared" ref="BC6:BH6" si="4">ROUND($AY$6*BC5/$AZ$5,2)</f>
        <v>2564.2600000000002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1884</v>
      </c>
      <c r="AV7" s="23" t="s">
        <v>1885</v>
      </c>
      <c r="AW7" s="2164" t="s">
        <v>1886</v>
      </c>
      <c r="AX7" s="23" t="s">
        <v>1879</v>
      </c>
      <c r="AY7" s="1804"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9"/>
      <c r="K8" s="1819"/>
      <c r="L8" s="1819"/>
      <c r="M8" s="1819"/>
      <c r="N8" s="1819"/>
      <c r="O8" s="1819"/>
      <c r="P8" s="1819"/>
      <c r="Q8" s="1819"/>
      <c r="R8" s="1819"/>
      <c r="S8" s="1819"/>
      <c r="T8" s="1819"/>
      <c r="U8" s="1819"/>
      <c r="V8" s="2184"/>
      <c r="W8" s="1819"/>
      <c r="X8" s="1819"/>
      <c r="Y8" s="1819"/>
      <c r="Z8" s="1819"/>
      <c r="AA8" s="2184"/>
      <c r="AB8" s="2185"/>
      <c r="AC8" s="983" t="s">
        <v>1890</v>
      </c>
      <c r="AD8" s="2186"/>
      <c r="AE8" s="2178"/>
      <c r="AF8" s="1819"/>
      <c r="AG8" s="1819"/>
      <c r="AH8" s="1819"/>
      <c r="AI8" s="1819"/>
      <c r="AJ8" s="1819"/>
      <c r="AK8" s="1819"/>
      <c r="AL8" s="1819"/>
      <c r="AM8" s="1819"/>
      <c r="AN8" s="1819"/>
      <c r="AO8" s="1819"/>
      <c r="AP8" s="1819"/>
      <c r="AQ8" s="1819"/>
      <c r="AR8" s="1819"/>
      <c r="AS8" s="1819"/>
      <c r="AT8" s="1294" t="s">
        <v>1891</v>
      </c>
      <c r="AU8" s="2180" t="s">
        <v>1892</v>
      </c>
      <c r="AV8" s="1294"/>
      <c r="AW8" s="2163"/>
      <c r="AX8" s="1294"/>
      <c r="AY8" s="2164"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1895</v>
      </c>
      <c r="I9" s="2189" t="s">
        <v>3040</v>
      </c>
      <c r="J9" s="983"/>
      <c r="K9" s="2189" t="s">
        <v>3054</v>
      </c>
      <c r="L9" s="983"/>
      <c r="M9" s="2189" t="s">
        <v>3040</v>
      </c>
      <c r="N9" s="983"/>
      <c r="O9" s="2189" t="s">
        <v>3040</v>
      </c>
      <c r="P9" s="983"/>
      <c r="Q9" s="2189" t="s">
        <v>3054</v>
      </c>
      <c r="R9" s="983"/>
      <c r="S9" s="2189" t="s">
        <v>3040</v>
      </c>
      <c r="T9" s="983"/>
      <c r="U9" s="2189" t="s">
        <v>3054</v>
      </c>
      <c r="V9" s="983"/>
      <c r="W9" s="2189" t="s">
        <v>3040</v>
      </c>
      <c r="X9" s="2190"/>
      <c r="Y9" s="2189" t="s">
        <v>3040</v>
      </c>
      <c r="Z9" s="983"/>
      <c r="AA9" s="2189"/>
      <c r="AB9" s="983"/>
      <c r="AC9" s="2181"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1"/>
      <c r="AT9" s="2180"/>
      <c r="AU9" s="2180" t="s">
        <v>1898</v>
      </c>
      <c r="AV9" s="1294"/>
      <c r="AW9" s="2163"/>
      <c r="AX9" s="1294"/>
      <c r="AY9" s="28"/>
      <c r="AZ9" s="28" t="s">
        <v>1888</v>
      </c>
      <c r="BA9" s="2192" t="s">
        <v>1899</v>
      </c>
      <c r="BB9" s="2193"/>
      <c r="BC9" s="1340"/>
      <c r="BD9" s="1340"/>
      <c r="BE9" s="1340"/>
      <c r="BF9" s="1340"/>
      <c r="BG9" s="1340"/>
      <c r="BH9" s="1340"/>
      <c r="BI9" s="1340"/>
      <c r="BJ9" s="1340"/>
      <c r="BK9" s="2194"/>
      <c r="BL9" s="15" t="s">
        <v>1900</v>
      </c>
      <c r="BM9" s="1819"/>
      <c r="BN9" s="2183"/>
      <c r="BO9" s="1819"/>
      <c r="BP9" s="1819"/>
      <c r="BQ9" s="1819"/>
      <c r="BR9" s="1819"/>
      <c r="BS9" s="1819"/>
      <c r="BT9" s="26"/>
    </row>
    <row r="10" spans="1:72" s="2187" customFormat="1" ht="12.75">
      <c r="A10" s="2180"/>
      <c r="B10" s="2180"/>
      <c r="C10" s="2180"/>
      <c r="D10" s="2180"/>
      <c r="E10" s="2180"/>
      <c r="F10" s="2180"/>
      <c r="G10" s="1294"/>
      <c r="H10" s="28"/>
      <c r="I10" s="2189" t="s">
        <v>3052</v>
      </c>
      <c r="J10" s="983"/>
      <c r="K10" s="2195" t="s">
        <v>3055</v>
      </c>
      <c r="L10" s="983"/>
      <c r="M10" s="2195" t="s">
        <v>1377</v>
      </c>
      <c r="N10" s="983"/>
      <c r="O10" s="2195" t="s">
        <v>27</v>
      </c>
      <c r="P10" s="983"/>
      <c r="Q10" s="2195" t="s">
        <v>1377</v>
      </c>
      <c r="R10" s="983"/>
      <c r="S10" s="2195" t="s">
        <v>3052</v>
      </c>
      <c r="T10" s="983"/>
      <c r="U10" s="2195" t="s">
        <v>3063</v>
      </c>
      <c r="V10" s="983"/>
      <c r="W10" s="2195" t="s">
        <v>3052</v>
      </c>
      <c r="X10" s="983"/>
      <c r="Y10" s="2195" t="s">
        <v>3063</v>
      </c>
      <c r="Z10" s="983"/>
      <c r="AA10" s="2195"/>
      <c r="AB10" s="983"/>
      <c r="AC10" s="1294"/>
      <c r="AD10" s="15" t="s">
        <v>1901</v>
      </c>
      <c r="AE10" s="2196"/>
      <c r="AF10" s="15" t="s">
        <v>1901</v>
      </c>
      <c r="AG10" s="2196"/>
      <c r="AH10" s="15" t="s">
        <v>1902</v>
      </c>
      <c r="AI10" s="2196"/>
      <c r="AJ10" s="15" t="s">
        <v>1902</v>
      </c>
      <c r="AK10" s="2196"/>
      <c r="AL10" s="15" t="s">
        <v>1903</v>
      </c>
      <c r="AM10" s="1300"/>
      <c r="AN10" s="15" t="s">
        <v>1903</v>
      </c>
      <c r="AO10" s="1300"/>
      <c r="AP10" s="15" t="s">
        <v>1904</v>
      </c>
      <c r="AQ10" s="1300"/>
      <c r="AR10" s="15" t="s">
        <v>1904</v>
      </c>
      <c r="AS10" s="1300"/>
      <c r="AT10" s="2180"/>
      <c r="AU10" s="2180"/>
      <c r="AV10" s="1294"/>
      <c r="AW10" s="2163"/>
      <c r="AX10" s="1294"/>
      <c r="AY10" s="28"/>
      <c r="AZ10" s="28"/>
      <c r="BA10" s="2197" t="s">
        <v>1895</v>
      </c>
      <c r="BB10" s="2198" t="str">
        <f>I9</f>
        <v>地上</v>
      </c>
      <c r="BC10" s="29" t="str">
        <f>K9</f>
        <v>地下</v>
      </c>
      <c r="BD10" s="29" t="str">
        <f>M9</f>
        <v>地上</v>
      </c>
      <c r="BE10" s="29" t="str">
        <f>O9</f>
        <v>地上</v>
      </c>
      <c r="BF10" s="29" t="str">
        <f>Q9</f>
        <v>地下</v>
      </c>
      <c r="BG10" s="29" t="str">
        <f>S9</f>
        <v>地上</v>
      </c>
      <c r="BH10" s="29" t="str">
        <f>U9</f>
        <v>地下</v>
      </c>
      <c r="BI10" s="29" t="str">
        <f>W9</f>
        <v>地上</v>
      </c>
      <c r="BJ10" s="29" t="str">
        <f>Y9</f>
        <v>地上</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3053</v>
      </c>
      <c r="J11" s="2201"/>
      <c r="K11" s="2200" t="s">
        <v>3055</v>
      </c>
      <c r="L11" s="2201"/>
      <c r="M11" s="2200" t="s">
        <v>3059</v>
      </c>
      <c r="N11" s="2201"/>
      <c r="O11" s="2200" t="s">
        <v>3041</v>
      </c>
      <c r="P11" s="2201"/>
      <c r="Q11" s="2200" t="s">
        <v>3059</v>
      </c>
      <c r="R11" s="2201"/>
      <c r="S11" s="2200" t="s">
        <v>35</v>
      </c>
      <c r="T11" s="2201"/>
      <c r="U11" s="2200" t="s">
        <v>3064</v>
      </c>
      <c r="V11" s="2201"/>
      <c r="W11" s="2200" t="s">
        <v>3065</v>
      </c>
      <c r="X11" s="2201"/>
      <c r="Y11" s="2200" t="s">
        <v>3064</v>
      </c>
      <c r="Z11" s="2201"/>
      <c r="AA11" s="2200"/>
      <c r="AB11" s="2201"/>
      <c r="AC11" s="1294"/>
      <c r="AD11" s="2202" t="s">
        <v>1905</v>
      </c>
      <c r="AE11" s="1820"/>
      <c r="AF11" s="2202" t="s">
        <v>1905</v>
      </c>
      <c r="AG11" s="1820"/>
      <c r="AH11" s="2202" t="s">
        <v>1906</v>
      </c>
      <c r="AI11" s="2203"/>
      <c r="AJ11" s="2202" t="s">
        <v>1906</v>
      </c>
      <c r="AK11" s="1820"/>
      <c r="AL11" s="1818"/>
      <c r="AM11" s="1820"/>
      <c r="AN11" s="1818"/>
      <c r="AO11" s="1820"/>
      <c r="AP11" s="1818"/>
      <c r="AQ11" s="1820"/>
      <c r="AR11" s="1818"/>
      <c r="AS11" s="1820"/>
      <c r="AT11" s="2163"/>
      <c r="AU11" s="2180"/>
      <c r="AV11" s="1294"/>
      <c r="AW11" s="2163"/>
      <c r="AX11" s="1294"/>
      <c r="AY11" s="28"/>
      <c r="AZ11" s="28"/>
      <c r="BA11" s="28"/>
      <c r="BB11" s="2185" t="str">
        <f>I10</f>
        <v>住宅</v>
      </c>
      <c r="BC11" s="2185" t="str">
        <f>K10</f>
        <v>车库</v>
      </c>
      <c r="BD11" s="2185" t="str">
        <f>M10</f>
        <v>商业</v>
      </c>
      <c r="BE11" s="2185" t="str">
        <f>O10</f>
        <v>办公</v>
      </c>
      <c r="BF11" s="2185" t="str">
        <f>Q10</f>
        <v>商业</v>
      </c>
      <c r="BG11" s="2185" t="str">
        <f>S10</f>
        <v>住宅</v>
      </c>
      <c r="BH11" s="2185" t="str">
        <f>U10</f>
        <v>仓储</v>
      </c>
      <c r="BI11" s="2185" t="str">
        <f>W10</f>
        <v>住宅</v>
      </c>
      <c r="BJ11" s="2185" t="str">
        <f>Y10</f>
        <v>仓储</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7"/>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叠拼</v>
      </c>
      <c r="BC12" s="2210" t="str">
        <f>K11</f>
        <v>车库</v>
      </c>
      <c r="BD12" s="2210" t="str">
        <f>M11</f>
        <v>底商</v>
      </c>
      <c r="BE12" s="2185" t="str">
        <f>O11</f>
        <v>办公楼</v>
      </c>
      <c r="BF12" s="2185" t="str">
        <f>Q11</f>
        <v>底商</v>
      </c>
      <c r="BG12" s="2185" t="str">
        <f>S11</f>
        <v>限价商品房</v>
      </c>
      <c r="BH12" s="2185" t="str">
        <f>U11</f>
        <v>戊类库房</v>
      </c>
      <c r="BI12" s="2185" t="str">
        <f>W11</f>
        <v>普通住宅</v>
      </c>
      <c r="BJ12" s="2185" t="str">
        <f>Y11</f>
        <v>戊类库房</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1" t="s">
        <v>3051</v>
      </c>
      <c r="D13" s="2211" t="s">
        <v>3042</v>
      </c>
      <c r="E13" s="16">
        <f>IF($C$3="是",ROUND($A$3*G13/$B$3,2),ROUND($A$3*(G13-AT13)/$B$3,2))</f>
        <v>3435.11</v>
      </c>
      <c r="F13" s="32"/>
      <c r="G13" s="33">
        <f>H13+AC13+AT13</f>
        <v>12609.74</v>
      </c>
      <c r="H13" s="20">
        <f>SUMIF(I$12:AB$12,"总值",I13:AB13)</f>
        <v>12609.74</v>
      </c>
      <c r="I13" s="2212">
        <f>860.3+172.61+669.56+326.89+343.4+823.98</f>
        <v>3196.74</v>
      </c>
      <c r="J13" s="2212"/>
      <c r="K13" s="2212">
        <v>9413</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在建部分</v>
      </c>
      <c r="AY13" s="1807">
        <f>ROUND($AY$6*AZ13/$AZ$5,2)</f>
        <v>3435.11</v>
      </c>
      <c r="AZ13" s="16">
        <f>BA13+BL13</f>
        <v>12609.74</v>
      </c>
      <c r="BA13" s="16">
        <f>SUM(BB13:BK13)</f>
        <v>12609.74</v>
      </c>
      <c r="BB13" s="16">
        <f>IF($D13="是",I13-J13,0)</f>
        <v>3196.74</v>
      </c>
      <c r="BC13" s="16">
        <f>IF($D13="是",K13-L13,0)</f>
        <v>9413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2941" t="s">
        <v>3056</v>
      </c>
      <c r="C14" s="2151" t="s">
        <v>3057</v>
      </c>
      <c r="D14" s="2211" t="s">
        <v>3058</v>
      </c>
      <c r="E14" s="16">
        <f>IF($C$3="是",ROUND($A$3*G14/$B$3,2),ROUND($A$3*(G14-AT14)/$B$3,2))</f>
        <v>7838.6</v>
      </c>
      <c r="F14" s="32"/>
      <c r="G14" s="33">
        <f>H14+AC14+AT14</f>
        <v>28774.260000000002</v>
      </c>
      <c r="H14" s="20">
        <f>SUMIF(I$12:AB$12,"总值",I14:AB14)</f>
        <v>28774.260000000002</v>
      </c>
      <c r="I14" s="2212"/>
      <c r="J14" s="2212"/>
      <c r="K14" s="2212"/>
      <c r="L14" s="2212"/>
      <c r="M14" s="2212">
        <v>5204.51</v>
      </c>
      <c r="N14" s="2212"/>
      <c r="O14" s="2212">
        <v>23569.75</v>
      </c>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面积说明</v>
      </c>
      <c r="AX14" s="11" t="str">
        <f t="shared" si="6"/>
        <v>1#商业办公楼</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2941" t="s">
        <v>3056</v>
      </c>
      <c r="C15" s="2151" t="s">
        <v>3060</v>
      </c>
      <c r="D15" s="2211" t="s">
        <v>3058</v>
      </c>
      <c r="E15" s="16">
        <f>IF($C$3="是",ROUND($A$3*G15/$B$3,2),ROUND($A$3*(G15-AT15)/$B$3,2))</f>
        <v>7881.17</v>
      </c>
      <c r="F15" s="32"/>
      <c r="G15" s="33">
        <f>H15+AC15+AT15</f>
        <v>28930.539999999997</v>
      </c>
      <c r="H15" s="20">
        <f>SUMIF(I$12:AB$12,"总值",I15:AB15)</f>
        <v>28930.539999999997</v>
      </c>
      <c r="I15" s="2212"/>
      <c r="J15" s="2212"/>
      <c r="K15" s="2212">
        <v>570.1</v>
      </c>
      <c r="L15" s="2212"/>
      <c r="M15" s="2212">
        <v>27138.89</v>
      </c>
      <c r="N15" s="2212"/>
      <c r="O15" s="2212"/>
      <c r="P15" s="2212"/>
      <c r="Q15" s="2212">
        <v>1221.55</v>
      </c>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面积说明</v>
      </c>
      <c r="AX15" s="11" t="str">
        <f t="shared" si="6"/>
        <v>2#商业楼</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2941" t="s">
        <v>3056</v>
      </c>
      <c r="C16" s="2151" t="s">
        <v>3061</v>
      </c>
      <c r="D16" s="2211" t="s">
        <v>3058</v>
      </c>
      <c r="E16" s="16">
        <f>IF($C$3="是",ROUND($A$3*G16/$B$3,2),ROUND($A$3*(G16-AT16)/$B$3,2))</f>
        <v>1147.29</v>
      </c>
      <c r="F16" s="32"/>
      <c r="G16" s="33">
        <f>H16+AC16+AT16</f>
        <v>4211.53</v>
      </c>
      <c r="H16" s="20">
        <f>SUMIF(I$12:AB$12,"总值",I16:AB16)</f>
        <v>4211.53</v>
      </c>
      <c r="I16" s="2212"/>
      <c r="J16" s="2212"/>
      <c r="K16" s="2212">
        <v>89.13</v>
      </c>
      <c r="L16" s="2212"/>
      <c r="M16" s="2212">
        <v>3763.52</v>
      </c>
      <c r="N16" s="2212"/>
      <c r="O16" s="2212"/>
      <c r="P16" s="2212"/>
      <c r="Q16" s="2212">
        <v>358.88</v>
      </c>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面积说明</v>
      </c>
      <c r="AX16" s="11" t="str">
        <f t="shared" si="6"/>
        <v>3#商业楼</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v>4</v>
      </c>
      <c r="D17" s="2211" t="s">
        <v>3058</v>
      </c>
      <c r="E17" s="16">
        <f>IF($C$3="是",ROUND($A$3*G17/$B$3,2),ROUND($A$3*(G17-AT17)/$B$3,2))</f>
        <v>6219.81</v>
      </c>
      <c r="F17" s="32"/>
      <c r="G17" s="33">
        <f>H17+AC17+AT17</f>
        <v>22831.96</v>
      </c>
      <c r="H17" s="20">
        <f>SUMIF(I$12:AB$12,"总值",I17:AB17)</f>
        <v>22831.96</v>
      </c>
      <c r="I17" s="2212"/>
      <c r="J17" s="2212"/>
      <c r="K17" s="2212"/>
      <c r="L17" s="2212"/>
      <c r="M17" s="2212"/>
      <c r="N17" s="2212"/>
      <c r="O17" s="2212"/>
      <c r="P17" s="2212"/>
      <c r="Q17" s="2212"/>
      <c r="R17" s="2212"/>
      <c r="S17" s="2212">
        <v>22670.959999999999</v>
      </c>
      <c r="T17" s="2212"/>
      <c r="U17" s="12"/>
      <c r="V17" s="2212"/>
      <c r="W17" s="2212"/>
      <c r="X17" s="2212"/>
      <c r="Y17" s="2212">
        <v>161</v>
      </c>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4</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IF($D17="是",Y17-V17,0)</f>
        <v>0</v>
      </c>
      <c r="BI17" s="16">
        <f>IF($D17="是",W17-X17,0)</f>
        <v>0</v>
      </c>
      <c r="BJ17" s="16">
        <f>IF($D17="是",#REF!-Z17,0)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11" t="s">
        <v>3058</v>
      </c>
      <c r="E18" s="35">
        <f t="shared" ref="E18:E112" si="7">IF($C$3="是",ROUND($A$3*G18/$B$3,2),ROUND($A$3*(G18-AT18)/$B$3,2))</f>
        <v>7330.12</v>
      </c>
      <c r="F18" s="36"/>
      <c r="G18" s="37">
        <f t="shared" ref="G18:G109" si="8">H18+AC18+AT18</f>
        <v>26907.710000000003</v>
      </c>
      <c r="H18" s="38">
        <f t="shared" ref="H18:H109" si="9">SUMIF(I$12:AB$12,"总值",I18:AB18)</f>
        <v>26907.710000000003</v>
      </c>
      <c r="I18" s="39"/>
      <c r="J18" s="39"/>
      <c r="K18" s="39"/>
      <c r="L18" s="39"/>
      <c r="M18" s="39">
        <v>502.65</v>
      </c>
      <c r="N18" s="39"/>
      <c r="O18" s="39"/>
      <c r="P18" s="39"/>
      <c r="Q18" s="39"/>
      <c r="R18" s="39"/>
      <c r="S18" s="39">
        <v>26095.9</v>
      </c>
      <c r="T18" s="39"/>
      <c r="U18" s="2415"/>
      <c r="V18" s="39"/>
      <c r="W18" s="39"/>
      <c r="X18" s="39"/>
      <c r="Y18" s="39">
        <v>309.16000000000003</v>
      </c>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IF($D18="是",Y18-V18,0)</f>
        <v>0</v>
      </c>
      <c r="BI18" s="35">
        <f t="shared" ref="BI18:BI109" si="23">IF($D18="是",W18-X18,0)</f>
        <v>0</v>
      </c>
      <c r="BJ18" s="35">
        <f>IF($D18="是",#REF!-Z18,0)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c r="A19" s="9"/>
      <c r="B19" s="2973" t="s">
        <v>3330</v>
      </c>
      <c r="C19" s="34">
        <v>6</v>
      </c>
      <c r="D19" s="2211" t="s">
        <v>3058</v>
      </c>
      <c r="E19" s="35">
        <f t="shared" si="7"/>
        <v>98.14</v>
      </c>
      <c r="F19" s="36"/>
      <c r="G19" s="37">
        <f t="shared" si="8"/>
        <v>360.25</v>
      </c>
      <c r="H19" s="38">
        <f t="shared" si="9"/>
        <v>360.25</v>
      </c>
      <c r="I19" s="39"/>
      <c r="J19" s="39"/>
      <c r="K19" s="39"/>
      <c r="L19" s="39"/>
      <c r="M19" s="39"/>
      <c r="N19" s="39"/>
      <c r="O19" s="39"/>
      <c r="P19" s="39"/>
      <c r="Q19" s="39"/>
      <c r="R19" s="39"/>
      <c r="S19" s="39"/>
      <c r="T19" s="39"/>
      <c r="U19" s="39"/>
      <c r="V19" s="39"/>
      <c r="W19" s="39">
        <v>360.25</v>
      </c>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t="str">
        <f t="shared" si="12"/>
        <v>测绘</v>
      </c>
      <c r="AX19" s="1796">
        <f t="shared" si="13"/>
        <v>6</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ref="BH19:BH109" si="34">IF($D19="是",U19-V19,0)</f>
        <v>0</v>
      </c>
      <c r="BI19" s="35">
        <f t="shared" si="23"/>
        <v>0</v>
      </c>
      <c r="BJ19" s="35">
        <f t="shared" ref="BJ19:BJ109" si="35">IF($D19="是",Y19-Z19,0)</f>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34">
        <v>7</v>
      </c>
      <c r="D20" s="2211" t="s">
        <v>3058</v>
      </c>
      <c r="E20" s="35">
        <f t="shared" si="7"/>
        <v>1306.05</v>
      </c>
      <c r="F20" s="36"/>
      <c r="G20" s="37">
        <f t="shared" si="8"/>
        <v>4794.29</v>
      </c>
      <c r="H20" s="38">
        <f t="shared" si="9"/>
        <v>4794.29</v>
      </c>
      <c r="I20" s="39">
        <v>3196.42</v>
      </c>
      <c r="J20" s="39"/>
      <c r="K20" s="39"/>
      <c r="L20" s="39"/>
      <c r="M20" s="39"/>
      <c r="N20" s="39"/>
      <c r="O20" s="39"/>
      <c r="P20" s="39"/>
      <c r="Q20" s="39"/>
      <c r="R20" s="39"/>
      <c r="S20" s="39"/>
      <c r="T20" s="39"/>
      <c r="U20" s="39">
        <v>1597.87</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7</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34"/>
        <v>0</v>
      </c>
      <c r="BI20" s="35">
        <f t="shared" si="23"/>
        <v>0</v>
      </c>
      <c r="BJ20" s="35">
        <f t="shared" si="35"/>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v>8</v>
      </c>
      <c r="D21" s="2211" t="s">
        <v>3058</v>
      </c>
      <c r="E21" s="35">
        <f t="shared" si="7"/>
        <v>1744.47</v>
      </c>
      <c r="F21" s="36"/>
      <c r="G21" s="37">
        <f t="shared" si="8"/>
        <v>6403.68</v>
      </c>
      <c r="H21" s="38">
        <f t="shared" si="9"/>
        <v>6403.68</v>
      </c>
      <c r="I21" s="39">
        <v>4266.22</v>
      </c>
      <c r="J21" s="39"/>
      <c r="K21" s="39"/>
      <c r="L21" s="39"/>
      <c r="M21" s="39"/>
      <c r="N21" s="39"/>
      <c r="O21" s="39"/>
      <c r="P21" s="39"/>
      <c r="Q21" s="39"/>
      <c r="R21" s="39"/>
      <c r="S21" s="39"/>
      <c r="T21" s="39"/>
      <c r="U21" s="39">
        <v>2137.46</v>
      </c>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8</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34"/>
        <v>0</v>
      </c>
      <c r="BI21" s="35">
        <f t="shared" si="23"/>
        <v>0</v>
      </c>
      <c r="BJ21" s="35">
        <f t="shared" si="35"/>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v>9</v>
      </c>
      <c r="D22" s="2211" t="s">
        <v>3058</v>
      </c>
      <c r="E22" s="35">
        <f t="shared" si="7"/>
        <v>1744.47</v>
      </c>
      <c r="F22" s="36"/>
      <c r="G22" s="37">
        <f t="shared" si="8"/>
        <v>6403.68</v>
      </c>
      <c r="H22" s="38">
        <f t="shared" si="9"/>
        <v>6403.68</v>
      </c>
      <c r="I22" s="39">
        <v>4266.22</v>
      </c>
      <c r="J22" s="39"/>
      <c r="K22" s="39"/>
      <c r="L22" s="39"/>
      <c r="M22" s="39"/>
      <c r="N22" s="39"/>
      <c r="O22" s="39"/>
      <c r="P22" s="39"/>
      <c r="Q22" s="39"/>
      <c r="R22" s="39"/>
      <c r="S22" s="39"/>
      <c r="T22" s="39"/>
      <c r="U22" s="39">
        <v>2137.46</v>
      </c>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9</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34"/>
        <v>0</v>
      </c>
      <c r="BI22" s="35">
        <f t="shared" si="23"/>
        <v>0</v>
      </c>
      <c r="BJ22" s="35">
        <f t="shared" si="35"/>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v>10</v>
      </c>
      <c r="D23" s="2211" t="s">
        <v>3058</v>
      </c>
      <c r="E23" s="35">
        <f t="shared" si="7"/>
        <v>2179.46</v>
      </c>
      <c r="F23" s="36"/>
      <c r="G23" s="37">
        <f t="shared" si="8"/>
        <v>8000.4599999999991</v>
      </c>
      <c r="H23" s="38">
        <f t="shared" si="9"/>
        <v>8000.4599999999991</v>
      </c>
      <c r="I23" s="39">
        <v>5318.03</v>
      </c>
      <c r="J23" s="39"/>
      <c r="K23" s="39"/>
      <c r="L23" s="39"/>
      <c r="M23" s="39"/>
      <c r="N23" s="39"/>
      <c r="O23" s="39"/>
      <c r="P23" s="39"/>
      <c r="Q23" s="39"/>
      <c r="R23" s="39"/>
      <c r="S23" s="39"/>
      <c r="T23" s="39"/>
      <c r="U23" s="39">
        <v>2682.43</v>
      </c>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10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34"/>
        <v>0</v>
      </c>
      <c r="BI23" s="35">
        <f t="shared" si="23"/>
        <v>0</v>
      </c>
      <c r="BJ23" s="35">
        <f t="shared" si="35"/>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c r="A24" s="9"/>
      <c r="B24" s="2973" t="s">
        <v>3330</v>
      </c>
      <c r="C24" s="34">
        <v>11</v>
      </c>
      <c r="D24" s="2211" t="s">
        <v>3058</v>
      </c>
      <c r="E24" s="35">
        <f t="shared" si="7"/>
        <v>175.55</v>
      </c>
      <c r="F24" s="36"/>
      <c r="G24" s="37">
        <f t="shared" si="8"/>
        <v>644.41999999999996</v>
      </c>
      <c r="H24" s="38">
        <f t="shared" si="9"/>
        <v>644.41999999999996</v>
      </c>
      <c r="I24" s="39"/>
      <c r="J24" s="39"/>
      <c r="K24" s="39"/>
      <c r="L24" s="39"/>
      <c r="M24" s="39"/>
      <c r="N24" s="39"/>
      <c r="O24" s="39"/>
      <c r="P24" s="39"/>
      <c r="Q24" s="39"/>
      <c r="R24" s="39"/>
      <c r="S24" s="39"/>
      <c r="T24" s="39"/>
      <c r="U24" s="39"/>
      <c r="V24" s="39"/>
      <c r="W24" s="39">
        <v>644.41999999999996</v>
      </c>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t="str">
        <f t="shared" si="12"/>
        <v>测绘</v>
      </c>
      <c r="AX24" s="1796">
        <f t="shared" si="13"/>
        <v>11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34"/>
        <v>0</v>
      </c>
      <c r="BI24" s="35">
        <f t="shared" si="23"/>
        <v>0</v>
      </c>
      <c r="BJ24" s="35">
        <f t="shared" si="35"/>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c r="A25" s="9"/>
      <c r="B25" s="2973" t="s">
        <v>3330</v>
      </c>
      <c r="C25" s="34">
        <v>18</v>
      </c>
      <c r="D25" s="2211" t="s">
        <v>3058</v>
      </c>
      <c r="E25" s="35">
        <f t="shared" si="7"/>
        <v>229.67</v>
      </c>
      <c r="F25" s="36"/>
      <c r="G25" s="37">
        <f t="shared" si="8"/>
        <v>843.1</v>
      </c>
      <c r="H25" s="38">
        <f t="shared" si="9"/>
        <v>843.1</v>
      </c>
      <c r="I25" s="39"/>
      <c r="J25" s="39"/>
      <c r="K25" s="39"/>
      <c r="L25" s="39"/>
      <c r="M25" s="39"/>
      <c r="N25" s="39"/>
      <c r="O25" s="39"/>
      <c r="P25" s="39"/>
      <c r="Q25" s="39"/>
      <c r="R25" s="39"/>
      <c r="S25" s="39"/>
      <c r="T25" s="39"/>
      <c r="U25" s="39"/>
      <c r="V25" s="39"/>
      <c r="W25" s="39">
        <v>843.1</v>
      </c>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t="str">
        <f t="shared" si="12"/>
        <v>测绘</v>
      </c>
      <c r="AX25" s="1796">
        <f t="shared" si="13"/>
        <v>18</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34"/>
        <v>0</v>
      </c>
      <c r="BI25" s="35">
        <f t="shared" si="23"/>
        <v>0</v>
      </c>
      <c r="BJ25" s="35">
        <f t="shared" si="35"/>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c r="A26" s="9"/>
      <c r="B26" s="2973" t="s">
        <v>3330</v>
      </c>
      <c r="C26" s="34">
        <v>24</v>
      </c>
      <c r="D26" s="2211" t="s">
        <v>3058</v>
      </c>
      <c r="E26" s="35">
        <f t="shared" si="7"/>
        <v>519.79999999999995</v>
      </c>
      <c r="F26" s="36"/>
      <c r="G26" s="37">
        <f t="shared" si="8"/>
        <v>1908.12</v>
      </c>
      <c r="H26" s="38">
        <f t="shared" si="9"/>
        <v>1908.12</v>
      </c>
      <c r="I26" s="39"/>
      <c r="J26" s="39"/>
      <c r="K26" s="39"/>
      <c r="L26" s="39"/>
      <c r="M26" s="39"/>
      <c r="N26" s="39"/>
      <c r="O26" s="39"/>
      <c r="P26" s="39"/>
      <c r="Q26" s="39"/>
      <c r="R26" s="39"/>
      <c r="S26" s="39"/>
      <c r="T26" s="39"/>
      <c r="U26" s="39"/>
      <c r="V26" s="39"/>
      <c r="W26" s="39">
        <v>1908.12</v>
      </c>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t="str">
        <f t="shared" si="12"/>
        <v>测绘</v>
      </c>
      <c r="AX26" s="1796">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34"/>
        <v>0</v>
      </c>
      <c r="BI26" s="35">
        <f t="shared" si="23"/>
        <v>0</v>
      </c>
      <c r="BJ26" s="35">
        <f t="shared" si="35"/>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ht="28.5">
      <c r="A27" s="9"/>
      <c r="B27" s="34"/>
      <c r="C27" s="34" t="s">
        <v>3308</v>
      </c>
      <c r="D27" s="2216" t="s">
        <v>3058</v>
      </c>
      <c r="E27" s="35">
        <f t="shared" si="7"/>
        <v>9685.43</v>
      </c>
      <c r="F27" s="36"/>
      <c r="G27" s="37">
        <f t="shared" si="8"/>
        <v>35553.72</v>
      </c>
      <c r="H27" s="38">
        <f t="shared" si="9"/>
        <v>35553.72</v>
      </c>
      <c r="I27" s="39"/>
      <c r="J27" s="39"/>
      <c r="K27" s="39">
        <v>35553.72</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2#地下车库</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34"/>
        <v>0</v>
      </c>
      <c r="BI27" s="35">
        <f t="shared" si="23"/>
        <v>0</v>
      </c>
      <c r="BJ27" s="35">
        <f t="shared" si="35"/>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34"/>
        <v>0</v>
      </c>
      <c r="BI28" s="35">
        <f t="shared" si="23"/>
        <v>0</v>
      </c>
      <c r="BJ28" s="35">
        <f t="shared" si="35"/>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34"/>
        <v>0</v>
      </c>
      <c r="BI29" s="35">
        <f t="shared" si="23"/>
        <v>0</v>
      </c>
      <c r="BJ29" s="35">
        <f t="shared" si="35"/>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34"/>
        <v>0</v>
      </c>
      <c r="BI30" s="35">
        <f t="shared" si="23"/>
        <v>0</v>
      </c>
      <c r="BJ30" s="35">
        <f t="shared" si="35"/>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34"/>
        <v>0</v>
      </c>
      <c r="BI31" s="35">
        <f t="shared" si="23"/>
        <v>0</v>
      </c>
      <c r="BJ31" s="35">
        <f t="shared" si="35"/>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34"/>
        <v>0</v>
      </c>
      <c r="BI32" s="35">
        <f t="shared" si="23"/>
        <v>0</v>
      </c>
      <c r="BJ32" s="35">
        <f t="shared" si="35"/>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34"/>
        <v>0</v>
      </c>
      <c r="BI33" s="35">
        <f t="shared" si="23"/>
        <v>0</v>
      </c>
      <c r="BJ33" s="35">
        <f t="shared" si="35"/>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34"/>
        <v>0</v>
      </c>
      <c r="BI34" s="35">
        <f t="shared" si="23"/>
        <v>0</v>
      </c>
      <c r="BJ34" s="35">
        <f t="shared" si="35"/>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34"/>
        <v>0</v>
      </c>
      <c r="BI35" s="35">
        <f t="shared" si="23"/>
        <v>0</v>
      </c>
      <c r="BJ35" s="35">
        <f t="shared" si="35"/>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34"/>
        <v>0</v>
      </c>
      <c r="BI36" s="35">
        <f t="shared" si="23"/>
        <v>0</v>
      </c>
      <c r="BJ36" s="35">
        <f t="shared" si="35"/>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34"/>
        <v>0</v>
      </c>
      <c r="BI37" s="35">
        <f t="shared" si="23"/>
        <v>0</v>
      </c>
      <c r="BJ37" s="35">
        <f t="shared" si="35"/>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34"/>
        <v>0</v>
      </c>
      <c r="BI38" s="35">
        <f t="shared" si="23"/>
        <v>0</v>
      </c>
      <c r="BJ38" s="35">
        <f t="shared" si="35"/>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34"/>
        <v>0</v>
      </c>
      <c r="BI39" s="35">
        <f t="shared" si="23"/>
        <v>0</v>
      </c>
      <c r="BJ39" s="35">
        <f t="shared" si="35"/>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34"/>
        <v>0</v>
      </c>
      <c r="BI40" s="35">
        <f t="shared" si="23"/>
        <v>0</v>
      </c>
      <c r="BJ40" s="35">
        <f t="shared" si="35"/>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34"/>
        <v>0</v>
      </c>
      <c r="BI41" s="35">
        <f t="shared" si="23"/>
        <v>0</v>
      </c>
      <c r="BJ41" s="35">
        <f t="shared" si="35"/>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34"/>
        <v>0</v>
      </c>
      <c r="BI42" s="35">
        <f t="shared" si="23"/>
        <v>0</v>
      </c>
      <c r="BJ42" s="35">
        <f t="shared" si="35"/>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34"/>
        <v>0</v>
      </c>
      <c r="BI43" s="35">
        <f t="shared" si="23"/>
        <v>0</v>
      </c>
      <c r="BJ43" s="35">
        <f t="shared" si="35"/>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34"/>
        <v>0</v>
      </c>
      <c r="BI44" s="35">
        <f t="shared" si="23"/>
        <v>0</v>
      </c>
      <c r="BJ44" s="35">
        <f t="shared" si="35"/>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34"/>
        <v>0</v>
      </c>
      <c r="BI45" s="35">
        <f t="shared" si="23"/>
        <v>0</v>
      </c>
      <c r="BJ45" s="35">
        <f t="shared" si="35"/>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34"/>
        <v>0</v>
      </c>
      <c r="BI46" s="35">
        <f t="shared" si="23"/>
        <v>0</v>
      </c>
      <c r="BJ46" s="35">
        <f t="shared" si="35"/>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34"/>
        <v>0</v>
      </c>
      <c r="BI47" s="35">
        <f t="shared" si="23"/>
        <v>0</v>
      </c>
      <c r="BJ47" s="35">
        <f t="shared" si="35"/>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34"/>
        <v>0</v>
      </c>
      <c r="BI48" s="35">
        <f t="shared" si="23"/>
        <v>0</v>
      </c>
      <c r="BJ48" s="35">
        <f t="shared" si="35"/>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34"/>
        <v>0</v>
      </c>
      <c r="BI49" s="35">
        <f t="shared" si="23"/>
        <v>0</v>
      </c>
      <c r="BJ49" s="35">
        <f t="shared" si="35"/>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34"/>
        <v>0</v>
      </c>
      <c r="BI50" s="35">
        <f t="shared" si="23"/>
        <v>0</v>
      </c>
      <c r="BJ50" s="35">
        <f t="shared" si="35"/>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34"/>
        <v>0</v>
      </c>
      <c r="BI51" s="35">
        <f t="shared" si="23"/>
        <v>0</v>
      </c>
      <c r="BJ51" s="35">
        <f t="shared" si="35"/>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34"/>
        <v>0</v>
      </c>
      <c r="BI52" s="35">
        <f t="shared" si="23"/>
        <v>0</v>
      </c>
      <c r="BJ52" s="35">
        <f t="shared" si="35"/>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34"/>
        <v>0</v>
      </c>
      <c r="BI53" s="35">
        <f t="shared" si="23"/>
        <v>0</v>
      </c>
      <c r="BJ53" s="35">
        <f t="shared" si="35"/>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34"/>
        <v>0</v>
      </c>
      <c r="BI54" s="35">
        <f t="shared" si="23"/>
        <v>0</v>
      </c>
      <c r="BJ54" s="35">
        <f t="shared" si="35"/>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34"/>
        <v>0</v>
      </c>
      <c r="BI55" s="35">
        <f t="shared" si="23"/>
        <v>0</v>
      </c>
      <c r="BJ55" s="35">
        <f t="shared" si="35"/>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34"/>
        <v>0</v>
      </c>
      <c r="BI56" s="35">
        <f t="shared" si="23"/>
        <v>0</v>
      </c>
      <c r="BJ56" s="35">
        <f t="shared" si="35"/>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34"/>
        <v>0</v>
      </c>
      <c r="BI57" s="35">
        <f t="shared" si="23"/>
        <v>0</v>
      </c>
      <c r="BJ57" s="35">
        <f t="shared" si="35"/>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34"/>
        <v>0</v>
      </c>
      <c r="BI58" s="35">
        <f t="shared" si="23"/>
        <v>0</v>
      </c>
      <c r="BJ58" s="35">
        <f t="shared" si="35"/>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34"/>
        <v>0</v>
      </c>
      <c r="BI59" s="35">
        <f t="shared" si="23"/>
        <v>0</v>
      </c>
      <c r="BJ59" s="35">
        <f t="shared" si="35"/>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34"/>
        <v>0</v>
      </c>
      <c r="BI60" s="35">
        <f t="shared" si="23"/>
        <v>0</v>
      </c>
      <c r="BJ60" s="35">
        <f t="shared" si="35"/>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34"/>
        <v>0</v>
      </c>
      <c r="BI61" s="35">
        <f t="shared" si="23"/>
        <v>0</v>
      </c>
      <c r="BJ61" s="35">
        <f t="shared" si="35"/>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34"/>
        <v>0</v>
      </c>
      <c r="BI62" s="35">
        <f t="shared" si="23"/>
        <v>0</v>
      </c>
      <c r="BJ62" s="35">
        <f t="shared" si="35"/>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34"/>
        <v>0</v>
      </c>
      <c r="BI63" s="35">
        <f t="shared" si="23"/>
        <v>0</v>
      </c>
      <c r="BJ63" s="35">
        <f t="shared" si="35"/>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34"/>
        <v>0</v>
      </c>
      <c r="BI64" s="35">
        <f t="shared" si="23"/>
        <v>0</v>
      </c>
      <c r="BJ64" s="35">
        <f t="shared" si="35"/>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34"/>
        <v>0</v>
      </c>
      <c r="BI65" s="35">
        <f t="shared" si="23"/>
        <v>0</v>
      </c>
      <c r="BJ65" s="35">
        <f t="shared" si="35"/>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34"/>
        <v>0</v>
      </c>
      <c r="BI66" s="35">
        <f t="shared" si="23"/>
        <v>0</v>
      </c>
      <c r="BJ66" s="35">
        <f t="shared" si="35"/>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34"/>
        <v>0</v>
      </c>
      <c r="BI67" s="35">
        <f t="shared" si="23"/>
        <v>0</v>
      </c>
      <c r="BJ67" s="35">
        <f t="shared" si="35"/>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34"/>
        <v>0</v>
      </c>
      <c r="BI68" s="35">
        <f t="shared" si="23"/>
        <v>0</v>
      </c>
      <c r="BJ68" s="35">
        <f t="shared" si="35"/>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34"/>
        <v>0</v>
      </c>
      <c r="BI69" s="35">
        <f t="shared" si="23"/>
        <v>0</v>
      </c>
      <c r="BJ69" s="35">
        <f t="shared" si="35"/>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34"/>
        <v>0</v>
      </c>
      <c r="BI70" s="35">
        <f t="shared" si="23"/>
        <v>0</v>
      </c>
      <c r="BJ70" s="35">
        <f t="shared" si="35"/>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34"/>
        <v>0</v>
      </c>
      <c r="BI71" s="35">
        <f t="shared" si="23"/>
        <v>0</v>
      </c>
      <c r="BJ71" s="35">
        <f t="shared" si="35"/>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34"/>
        <v>0</v>
      </c>
      <c r="BI72" s="35">
        <f t="shared" si="23"/>
        <v>0</v>
      </c>
      <c r="BJ72" s="35">
        <f t="shared" si="35"/>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34"/>
        <v>0</v>
      </c>
      <c r="BI73" s="35">
        <f t="shared" si="23"/>
        <v>0</v>
      </c>
      <c r="BJ73" s="35">
        <f t="shared" si="35"/>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34"/>
        <v>0</v>
      </c>
      <c r="BI74" s="35">
        <f t="shared" si="23"/>
        <v>0</v>
      </c>
      <c r="BJ74" s="35">
        <f t="shared" si="35"/>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34"/>
        <v>0</v>
      </c>
      <c r="BI75" s="35">
        <f t="shared" si="23"/>
        <v>0</v>
      </c>
      <c r="BJ75" s="35">
        <f t="shared" si="35"/>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34"/>
        <v>0</v>
      </c>
      <c r="BI76" s="35">
        <f t="shared" si="23"/>
        <v>0</v>
      </c>
      <c r="BJ76" s="35">
        <f t="shared" si="35"/>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34"/>
        <v>0</v>
      </c>
      <c r="BI77" s="35">
        <f t="shared" si="23"/>
        <v>0</v>
      </c>
      <c r="BJ77" s="35">
        <f t="shared" si="35"/>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34"/>
        <v>0</v>
      </c>
      <c r="BI78" s="35">
        <f t="shared" si="23"/>
        <v>0</v>
      </c>
      <c r="BJ78" s="35">
        <f t="shared" si="35"/>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34"/>
        <v>0</v>
      </c>
      <c r="BI79" s="35">
        <f t="shared" si="23"/>
        <v>0</v>
      </c>
      <c r="BJ79" s="35">
        <f t="shared" si="35"/>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34"/>
        <v>0</v>
      </c>
      <c r="BI80" s="35">
        <f t="shared" si="23"/>
        <v>0</v>
      </c>
      <c r="BJ80" s="35">
        <f t="shared" si="35"/>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34"/>
        <v>0</v>
      </c>
      <c r="BI81" s="35">
        <f t="shared" si="23"/>
        <v>0</v>
      </c>
      <c r="BJ81" s="35">
        <f t="shared" si="35"/>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34"/>
        <v>0</v>
      </c>
      <c r="BI82" s="35">
        <f t="shared" si="23"/>
        <v>0</v>
      </c>
      <c r="BJ82" s="35">
        <f t="shared" si="35"/>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34"/>
        <v>0</v>
      </c>
      <c r="BI83" s="35">
        <f t="shared" si="23"/>
        <v>0</v>
      </c>
      <c r="BJ83" s="35">
        <f t="shared" si="35"/>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34"/>
        <v>0</v>
      </c>
      <c r="BI84" s="35">
        <f t="shared" si="23"/>
        <v>0</v>
      </c>
      <c r="BJ84" s="35">
        <f t="shared" si="35"/>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34"/>
        <v>0</v>
      </c>
      <c r="BI85" s="35">
        <f t="shared" si="23"/>
        <v>0</v>
      </c>
      <c r="BJ85" s="35">
        <f t="shared" si="35"/>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34"/>
        <v>0</v>
      </c>
      <c r="BI86" s="35">
        <f t="shared" si="23"/>
        <v>0</v>
      </c>
      <c r="BJ86" s="35">
        <f t="shared" si="35"/>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34"/>
        <v>0</v>
      </c>
      <c r="BI87" s="35">
        <f t="shared" si="23"/>
        <v>0</v>
      </c>
      <c r="BJ87" s="35">
        <f t="shared" si="35"/>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34"/>
        <v>0</v>
      </c>
      <c r="BI88" s="35">
        <f t="shared" si="23"/>
        <v>0</v>
      </c>
      <c r="BJ88" s="35">
        <f t="shared" si="35"/>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34"/>
        <v>0</v>
      </c>
      <c r="BI89" s="35">
        <f t="shared" si="23"/>
        <v>0</v>
      </c>
      <c r="BJ89" s="35">
        <f t="shared" si="35"/>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34"/>
        <v>0</v>
      </c>
      <c r="BI90" s="35">
        <f t="shared" si="23"/>
        <v>0</v>
      </c>
      <c r="BJ90" s="35">
        <f t="shared" si="35"/>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34"/>
        <v>0</v>
      </c>
      <c r="BI91" s="35">
        <f t="shared" si="23"/>
        <v>0</v>
      </c>
      <c r="BJ91" s="35">
        <f t="shared" si="35"/>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34"/>
        <v>0</v>
      </c>
      <c r="BI92" s="35">
        <f t="shared" si="23"/>
        <v>0</v>
      </c>
      <c r="BJ92" s="35">
        <f t="shared" si="35"/>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34"/>
        <v>0</v>
      </c>
      <c r="BI93" s="35">
        <f t="shared" si="23"/>
        <v>0</v>
      </c>
      <c r="BJ93" s="35">
        <f t="shared" si="35"/>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34"/>
        <v>0</v>
      </c>
      <c r="BI94" s="35">
        <f t="shared" si="23"/>
        <v>0</v>
      </c>
      <c r="BJ94" s="35">
        <f t="shared" si="35"/>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34"/>
        <v>0</v>
      </c>
      <c r="BI95" s="35">
        <f t="shared" si="23"/>
        <v>0</v>
      </c>
      <c r="BJ95" s="35">
        <f t="shared" si="35"/>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34"/>
        <v>0</v>
      </c>
      <c r="BI96" s="35">
        <f t="shared" si="23"/>
        <v>0</v>
      </c>
      <c r="BJ96" s="35">
        <f t="shared" si="35"/>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34"/>
        <v>0</v>
      </c>
      <c r="BI97" s="35">
        <f t="shared" si="23"/>
        <v>0</v>
      </c>
      <c r="BJ97" s="35">
        <f t="shared" si="35"/>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34"/>
        <v>0</v>
      </c>
      <c r="BI98" s="35">
        <f t="shared" si="23"/>
        <v>0</v>
      </c>
      <c r="BJ98" s="35">
        <f t="shared" si="35"/>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34"/>
        <v>0</v>
      </c>
      <c r="BI99" s="35">
        <f t="shared" si="23"/>
        <v>0</v>
      </c>
      <c r="BJ99" s="35">
        <f t="shared" si="35"/>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34"/>
        <v>0</v>
      </c>
      <c r="BI100" s="35">
        <f t="shared" si="23"/>
        <v>0</v>
      </c>
      <c r="BJ100" s="35">
        <f t="shared" si="35"/>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34"/>
        <v>0</v>
      </c>
      <c r="BI101" s="35">
        <f t="shared" si="23"/>
        <v>0</v>
      </c>
      <c r="BJ101" s="35">
        <f t="shared" si="35"/>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34"/>
        <v>0</v>
      </c>
      <c r="BI102" s="35">
        <f t="shared" si="23"/>
        <v>0</v>
      </c>
      <c r="BJ102" s="35">
        <f t="shared" si="35"/>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34"/>
        <v>0</v>
      </c>
      <c r="BI103" s="35">
        <f t="shared" si="23"/>
        <v>0</v>
      </c>
      <c r="BJ103" s="35">
        <f t="shared" si="35"/>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34"/>
        <v>0</v>
      </c>
      <c r="BI104" s="35">
        <f t="shared" si="23"/>
        <v>0</v>
      </c>
      <c r="BJ104" s="35">
        <f t="shared" si="35"/>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34"/>
        <v>0</v>
      </c>
      <c r="BI105" s="35">
        <f t="shared" si="23"/>
        <v>0</v>
      </c>
      <c r="BJ105" s="35">
        <f t="shared" si="35"/>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34"/>
        <v>0</v>
      </c>
      <c r="BI106" s="35">
        <f t="shared" si="23"/>
        <v>0</v>
      </c>
      <c r="BJ106" s="35">
        <f t="shared" si="35"/>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34"/>
        <v>0</v>
      </c>
      <c r="BI107" s="35">
        <f t="shared" si="23"/>
        <v>0</v>
      </c>
      <c r="BJ107" s="35">
        <f t="shared" si="35"/>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34"/>
        <v>0</v>
      </c>
      <c r="BI108" s="35">
        <f t="shared" si="23"/>
        <v>0</v>
      </c>
      <c r="BJ108" s="35">
        <f t="shared" si="35"/>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34"/>
        <v>0</v>
      </c>
      <c r="BI109" s="35">
        <f t="shared" si="23"/>
        <v>0</v>
      </c>
      <c r="BJ109" s="35">
        <f t="shared" si="35"/>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2" sqref="E1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3"/>
      <c r="C1" s="1393"/>
      <c r="D1" s="1393"/>
      <c r="E1" s="1393"/>
      <c r="F1" s="1393"/>
      <c r="G1" s="1393"/>
      <c r="H1" s="1393"/>
      <c r="I1" s="1393"/>
      <c r="J1" s="1393"/>
      <c r="K1" s="1393"/>
      <c r="L1" s="1393"/>
      <c r="M1" s="1393"/>
      <c r="N1" s="1393"/>
      <c r="O1" s="1393"/>
      <c r="P1" s="1393"/>
    </row>
    <row r="2" spans="1:16" ht="15">
      <c r="A2" s="3060" t="s">
        <v>1935</v>
      </c>
      <c r="B2" s="3060"/>
      <c r="C2" s="3060"/>
      <c r="D2" s="969" t="s">
        <v>1911</v>
      </c>
      <c r="E2" s="2225" t="s">
        <v>1912</v>
      </c>
      <c r="F2" s="1393"/>
      <c r="G2" s="2226"/>
      <c r="H2" s="2227"/>
      <c r="I2" s="2228" t="s">
        <v>1936</v>
      </c>
      <c r="J2" s="1393"/>
      <c r="K2" s="1393"/>
      <c r="L2" s="1393"/>
      <c r="M2" s="1393"/>
      <c r="N2" s="1428"/>
      <c r="O2" s="1393"/>
      <c r="P2" s="1393"/>
    </row>
    <row r="3" spans="1:16" ht="15.75" thickBot="1">
      <c r="A3" s="3061" t="s">
        <v>1909</v>
      </c>
      <c r="B3" s="3061"/>
      <c r="C3" s="3061"/>
      <c r="D3" s="46">
        <f>'数据-基础表'!AY6</f>
        <v>3435.11</v>
      </c>
      <c r="E3" s="46">
        <f>'数据-基础表'!AZ5</f>
        <v>12609.74</v>
      </c>
      <c r="F3" s="1393"/>
      <c r="G3" s="1400"/>
      <c r="H3" s="1249" t="s">
        <v>1910</v>
      </c>
      <c r="I3" s="55">
        <f>ROUND('数据-基础表'!B3/'数据-基础表'!A3,2)</f>
        <v>3.67</v>
      </c>
      <c r="J3" s="1393"/>
      <c r="K3" s="1393"/>
      <c r="L3" s="1393"/>
      <c r="M3" s="1393"/>
      <c r="N3" s="1428"/>
      <c r="O3" s="1393"/>
      <c r="P3" s="1393"/>
    </row>
    <row r="4" spans="1:16" ht="15">
      <c r="A4" s="3062"/>
      <c r="B4" s="3063"/>
      <c r="C4" s="3064"/>
      <c r="D4" s="2229" t="s">
        <v>1911</v>
      </c>
      <c r="E4" s="2230" t="s">
        <v>1912</v>
      </c>
      <c r="F4" s="1393"/>
      <c r="G4" s="2231" t="s">
        <v>1937</v>
      </c>
      <c r="H4" s="1249" t="s">
        <v>1917</v>
      </c>
      <c r="I4" s="55">
        <f>ROUND(SUMIF('数据-基础表'!I9:AS9,"地上",'数据-基础表'!I5:AS5)/'数据-基础表'!A3,2)</f>
        <v>2.59</v>
      </c>
      <c r="J4" s="1393"/>
      <c r="K4" s="1393"/>
      <c r="L4" s="1393"/>
      <c r="M4" s="1393"/>
      <c r="N4" s="1428"/>
      <c r="O4" s="1393"/>
      <c r="P4" s="1393"/>
    </row>
    <row r="5" spans="1:16">
      <c r="A5" s="47" t="s">
        <v>1913</v>
      </c>
      <c r="B5" s="3065" t="s">
        <v>1914</v>
      </c>
      <c r="C5" s="3065"/>
      <c r="D5" s="48">
        <f>ROUND($D$3*E5/$E$3,2)</f>
        <v>870.85</v>
      </c>
      <c r="E5" s="49">
        <f>SUMIF('数据-基础表'!$11:$11,"住宅",'数据-基础表'!$5:$5)</f>
        <v>3196.74</v>
      </c>
      <c r="F5" s="1393"/>
      <c r="G5" s="1400"/>
      <c r="H5" s="1249" t="s">
        <v>1910</v>
      </c>
      <c r="I5" s="55">
        <f>ROUND(E31/D31,2)</f>
        <v>3.67</v>
      </c>
      <c r="J5" s="1393"/>
      <c r="K5" s="1393"/>
      <c r="L5" s="1393"/>
      <c r="M5" s="1393"/>
      <c r="N5" s="1393"/>
      <c r="O5" s="1393"/>
      <c r="P5" s="1393"/>
    </row>
    <row r="6" spans="1:16" ht="15" thickBot="1">
      <c r="A6" s="2232"/>
      <c r="B6" s="3065" t="s">
        <v>1915</v>
      </c>
      <c r="C6" s="3065"/>
      <c r="D6" s="48">
        <f>ROUND($D$3*E6/$E$3,2)</f>
        <v>2564.2600000000002</v>
      </c>
      <c r="E6" s="49">
        <f>E3-E5</f>
        <v>9413</v>
      </c>
      <c r="F6" s="1393"/>
      <c r="G6" s="2233" t="s">
        <v>1916</v>
      </c>
      <c r="H6" s="1400" t="s">
        <v>1917</v>
      </c>
      <c r="I6" s="941">
        <f>ROUND(F31/D31,2)</f>
        <v>0.93</v>
      </c>
      <c r="J6" s="1393"/>
      <c r="K6" s="1393"/>
      <c r="L6" s="1393"/>
      <c r="M6" s="1393"/>
      <c r="N6" s="1393"/>
      <c r="O6" s="1393"/>
      <c r="P6" s="1393"/>
    </row>
    <row r="7" spans="1:16" ht="15">
      <c r="A7" s="3057"/>
      <c r="B7" s="3058"/>
      <c r="C7" s="3059"/>
      <c r="D7" s="2229" t="s">
        <v>1911</v>
      </c>
      <c r="E7" s="2234" t="s">
        <v>1918</v>
      </c>
      <c r="F7" s="1393"/>
      <c r="G7" s="2226" t="s">
        <v>1919</v>
      </c>
      <c r="H7" s="64"/>
      <c r="I7" s="419"/>
      <c r="J7" s="1393"/>
      <c r="K7" s="1393"/>
      <c r="L7" s="1393"/>
      <c r="M7" s="1393"/>
      <c r="N7" s="1393"/>
      <c r="O7" s="1393"/>
      <c r="P7" s="1393"/>
    </row>
    <row r="8" spans="1:16">
      <c r="A8" s="47" t="s">
        <v>1920</v>
      </c>
      <c r="B8" s="50" t="s">
        <v>1921</v>
      </c>
      <c r="C8" s="48" t="s">
        <v>1922</v>
      </c>
      <c r="D8" s="48">
        <f t="shared" ref="D8:D15" si="0">ROUND($D$3*E8/$E$3,2)</f>
        <v>870.85</v>
      </c>
      <c r="E8" s="51">
        <f>SUMIF('数据-基础表'!BB10:BK10,"地上",'数据-基础表'!BB5:BK5)</f>
        <v>3196.74</v>
      </c>
      <c r="F8" s="1393"/>
      <c r="G8" s="2235"/>
      <c r="H8" s="2235"/>
      <c r="I8" s="1393"/>
      <c r="J8" s="1393"/>
      <c r="K8" s="1393"/>
      <c r="L8" s="1393"/>
      <c r="M8" s="1393"/>
      <c r="N8" s="1393"/>
      <c r="O8" s="1393"/>
      <c r="P8" s="1393"/>
    </row>
    <row r="9" spans="1:16">
      <c r="A9" s="2236"/>
      <c r="B9" s="2237"/>
      <c r="C9" s="48" t="s">
        <v>1923</v>
      </c>
      <c r="D9" s="48">
        <f t="shared" si="0"/>
        <v>0</v>
      </c>
      <c r="E9" s="52">
        <v>0</v>
      </c>
      <c r="F9" s="1393"/>
      <c r="G9" s="2235"/>
      <c r="H9" s="2235"/>
      <c r="I9" s="1393"/>
      <c r="J9" s="1393"/>
      <c r="K9" s="1393"/>
      <c r="L9" s="1393"/>
      <c r="M9" s="1393"/>
      <c r="N9" s="1393"/>
      <c r="O9" s="1393"/>
      <c r="P9" s="1393"/>
    </row>
    <row r="10" spans="1:16">
      <c r="A10" s="2236"/>
      <c r="B10" s="2237"/>
      <c r="C10" s="48" t="s">
        <v>1932</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1924</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1925</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1926</v>
      </c>
      <c r="D13" s="48">
        <f t="shared" si="0"/>
        <v>2564.2600000000002</v>
      </c>
      <c r="E13" s="51">
        <f>SUMPRODUCT(('数据-基础表'!BB10:BK10="地下")*('数据-基础表'!BB11:BK11="车库")*('数据-基础表'!BB5:BK5))</f>
        <v>9413</v>
      </c>
      <c r="F13" s="1393"/>
      <c r="G13" s="2235"/>
      <c r="H13" s="2235"/>
      <c r="I13" s="1393"/>
      <c r="J13" s="1393"/>
      <c r="K13" s="1393"/>
      <c r="L13" s="1393"/>
      <c r="M13" s="1393"/>
      <c r="N13" s="1393"/>
      <c r="O13" s="1393"/>
      <c r="P13" s="1393"/>
    </row>
    <row r="14" spans="1:16">
      <c r="A14" s="2236"/>
      <c r="B14" s="2237"/>
      <c r="C14" s="48" t="s">
        <v>1938</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1933</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1927</v>
      </c>
      <c r="D16" s="50">
        <f>SUM(D8:D15)</f>
        <v>3435.11</v>
      </c>
      <c r="E16" s="53">
        <f>SUM(E8:E15)</f>
        <v>12609.74</v>
      </c>
      <c r="F16" s="1393"/>
      <c r="G16" s="2235"/>
      <c r="H16" s="2238" t="s">
        <v>1939</v>
      </c>
      <c r="I16" s="2239"/>
      <c r="J16" s="1393"/>
      <c r="K16" s="3054" t="s">
        <v>1939</v>
      </c>
      <c r="L16" s="3055"/>
      <c r="M16" s="3055"/>
      <c r="N16" s="3055"/>
      <c r="O16" s="3055"/>
      <c r="P16" s="3056"/>
    </row>
    <row r="17" spans="1:19" ht="15">
      <c r="A17" s="2240" t="s">
        <v>1940</v>
      </c>
      <c r="B17" s="2241" t="s">
        <v>1941</v>
      </c>
      <c r="C17" s="2242" t="s">
        <v>1942</v>
      </c>
      <c r="D17" s="2243" t="s">
        <v>1930</v>
      </c>
      <c r="E17" s="2244" t="s">
        <v>1931</v>
      </c>
      <c r="F17" s="2245"/>
      <c r="G17" s="2246"/>
      <c r="H17" s="2247" t="s">
        <v>1943</v>
      </c>
      <c r="I17" s="2248" t="s">
        <v>1928</v>
      </c>
      <c r="J17" s="1393"/>
      <c r="K17" s="3051" t="s">
        <v>1944</v>
      </c>
      <c r="L17" s="3052"/>
      <c r="M17" s="3053"/>
      <c r="N17" s="3051" t="s">
        <v>1945</v>
      </c>
      <c r="O17" s="3052"/>
      <c r="P17" s="3053"/>
      <c r="R17" s="2226" t="s">
        <v>1946</v>
      </c>
      <c r="S17" s="64"/>
    </row>
    <row r="18" spans="1:19" ht="15">
      <c r="A18" s="2236"/>
      <c r="B18" s="2249"/>
      <c r="C18" s="2250"/>
      <c r="D18" s="2251"/>
      <c r="E18" s="2252" t="s">
        <v>1947</v>
      </c>
      <c r="F18" s="2253" t="s">
        <v>1948</v>
      </c>
      <c r="G18" s="2254" t="s">
        <v>1949</v>
      </c>
      <c r="H18" s="1264" t="s">
        <v>1950</v>
      </c>
      <c r="I18" s="2255" t="s">
        <v>1951</v>
      </c>
      <c r="J18" s="1393"/>
      <c r="K18" s="1264" t="s">
        <v>1952</v>
      </c>
      <c r="L18" s="2256" t="s">
        <v>1953</v>
      </c>
      <c r="M18" s="1048" t="s">
        <v>1954</v>
      </c>
      <c r="N18" s="1264" t="s">
        <v>1952</v>
      </c>
      <c r="O18" s="2256" t="s">
        <v>1953</v>
      </c>
      <c r="P18" s="1048" t="s">
        <v>1954</v>
      </c>
      <c r="R18" s="1249" t="s">
        <v>1955</v>
      </c>
      <c r="S18" s="1249" t="s">
        <v>1956</v>
      </c>
    </row>
    <row r="19" spans="1:19">
      <c r="A19" s="2257"/>
      <c r="B19" s="50" t="s">
        <v>1929</v>
      </c>
      <c r="C19" s="2940" t="s">
        <v>3082</v>
      </c>
      <c r="D19" s="48">
        <f>ROUND($D$3*E19/$E$3,2)</f>
        <v>870.85</v>
      </c>
      <c r="E19" s="56">
        <f t="shared" ref="E19:E26" si="1">SUM(F19:G19)</f>
        <v>3196.74</v>
      </c>
      <c r="F19" s="57">
        <f>'数据-基础表'!I13</f>
        <v>3196.74</v>
      </c>
      <c r="G19" s="58"/>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59"/>
      <c r="O19" s="2260"/>
      <c r="P19" s="1404">
        <f>N19+O19</f>
        <v>0</v>
      </c>
      <c r="R19" s="1249">
        <f t="shared" ref="R19:S26" si="5">D19+H19</f>
        <v>870.85</v>
      </c>
      <c r="S19" s="1250">
        <f t="shared" si="5"/>
        <v>3196.74</v>
      </c>
    </row>
    <row r="20" spans="1:19">
      <c r="A20" s="2261"/>
      <c r="B20" s="50" t="s">
        <v>1957</v>
      </c>
      <c r="C20" s="2940" t="s">
        <v>3083</v>
      </c>
      <c r="D20" s="48">
        <f t="shared" ref="D20:D26" si="6">ROUND($D$3*E20/$E$3,2)</f>
        <v>2564.2600000000002</v>
      </c>
      <c r="E20" s="56">
        <f t="shared" si="1"/>
        <v>9413</v>
      </c>
      <c r="F20" s="57"/>
      <c r="G20" s="58">
        <f>'数据-基础表'!K13</f>
        <v>9413</v>
      </c>
      <c r="H20" s="722">
        <f t="shared" ref="H20:H26" si="7">ROUND($D$3*I20/$E$3,2)</f>
        <v>0</v>
      </c>
      <c r="I20" s="51">
        <f t="shared" si="2"/>
        <v>0</v>
      </c>
      <c r="J20" s="1393"/>
      <c r="K20" s="1392">
        <f t="shared" si="3"/>
        <v>0</v>
      </c>
      <c r="L20" s="1249">
        <f t="shared" si="4"/>
        <v>0</v>
      </c>
      <c r="M20" s="1404">
        <f t="shared" ref="M20:M26" si="8">K20+L20</f>
        <v>0</v>
      </c>
      <c r="N20" s="2259"/>
      <c r="O20" s="2260"/>
      <c r="P20" s="1404">
        <f t="shared" ref="P20:P26" si="9">N20+O20</f>
        <v>0</v>
      </c>
      <c r="R20" s="1249">
        <f t="shared" si="5"/>
        <v>2564.2600000000002</v>
      </c>
      <c r="S20" s="1250">
        <f t="shared" si="5"/>
        <v>9413</v>
      </c>
    </row>
    <row r="21" spans="1:19">
      <c r="A21" s="2261"/>
      <c r="B21" s="50" t="s">
        <v>1957</v>
      </c>
      <c r="C21" s="2258"/>
      <c r="D21" s="48">
        <f t="shared" si="6"/>
        <v>0</v>
      </c>
      <c r="E21" s="56">
        <f t="shared" si="1"/>
        <v>0</v>
      </c>
      <c r="F21" s="57"/>
      <c r="G21" s="58"/>
      <c r="H21" s="722">
        <f t="shared" si="7"/>
        <v>0</v>
      </c>
      <c r="I21" s="51">
        <f t="shared" si="2"/>
        <v>0</v>
      </c>
      <c r="J21" s="1393"/>
      <c r="K21" s="1392">
        <f t="shared" si="3"/>
        <v>0</v>
      </c>
      <c r="L21" s="1249">
        <f t="shared" si="4"/>
        <v>0</v>
      </c>
      <c r="M21" s="1404">
        <f t="shared" si="8"/>
        <v>0</v>
      </c>
      <c r="N21" s="2259"/>
      <c r="O21" s="2260"/>
      <c r="P21" s="1404">
        <f t="shared" si="9"/>
        <v>0</v>
      </c>
      <c r="R21" s="1249">
        <f t="shared" si="5"/>
        <v>0</v>
      </c>
      <c r="S21" s="1250">
        <f t="shared" si="5"/>
        <v>0</v>
      </c>
    </row>
    <row r="22" spans="1:19">
      <c r="A22" s="2261"/>
      <c r="B22" s="50" t="s">
        <v>1957</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59"/>
      <c r="O22" s="2260"/>
      <c r="P22" s="1404">
        <f t="shared" si="9"/>
        <v>0</v>
      </c>
      <c r="R22" s="1249">
        <f t="shared" si="5"/>
        <v>0</v>
      </c>
      <c r="S22" s="1250">
        <f t="shared" si="5"/>
        <v>0</v>
      </c>
    </row>
    <row r="23" spans="1:19">
      <c r="A23" s="2261"/>
      <c r="B23" s="50" t="s">
        <v>1957</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59"/>
      <c r="O23" s="2260"/>
      <c r="P23" s="1404">
        <f t="shared" si="9"/>
        <v>0</v>
      </c>
      <c r="R23" s="1249">
        <f t="shared" si="5"/>
        <v>0</v>
      </c>
      <c r="S23" s="1250">
        <f t="shared" si="5"/>
        <v>0</v>
      </c>
    </row>
    <row r="24" spans="1:19">
      <c r="A24" s="2261"/>
      <c r="B24" s="50" t="s">
        <v>1957</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59"/>
      <c r="O24" s="2260"/>
      <c r="P24" s="1404">
        <f t="shared" si="9"/>
        <v>0</v>
      </c>
      <c r="R24" s="1249">
        <f t="shared" si="5"/>
        <v>0</v>
      </c>
      <c r="S24" s="1250">
        <f t="shared" si="5"/>
        <v>0</v>
      </c>
    </row>
    <row r="25" spans="1:19">
      <c r="A25" s="2261"/>
      <c r="B25" s="50" t="s">
        <v>1957</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59"/>
      <c r="O25" s="2260"/>
      <c r="P25" s="1404">
        <f t="shared" si="9"/>
        <v>0</v>
      </c>
      <c r="R25" s="1249">
        <f t="shared" si="5"/>
        <v>0</v>
      </c>
      <c r="S25" s="1250">
        <f t="shared" si="5"/>
        <v>0</v>
      </c>
    </row>
    <row r="26" spans="1:19">
      <c r="A26" s="2261"/>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9">
        <f t="shared" si="5"/>
        <v>0</v>
      </c>
      <c r="S26" s="1250">
        <f t="shared" si="5"/>
        <v>0</v>
      </c>
    </row>
    <row r="27" spans="1:19" ht="15.75" thickBot="1">
      <c r="A27" s="2261"/>
      <c r="B27" s="48"/>
      <c r="C27" s="2264" t="s">
        <v>1958</v>
      </c>
      <c r="D27" s="1394">
        <f>SUM(D19:D26)</f>
        <v>3435.11</v>
      </c>
      <c r="E27" s="1395">
        <f>IF(SUM(E19:E26)='数据-基础表'!BA5,SUM(E19:E26),IF(F27="地上面积有误","面积有误","地下面积有误"))</f>
        <v>12609.74</v>
      </c>
      <c r="F27" s="1394">
        <f>IF(SUM(F19:F26)=E8,SUM(F19:F26),"地上面积有误")</f>
        <v>3196.74</v>
      </c>
      <c r="G27" s="1396">
        <f>SUM(G19:G26)</f>
        <v>9413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1">
        <f>IF(SUM(R19:R26)=$D$3,SUM(R19:R26),SUM(R19:R26)&amp;"误差"&amp;ROUND(SUM(R19:R26)-$D$3,2))</f>
        <v>3435.11</v>
      </c>
      <c r="S27" s="1249">
        <f>IF(SUM(S19:S26)=$E$3,SUM(S19:S26),SUM(S19:S26)&amp;"误差"&amp;ROUND(SUM(S19:S26)-E3,2))</f>
        <v>12609.74</v>
      </c>
    </row>
    <row r="28" spans="1:19">
      <c r="A28" s="2261"/>
      <c r="B28" s="50" t="s">
        <v>1959</v>
      </c>
      <c r="C28" s="1261"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1959</v>
      </c>
      <c r="C29" s="2265"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9" t="s">
        <v>1962</v>
      </c>
      <c r="D31" s="728">
        <f>D27+D30</f>
        <v>3435.11</v>
      </c>
      <c r="E31" s="728">
        <f>E27+E30</f>
        <v>12609.74</v>
      </c>
      <c r="F31" s="729">
        <f>F27+F30</f>
        <v>3196.74</v>
      </c>
      <c r="G31" s="730">
        <f>G27+G30</f>
        <v>9413</v>
      </c>
      <c r="H31" s="1393"/>
      <c r="I31" s="1393"/>
      <c r="J31" s="1393"/>
      <c r="K31" s="1393"/>
      <c r="L31" s="1393"/>
      <c r="M31" s="1393"/>
      <c r="N31" s="1393"/>
      <c r="O31" s="1393"/>
      <c r="P31" s="1393"/>
    </row>
    <row r="32" spans="1:19">
      <c r="A32" s="2231"/>
      <c r="B32" s="2231" t="s">
        <v>1963</v>
      </c>
      <c r="C32" s="2231"/>
      <c r="D32" s="2231"/>
      <c r="E32" s="1276">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45" sqref="N4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2"/>
      <c r="D1" s="2271"/>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1965</v>
      </c>
      <c r="B2" s="1268">
        <f>项目基本情况!D3</f>
        <v>43165</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1972</v>
      </c>
      <c r="B5" s="2288" t="s">
        <v>1973</v>
      </c>
      <c r="C5" s="2289" t="s">
        <v>1974</v>
      </c>
      <c r="D5" s="2290" t="s">
        <v>1975</v>
      </c>
      <c r="E5" s="1270" t="s">
        <v>1976</v>
      </c>
      <c r="F5" s="2291" t="s">
        <v>1977</v>
      </c>
      <c r="G5" s="1270" t="s">
        <v>1978</v>
      </c>
      <c r="H5" s="1270" t="s">
        <v>1979</v>
      </c>
      <c r="I5" s="1270" t="s">
        <v>1980</v>
      </c>
      <c r="J5" s="2292" t="s">
        <v>1981</v>
      </c>
      <c r="K5" s="2293" t="s">
        <v>1982</v>
      </c>
      <c r="L5" s="2294" t="s">
        <v>1983</v>
      </c>
      <c r="M5" s="2295" t="s">
        <v>1984</v>
      </c>
      <c r="N5" s="2296" t="s">
        <v>3084</v>
      </c>
      <c r="O5" s="2294" t="s">
        <v>1985</v>
      </c>
      <c r="P5" s="2297" t="s">
        <v>1986</v>
      </c>
      <c r="Q5" s="69" t="s">
        <v>1987</v>
      </c>
      <c r="R5" s="2298" t="s">
        <v>1988</v>
      </c>
      <c r="S5" s="2299" t="s">
        <v>1989</v>
      </c>
      <c r="T5" s="2300" t="s">
        <v>1990</v>
      </c>
      <c r="U5" s="1269" t="s">
        <v>1991</v>
      </c>
      <c r="V5" s="1270" t="s">
        <v>1992</v>
      </c>
      <c r="W5" s="1270" t="s">
        <v>1993</v>
      </c>
      <c r="X5" s="71"/>
      <c r="Y5" s="70" t="s">
        <v>1994</v>
      </c>
      <c r="Z5" s="2301" t="s">
        <v>1991</v>
      </c>
      <c r="AA5" s="1270" t="s">
        <v>1992</v>
      </c>
      <c r="AB5" s="1270" t="s">
        <v>1993</v>
      </c>
      <c r="AC5" s="71"/>
      <c r="AD5" s="71" t="s">
        <v>1994</v>
      </c>
      <c r="AE5" s="1269" t="s">
        <v>1995</v>
      </c>
      <c r="AF5" s="1270" t="s">
        <v>1996</v>
      </c>
      <c r="AG5" s="70" t="s">
        <v>1997</v>
      </c>
      <c r="AH5" s="1269" t="s">
        <v>1998</v>
      </c>
      <c r="AI5" s="2301" t="s">
        <v>1999</v>
      </c>
      <c r="AJ5" s="2301" t="s">
        <v>2000</v>
      </c>
      <c r="AK5" s="1270" t="s">
        <v>2001</v>
      </c>
      <c r="AL5" s="1270" t="s">
        <v>2002</v>
      </c>
      <c r="AM5" s="70" t="s">
        <v>2003</v>
      </c>
      <c r="AN5" s="2302" t="s">
        <v>2004</v>
      </c>
      <c r="AO5" s="2072" t="s">
        <v>2005</v>
      </c>
      <c r="AP5" s="1251"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叠拼</v>
      </c>
      <c r="B6" s="2305" t="str">
        <f>IF(A6=0,"","经营性")</f>
        <v>经营性</v>
      </c>
      <c r="C6" s="2306" t="s">
        <v>3052</v>
      </c>
      <c r="D6" s="1053">
        <f>SUMIF(项目基本情况!D$12:I$12,C6,项目基本情况!D$14:I$14)</f>
        <v>70</v>
      </c>
      <c r="E6" s="1050">
        <f>IF(B6="","",SUMIF(项目基本情况!D$12:I$12,C6,项目基本情况!D$13:I$13))</f>
        <v>67887</v>
      </c>
      <c r="F6" s="72">
        <f>SUMIF(项目基本情况!D$12:I$12,C6,项目基本情况!D$15:I$15)</f>
        <v>67.73</v>
      </c>
      <c r="G6" s="73">
        <f>IF(ISERROR(ROUND(POWER(1+H6,D6-F6)*(POWER(1+H6,F6)-1)/(POWER(1+H6,D6)-1),3)),0,ROUND(POWER(1+H6,D6-F6)*(POWER(1+H6,F6)-1)/(POWER(1+H6,D6)-1),3))</f>
        <v>0.995</v>
      </c>
      <c r="H6" s="801">
        <v>4.4999999999999998E-2</v>
      </c>
      <c r="I6" s="801">
        <v>0.05</v>
      </c>
      <c r="J6" s="74">
        <v>8.5000000000000006E-2</v>
      </c>
      <c r="K6" s="1253">
        <f>SUMIF('数据-汇总表'!C$19:C$33,A6,'数据-汇总表'!E$19:E$33)</f>
        <v>3196.74</v>
      </c>
      <c r="L6" s="802">
        <v>3800</v>
      </c>
      <c r="M6" s="75">
        <f t="shared" ref="M6:M14" si="0">ROUND(K6*L6/10000,0)</f>
        <v>1215</v>
      </c>
      <c r="N6" s="2962">
        <v>0.5</v>
      </c>
      <c r="O6" s="75">
        <f>IF($N$5="成新度","——",ROUND(M6*N6,0))</f>
        <v>608</v>
      </c>
      <c r="P6" s="76">
        <f>IF($N$5="成新度","——",M6-O6)</f>
        <v>607</v>
      </c>
      <c r="Q6" s="2971">
        <v>0.25</v>
      </c>
      <c r="R6" s="77">
        <f ca="1">SUMIF('数据-汇总表'!C$19:C$33,A6,'数据-汇总表'!R$19:R$27)</f>
        <v>870.85</v>
      </c>
      <c r="S6" s="54">
        <f>IF('数据-汇总表'!$I$17="按面积比例",SUMIF('数据-汇总表'!C$19:C$33,A6,'数据-汇总表'!K$19:K$33),SUMIF('数据-汇总表'!C$19:C$33,A6,'数据-汇总表'!N$19:N$33))</f>
        <v>0</v>
      </c>
      <c r="T6" s="1444">
        <f>ROUND($L$14*S6/10000,0)</f>
        <v>0</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7"/>
      <c r="AO6" s="55" t="e">
        <f ca="1">SUMIF(INDIRECT("'"&amp;AN6&amp;"'"&amp;"!A:A"),"总价",INDIRECT("'"&amp;AN6&amp;"'"&amp;"!B:B"))</f>
        <v>#REF!</v>
      </c>
      <c r="AP6" s="2308">
        <f>IF(C6="住宅",K6*L6,0)</f>
        <v>12147612</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车库</v>
      </c>
      <c r="B7" s="2305" t="str">
        <f t="shared" ref="B7:B13" si="1">IF(A7=0,"","经营性")</f>
        <v>经营性</v>
      </c>
      <c r="C7" s="2306" t="s">
        <v>3055</v>
      </c>
      <c r="D7" s="1053">
        <f>SUMIF(项目基本情况!D$12:I$12,C7,项目基本情况!D$14:I$14)</f>
        <v>50</v>
      </c>
      <c r="E7" s="1050">
        <f>IF(B7="","",SUMIF(项目基本情况!D$12:I$12,C7,项目基本情况!D$13:I$13))</f>
        <v>60582</v>
      </c>
      <c r="F7" s="72">
        <f>SUMIF(项目基本情况!D$12:I$12,C7,项目基本情况!D$15:I$15)</f>
        <v>47.71</v>
      </c>
      <c r="G7" s="73">
        <f t="shared" ref="G7:G11" si="2">IF(ISERROR(ROUND(POWER(1+H7,D7-F7)*(POWER(1+H7,F7)-1)/(POWER(1+H7,D7)-1),3)),0,ROUND(POWER(1+H7,D7-F7)*(POWER(1+H7,F7)-1)/(POWER(1+H7,D7)-1),3))</f>
        <v>0.98899999999999999</v>
      </c>
      <c r="H7" s="801">
        <v>0.05</v>
      </c>
      <c r="I7" s="801">
        <v>5.5E-2</v>
      </c>
      <c r="J7" s="74">
        <v>8.5000000000000006E-2</v>
      </c>
      <c r="K7" s="1253">
        <f>SUMIF('数据-汇总表'!C$19:C$33,A7,'数据-汇总表'!E$19:E$33)</f>
        <v>9413</v>
      </c>
      <c r="L7" s="802">
        <v>2500</v>
      </c>
      <c r="M7" s="75">
        <f t="shared" si="0"/>
        <v>2353</v>
      </c>
      <c r="N7" s="2962">
        <v>0.5</v>
      </c>
      <c r="O7" s="75">
        <f t="shared" ref="O7:O14" si="3">IF($N$5="成新度","——",ROUND(M7*N7,0))</f>
        <v>1177</v>
      </c>
      <c r="P7" s="76">
        <f t="shared" ref="P7:P14" si="4">IF($N$5="成新度","——",M7-O7)</f>
        <v>1176</v>
      </c>
      <c r="Q7" s="803">
        <v>0.05</v>
      </c>
      <c r="R7" s="77">
        <f ca="1">SUMIF('数据-汇总表'!C$19:C$33,A7,'数据-汇总表'!R$19:R$27)</f>
        <v>2564.2600000000002</v>
      </c>
      <c r="S7" s="54">
        <f>IF('数据-汇总表'!$I$17="按面积比例",SUMIF('数据-汇总表'!C$19:C$33,A7,'数据-汇总表'!K$19:K$33),SUMIF('数据-汇总表'!C$19:C$33,A7,'数据-汇总表'!N$19:N$33))</f>
        <v>0</v>
      </c>
      <c r="T7" s="1444">
        <f t="shared" ref="T7:T13" si="5">ROUND($L$14*S7/10000,0)</f>
        <v>0</v>
      </c>
      <c r="U7" s="2974">
        <v>1000</v>
      </c>
      <c r="V7" s="79">
        <v>2.5000000000000001E-2</v>
      </c>
      <c r="W7" s="79">
        <v>0.05</v>
      </c>
      <c r="X7" s="1263"/>
      <c r="Y7" s="80">
        <v>1</v>
      </c>
      <c r="Z7" s="81"/>
      <c r="AA7" s="74"/>
      <c r="AB7" s="74"/>
      <c r="AC7" s="1263"/>
      <c r="AD7" s="82"/>
      <c r="AE7" s="1264">
        <f t="shared" ref="AE7:AE13" ca="1" si="6">IF(AN7="",0,SUMIF(INDIRECT("'"&amp;AN7&amp;"'"&amp;"!E:E"),$AE$5,INDIRECT("'"&amp;AN7&amp;"'"&amp;"!F:F")))</f>
        <v>45.71</v>
      </c>
      <c r="AF7" s="1805"/>
      <c r="AG7" s="146">
        <f t="shared" ref="AG7:AG13" si="7">IF(AF7="",0,AE7-AF7)</f>
        <v>0</v>
      </c>
      <c r="AH7" s="83">
        <v>268</v>
      </c>
      <c r="AI7" s="85">
        <v>12</v>
      </c>
      <c r="AJ7" s="86"/>
      <c r="AK7" s="87">
        <v>1.4999999999999999E-2</v>
      </c>
      <c r="AL7" s="88">
        <v>1.5E-3</v>
      </c>
      <c r="AM7" s="89">
        <v>0.01</v>
      </c>
      <c r="AN7" s="2307" t="s">
        <v>3264</v>
      </c>
      <c r="AO7" s="55">
        <f t="shared" ref="AO7:AO13" ca="1" si="8">SUMIF(INDIRECT("'"&amp;AN7&amp;"'"&amp;"!A:A"),"总价",INDIRECT("'"&amp;AN7&amp;"'"&amp;"!B:B"))</f>
        <v>5030</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2009</v>
      </c>
      <c r="B14" s="2305" t="s">
        <v>2010</v>
      </c>
      <c r="C14" s="2310" t="s">
        <v>2009</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4"/>
      <c r="U14" s="722"/>
      <c r="V14" s="1258"/>
      <c r="W14" s="1258"/>
      <c r="X14" s="1259"/>
      <c r="Y14" s="1260"/>
      <c r="Z14" s="1261"/>
      <c r="AA14" s="1262"/>
      <c r="AB14" s="1262"/>
      <c r="AC14" s="1263"/>
      <c r="AD14" s="1259"/>
      <c r="AE14" s="1264"/>
      <c r="AF14" s="55"/>
      <c r="AG14" s="146"/>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2011</v>
      </c>
      <c r="B15" s="2305" t="s">
        <v>2010</v>
      </c>
      <c r="C15" s="2310" t="s">
        <v>2012</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6"/>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2013</v>
      </c>
      <c r="B16" s="97"/>
      <c r="C16" s="1007"/>
      <c r="D16" s="2312"/>
      <c r="E16" s="97"/>
      <c r="F16" s="97"/>
      <c r="G16" s="98">
        <f>ROUND(SUMPRODUCT(G6:G13,K6:K13)/SUMPRODUCT((G6:G13&gt;0)*(K6:K13)),3)</f>
        <v>0.99099999999999999</v>
      </c>
      <c r="H16" s="99">
        <f>ROUND(SUMPRODUCT(H6:H13,K6:K13)/SUMPRODUCT((H6:H13&gt;0)*(K6:K13)),3)</f>
        <v>4.9000000000000002E-2</v>
      </c>
      <c r="I16" s="100"/>
      <c r="J16" s="100"/>
      <c r="K16" s="101">
        <f>SUM(K6:K15)</f>
        <v>12609.74</v>
      </c>
      <c r="L16" s="102">
        <f>ROUND(M16*10000/SUM(K6:K14),0)</f>
        <v>2830</v>
      </c>
      <c r="M16" s="102">
        <f>SUM(M6:M14)</f>
        <v>3568</v>
      </c>
      <c r="N16" s="103">
        <f>ROUND(SUMPRODUCT(M6:M14,N6:N14)/M16,3)</f>
        <v>0.5</v>
      </c>
      <c r="O16" s="102">
        <f>SUM(O6:O14)</f>
        <v>1785</v>
      </c>
      <c r="P16" s="102">
        <f>SUM(P6:P14)</f>
        <v>1783</v>
      </c>
      <c r="Q16" s="104">
        <f>ROUND(SUMPRODUCT(Q6:Q13,K6:K13)/SUMPRODUCT((Q6:Q13&gt;0)*(K6:K13)),2)</f>
        <v>0.1</v>
      </c>
      <c r="R16" s="1257">
        <f ca="1">SUM(R6:R13)</f>
        <v>3435.11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2"/>
      <c r="D17" s="2271"/>
      <c r="E17" s="2271"/>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c r="AN17" s="2272">
        <f>K7/35</f>
        <v>268.94285714285712</v>
      </c>
    </row>
    <row r="18" spans="1:67" ht="15" thickBot="1">
      <c r="A18" s="68" t="s">
        <v>2014</v>
      </c>
      <c r="B18" s="2278"/>
      <c r="C18" s="2275"/>
      <c r="D18" s="2276"/>
      <c r="E18" s="2275"/>
      <c r="F18" s="2275"/>
      <c r="G18" s="2275"/>
      <c r="H18" s="2275"/>
      <c r="I18" s="2275"/>
      <c r="J18" s="2275"/>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2015</v>
      </c>
      <c r="B19" s="112">
        <v>0</v>
      </c>
      <c r="C19" s="2275" t="s">
        <v>2016</v>
      </c>
      <c r="D19" s="2276"/>
      <c r="E19" s="2275"/>
      <c r="F19" s="2275"/>
      <c r="G19" s="2275"/>
      <c r="H19" s="2275"/>
      <c r="I19" s="2275"/>
      <c r="J19" s="2275"/>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2017</v>
      </c>
      <c r="B20" s="2963">
        <v>3</v>
      </c>
      <c r="C20" s="2275" t="s">
        <v>2018</v>
      </c>
      <c r="D20" s="2276"/>
      <c r="E20" s="2275"/>
      <c r="F20" s="2275"/>
      <c r="G20" s="2275"/>
      <c r="H20" s="2275"/>
      <c r="I20" s="2275"/>
      <c r="J20" s="2275"/>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2019</v>
      </c>
      <c r="B21" s="2963">
        <v>1</v>
      </c>
      <c r="C21" s="2275"/>
      <c r="D21" s="2276"/>
      <c r="E21" s="2275"/>
      <c r="F21" s="2275"/>
      <c r="G21" s="2275"/>
      <c r="H21" s="2275"/>
      <c r="I21" s="2275"/>
      <c r="J21" s="2275"/>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2020</v>
      </c>
      <c r="B22" s="113">
        <f>B19+B20</f>
        <v>3</v>
      </c>
      <c r="C22" s="2275"/>
      <c r="D22" s="2276"/>
      <c r="E22" s="2275"/>
      <c r="F22" s="2275"/>
      <c r="G22" s="2275"/>
      <c r="H22" s="2275"/>
      <c r="I22" s="2275"/>
      <c r="J22" s="2275"/>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2021</v>
      </c>
      <c r="B23" s="113">
        <f>B19+B21</f>
        <v>1</v>
      </c>
      <c r="C23" s="2275"/>
      <c r="D23" s="2276"/>
      <c r="E23" s="2275"/>
      <c r="F23" s="2275"/>
      <c r="G23" s="2275"/>
      <c r="H23" s="2275"/>
      <c r="I23" s="2275"/>
      <c r="J23" s="2275"/>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2022</v>
      </c>
      <c r="B24" s="114">
        <f>B20-B21</f>
        <v>2</v>
      </c>
      <c r="C24" s="2275"/>
      <c r="D24" s="2276"/>
      <c r="E24" s="2275"/>
      <c r="F24" s="2275"/>
      <c r="G24" s="2275"/>
      <c r="H24" s="2275"/>
      <c r="I24" s="2275"/>
      <c r="J24" s="2275"/>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2023</v>
      </c>
      <c r="B26" s="2318" t="s">
        <v>2024</v>
      </c>
      <c r="C26" s="2319" t="s">
        <v>2025</v>
      </c>
      <c r="D26" s="2276"/>
      <c r="E26" s="2275"/>
      <c r="F26" s="2275"/>
      <c r="G26" s="2275"/>
      <c r="H26" s="2275"/>
      <c r="I26" s="2275"/>
      <c r="J26" s="2275"/>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2026</v>
      </c>
      <c r="B27" s="115">
        <v>150</v>
      </c>
      <c r="C27" s="1765" t="s">
        <v>2027</v>
      </c>
      <c r="D27" s="2321"/>
      <c r="E27" s="1428"/>
      <c r="F27" s="1428"/>
      <c r="G27" s="2275"/>
      <c r="H27" s="2275"/>
      <c r="I27" s="2275"/>
      <c r="J27" s="2275"/>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190</v>
      </c>
      <c r="C28" s="2324"/>
      <c r="D28" s="2321"/>
      <c r="E28" s="1428"/>
      <c r="F28" s="1428"/>
      <c r="G28" s="2275"/>
      <c r="H28" s="2275"/>
      <c r="I28" s="2275"/>
      <c r="J28" s="2275"/>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成本法!H9</f>
        <v>227</v>
      </c>
      <c r="C29" s="1765" t="s">
        <v>2030</v>
      </c>
      <c r="D29" s="2321"/>
      <c r="E29" s="1428"/>
      <c r="F29" s="1428"/>
      <c r="G29" s="2275"/>
      <c r="H29" s="2275"/>
      <c r="I29" s="2275"/>
      <c r="J29" s="2275"/>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8"/>
      <c r="F30" s="1428"/>
      <c r="G30" s="2275"/>
      <c r="H30" s="2275"/>
      <c r="I30" s="2275"/>
      <c r="J30" s="2275"/>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5"/>
      <c r="D31" s="2321"/>
      <c r="E31" s="1428"/>
      <c r="F31" s="1428"/>
      <c r="G31" s="2275"/>
      <c r="H31" s="2275"/>
      <c r="I31" s="2275"/>
      <c r="J31" s="2275"/>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6"/>
      <c r="E32" s="2275"/>
      <c r="F32" s="2275"/>
      <c r="G32" s="2275"/>
      <c r="H32" s="2275"/>
      <c r="I32" s="2275"/>
      <c r="J32" s="2275"/>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0.03</v>
      </c>
      <c r="C33" s="1764" t="s">
        <v>2035</v>
      </c>
      <c r="D33" s="2276"/>
      <c r="E33" s="2275"/>
      <c r="F33" s="2275"/>
      <c r="G33" s="2275"/>
      <c r="H33" s="2275"/>
      <c r="I33" s="2275"/>
      <c r="J33" s="2275"/>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0.05</v>
      </c>
      <c r="C34" s="1764" t="s">
        <v>2037</v>
      </c>
      <c r="D34" s="2276" t="s">
        <v>2038</v>
      </c>
      <c r="E34" s="731"/>
      <c r="F34" s="2275"/>
      <c r="G34" s="2275"/>
      <c r="H34" s="2275"/>
      <c r="I34" s="2275"/>
      <c r="J34" s="2275"/>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4" t="s">
        <v>2040</v>
      </c>
      <c r="D35" s="2321"/>
      <c r="E35" s="1428"/>
      <c r="F35" s="1428"/>
      <c r="G35" s="2275"/>
      <c r="H35" s="2275"/>
      <c r="I35" s="2275"/>
      <c r="J35" s="2275"/>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4" t="s">
        <v>2042</v>
      </c>
      <c r="D36" s="2276"/>
      <c r="E36" s="2275"/>
      <c r="F36" s="2275"/>
      <c r="G36" s="2275"/>
      <c r="H36" s="2275"/>
      <c r="I36" s="2275"/>
      <c r="J36" s="2275"/>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2043</v>
      </c>
      <c r="B37" s="123">
        <v>1.4999999999999999E-2</v>
      </c>
      <c r="C37" s="1764" t="s">
        <v>2044</v>
      </c>
      <c r="D37" s="2276"/>
      <c r="E37" s="2275"/>
      <c r="F37" s="2275"/>
      <c r="G37" s="2275"/>
      <c r="H37" s="2275"/>
      <c r="I37" s="2275"/>
      <c r="J37" s="2275"/>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2045</v>
      </c>
      <c r="B38" s="121">
        <v>1.4999999999999999E-2</v>
      </c>
      <c r="C38" s="1764" t="s">
        <v>2044</v>
      </c>
      <c r="D38" s="2276"/>
      <c r="E38" s="2275"/>
      <c r="F38" s="2275"/>
      <c r="G38" s="2275"/>
      <c r="H38" s="2275"/>
      <c r="I38" s="2275"/>
      <c r="J38" s="2275"/>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2046</v>
      </c>
      <c r="B39" s="361">
        <f ca="1">存贷款利率!I1</f>
        <v>1.4999999999999999E-2</v>
      </c>
      <c r="C39" s="1764"/>
      <c r="D39" s="2276"/>
      <c r="E39" s="2275"/>
      <c r="F39" s="2275"/>
      <c r="G39" s="2275"/>
      <c r="H39" s="2275"/>
      <c r="I39" s="2275"/>
      <c r="J39" s="2275"/>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2047</v>
      </c>
      <c r="B40" s="1302">
        <f ca="1">存贷款利率!G1</f>
        <v>4.7500000000000001E-2</v>
      </c>
      <c r="C40" s="1764" t="s">
        <v>2048</v>
      </c>
      <c r="D40" s="1582"/>
      <c r="E40" s="2276"/>
      <c r="F40" s="2275"/>
      <c r="G40" s="2275"/>
      <c r="H40" s="2275"/>
      <c r="I40" s="2275"/>
      <c r="J40" s="2275"/>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2049</v>
      </c>
      <c r="B41" s="124">
        <f>B42+B43</f>
        <v>5.5000000000000007E-2</v>
      </c>
      <c r="C41" s="1765"/>
      <c r="D41" s="1582"/>
      <c r="E41" s="2276"/>
      <c r="F41" s="2275"/>
      <c r="G41" s="2275"/>
      <c r="H41" s="2275"/>
      <c r="I41" s="2275"/>
      <c r="J41" s="2275"/>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2050</v>
      </c>
      <c r="B42" s="125">
        <v>0.05</v>
      </c>
      <c r="C42" s="2329">
        <f>IF(B2&lt;DATE(2016,5,1),0,B42)</f>
        <v>0.05</v>
      </c>
      <c r="D42" s="2276"/>
      <c r="E42" s="2275"/>
      <c r="F42" s="2275"/>
      <c r="G42" s="2275"/>
      <c r="H42" s="2275"/>
      <c r="I42" s="2275"/>
      <c r="J42" s="2275"/>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2051</v>
      </c>
      <c r="B43" s="126">
        <f>B42*(B44+B45+B46)+B47</f>
        <v>5.000000000000001E-3</v>
      </c>
      <c r="C43" s="1765"/>
      <c r="D43" s="2276"/>
      <c r="E43" s="2275"/>
      <c r="F43" s="2275"/>
      <c r="G43" s="2275"/>
      <c r="H43" s="2275"/>
      <c r="I43" s="2275"/>
      <c r="J43" s="2275"/>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2052</v>
      </c>
      <c r="B44" s="127">
        <v>0.05</v>
      </c>
      <c r="C44" s="1764" t="s">
        <v>2053</v>
      </c>
      <c r="D44" s="2276"/>
      <c r="E44" s="2275"/>
      <c r="F44" s="2275"/>
      <c r="G44" s="2275"/>
      <c r="H44" s="2275"/>
      <c r="I44" s="2275"/>
      <c r="J44" s="2275"/>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2054</v>
      </c>
      <c r="B45" s="125">
        <v>0.03</v>
      </c>
      <c r="C45" s="1765" t="s">
        <v>2055</v>
      </c>
      <c r="D45" s="2276"/>
      <c r="E45" s="2275"/>
      <c r="F45" s="2275"/>
      <c r="G45" s="2275"/>
      <c r="H45" s="2275"/>
      <c r="I45" s="2275"/>
      <c r="J45" s="2275"/>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2056</v>
      </c>
      <c r="B46" s="125">
        <v>0.02</v>
      </c>
      <c r="C46" s="1765" t="s">
        <v>2057</v>
      </c>
      <c r="D46" s="2276"/>
      <c r="E46" s="2275"/>
      <c r="F46" s="2275"/>
      <c r="G46" s="2275"/>
      <c r="H46" s="2275"/>
      <c r="I46" s="2275"/>
      <c r="J46" s="2275"/>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2058</v>
      </c>
      <c r="B47" s="128"/>
      <c r="C47" s="1765" t="s">
        <v>2059</v>
      </c>
      <c r="D47" s="2276"/>
      <c r="E47" s="2275"/>
      <c r="F47" s="2275"/>
      <c r="G47" s="2275"/>
      <c r="H47" s="2275"/>
      <c r="I47" s="2275"/>
      <c r="J47" s="2275"/>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2060</v>
      </c>
      <c r="B48" s="129">
        <v>0.03</v>
      </c>
      <c r="C48" s="1772" t="s">
        <v>2061</v>
      </c>
      <c r="D48" s="2276"/>
      <c r="E48" s="2275"/>
      <c r="F48" s="2275"/>
      <c r="G48" s="2275"/>
      <c r="H48" s="2275"/>
      <c r="I48" s="2275"/>
      <c r="J48" s="2275"/>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2062</v>
      </c>
      <c r="B49" s="125">
        <v>5.0000000000000001E-4</v>
      </c>
      <c r="C49" s="1772" t="s">
        <v>2063</v>
      </c>
      <c r="D49" s="2276"/>
      <c r="E49" s="2275"/>
      <c r="F49" s="2275"/>
      <c r="G49" s="2275"/>
      <c r="H49" s="2275"/>
      <c r="I49" s="2275"/>
      <c r="J49" s="2275"/>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2064</v>
      </c>
      <c r="B50" s="130">
        <v>1.2E-2</v>
      </c>
      <c r="C50" s="1428"/>
      <c r="D50" s="2276"/>
      <c r="E50" s="2275"/>
      <c r="F50" s="2275"/>
      <c r="G50" s="2275"/>
      <c r="H50" s="2275"/>
      <c r="I50" s="2275"/>
      <c r="J50" s="2275"/>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2065</v>
      </c>
      <c r="B51" s="131">
        <v>0.12</v>
      </c>
      <c r="C51" s="1428"/>
      <c r="D51" s="2276"/>
      <c r="E51" s="2275"/>
      <c r="F51" s="2275"/>
      <c r="G51" s="2275"/>
      <c r="H51" s="2275"/>
      <c r="I51" s="2275"/>
      <c r="J51" s="2275"/>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2066</v>
      </c>
      <c r="B52" s="132">
        <f>SUMIF(A54:A63,B53,B54:B63)</f>
        <v>1.5</v>
      </c>
      <c r="C52" s="1428"/>
      <c r="D52" s="2276"/>
      <c r="E52" s="2275"/>
      <c r="F52" s="2275"/>
      <c r="G52" s="2275"/>
      <c r="H52" s="2275"/>
      <c r="I52" s="2275"/>
      <c r="J52" s="2275"/>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2067</v>
      </c>
      <c r="B53" s="2334" t="s">
        <v>56</v>
      </c>
      <c r="C53" s="1428" t="s">
        <v>2068</v>
      </c>
      <c r="D53" s="2335" t="s">
        <v>2069</v>
      </c>
      <c r="E53" s="2275"/>
      <c r="F53" s="2275"/>
      <c r="G53" s="2275"/>
      <c r="H53" s="2275"/>
      <c r="I53" s="2275"/>
      <c r="J53" s="2275"/>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2070</v>
      </c>
      <c r="B54" s="84"/>
      <c r="C54" s="1428">
        <v>30</v>
      </c>
      <c r="D54" s="2276"/>
      <c r="E54" s="2275"/>
      <c r="F54" s="2275"/>
      <c r="G54" s="2275"/>
      <c r="H54" s="2275"/>
      <c r="I54" s="2275"/>
      <c r="J54" s="2275"/>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2071</v>
      </c>
      <c r="B55" s="84"/>
      <c r="C55" s="1428">
        <v>24</v>
      </c>
      <c r="D55" s="2276"/>
      <c r="E55" s="2275"/>
      <c r="F55" s="2275"/>
      <c r="G55" s="2275"/>
      <c r="H55" s="2275"/>
      <c r="I55" s="2337"/>
      <c r="J55" s="2275"/>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2072</v>
      </c>
      <c r="B56" s="84"/>
      <c r="C56" s="1428">
        <v>18</v>
      </c>
      <c r="D56" s="2276"/>
      <c r="E56" s="2275"/>
      <c r="F56" s="2275"/>
      <c r="G56" s="2275"/>
      <c r="H56" s="2275"/>
      <c r="I56" s="2275"/>
      <c r="J56" s="2275"/>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2073</v>
      </c>
      <c r="B57" s="84"/>
      <c r="C57" s="1428">
        <v>12</v>
      </c>
      <c r="D57" s="2276"/>
      <c r="E57" s="2275"/>
      <c r="F57" s="2275"/>
      <c r="G57" s="2275"/>
      <c r="H57" s="2275"/>
      <c r="I57" s="2275"/>
      <c r="J57" s="2275"/>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2074</v>
      </c>
      <c r="B58" s="84"/>
      <c r="C58" s="1428">
        <v>3</v>
      </c>
      <c r="D58" s="2276"/>
      <c r="E58" s="2275"/>
      <c r="F58" s="2275"/>
      <c r="G58" s="2275"/>
      <c r="H58" s="2275"/>
      <c r="I58" s="2275"/>
      <c r="J58" s="2275"/>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2075</v>
      </c>
      <c r="B59" s="84">
        <v>1.5</v>
      </c>
      <c r="C59" s="1428">
        <v>1.5</v>
      </c>
      <c r="D59" s="2276"/>
      <c r="E59" s="2275"/>
      <c r="F59" s="2275"/>
      <c r="G59" s="2275"/>
      <c r="H59" s="2275"/>
      <c r="I59" s="2275"/>
      <c r="J59" s="2275"/>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2076</v>
      </c>
      <c r="B60" s="84"/>
      <c r="C60" s="2275"/>
      <c r="D60" s="2276"/>
      <c r="E60" s="2275"/>
      <c r="F60" s="2275"/>
      <c r="G60" s="2275"/>
      <c r="H60" s="2275"/>
      <c r="I60" s="2275"/>
      <c r="J60" s="2275"/>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2077</v>
      </c>
      <c r="B61" s="84"/>
      <c r="C61" s="2275"/>
      <c r="D61" s="2276"/>
      <c r="E61" s="2275"/>
      <c r="F61" s="2275"/>
      <c r="G61" s="2275"/>
      <c r="H61" s="2275"/>
      <c r="I61" s="2275"/>
      <c r="J61" s="2275"/>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2078</v>
      </c>
      <c r="B62" s="84"/>
      <c r="C62" s="2275"/>
      <c r="D62" s="2276"/>
      <c r="E62" s="2275"/>
      <c r="F62" s="2275"/>
      <c r="G62" s="2275"/>
      <c r="H62" s="2275"/>
      <c r="I62" s="2275"/>
      <c r="J62" s="2275"/>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2079</v>
      </c>
      <c r="B63" s="133"/>
      <c r="C63" s="2275"/>
      <c r="D63" s="2276"/>
      <c r="E63" s="2275"/>
      <c r="F63" s="2275"/>
      <c r="G63" s="2275"/>
      <c r="H63" s="2275"/>
      <c r="I63" s="2275"/>
      <c r="J63" s="2275"/>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6" t="s">
        <v>2080</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4" t="s">
        <v>2083</v>
      </c>
      <c r="B3" s="1270" t="s">
        <v>2084</v>
      </c>
      <c r="C3" s="2368" t="s">
        <v>2085</v>
      </c>
      <c r="D3" s="2369"/>
      <c r="E3" s="430" t="s">
        <v>2083</v>
      </c>
      <c r="F3" s="2370" t="s">
        <v>2086</v>
      </c>
      <c r="G3" s="2371" t="s">
        <v>2087</v>
      </c>
      <c r="H3" s="2366"/>
      <c r="I3" s="2366"/>
      <c r="J3" s="2366"/>
      <c r="K3" s="2366"/>
      <c r="L3" s="2366"/>
      <c r="M3" s="2366"/>
      <c r="N3" s="2366"/>
      <c r="O3" s="2366"/>
      <c r="P3" s="2366"/>
      <c r="Q3" s="2366"/>
      <c r="R3" s="2366"/>
    </row>
    <row r="4" spans="1:29" ht="41.25">
      <c r="A4" s="430"/>
      <c r="B4" s="1796" t="s">
        <v>2088</v>
      </c>
      <c r="C4" s="2372" t="s">
        <v>2089</v>
      </c>
      <c r="D4" s="2369"/>
      <c r="E4" s="2373"/>
      <c r="F4" s="42" t="s">
        <v>2090</v>
      </c>
      <c r="G4" s="2374" t="s">
        <v>2091</v>
      </c>
      <c r="H4" s="2366"/>
      <c r="I4" s="2366"/>
      <c r="J4" s="2366"/>
      <c r="K4" s="2366"/>
      <c r="L4" s="2366"/>
      <c r="M4" s="2366"/>
      <c r="N4" s="2366"/>
      <c r="O4" s="2366"/>
      <c r="P4" s="2366"/>
      <c r="Q4" s="2366"/>
      <c r="R4" s="2366"/>
    </row>
    <row r="5" spans="1:29" ht="41.25">
      <c r="A5" s="430"/>
      <c r="B5" s="1796" t="s">
        <v>2092</v>
      </c>
      <c r="C5" s="2372" t="s">
        <v>2093</v>
      </c>
      <c r="D5" s="2369"/>
      <c r="E5" s="2373"/>
      <c r="F5" s="1796" t="s">
        <v>2094</v>
      </c>
      <c r="G5" s="2374" t="s">
        <v>2095</v>
      </c>
      <c r="H5" s="2366"/>
      <c r="I5" s="2366"/>
      <c r="J5" s="2366"/>
      <c r="K5" s="2366"/>
      <c r="L5" s="2366"/>
      <c r="M5" s="2366"/>
      <c r="N5" s="2366"/>
      <c r="O5" s="2366"/>
      <c r="P5" s="2366"/>
      <c r="Q5" s="2366"/>
      <c r="R5" s="2366"/>
    </row>
    <row r="6" spans="1:29" ht="54">
      <c r="A6" s="430"/>
      <c r="B6" s="1796" t="s">
        <v>2096</v>
      </c>
      <c r="C6" s="2374" t="s">
        <v>2091</v>
      </c>
      <c r="D6" s="2369"/>
      <c r="E6" s="2373"/>
      <c r="F6" s="1796" t="s">
        <v>2097</v>
      </c>
      <c r="G6" s="2374" t="s">
        <v>2098</v>
      </c>
      <c r="H6" s="2366"/>
      <c r="I6" s="2366"/>
      <c r="J6" s="2366"/>
      <c r="K6" s="2366"/>
      <c r="L6" s="2366"/>
      <c r="M6" s="2366"/>
      <c r="N6" s="2366"/>
      <c r="O6" s="2366"/>
      <c r="P6" s="2366"/>
      <c r="Q6" s="2366"/>
      <c r="R6" s="2366"/>
    </row>
    <row r="7" spans="1:29" ht="41.25" thickBot="1">
      <c r="A7" s="430"/>
      <c r="B7" s="1796" t="s">
        <v>2094</v>
      </c>
      <c r="C7" s="2374" t="s">
        <v>2095</v>
      </c>
      <c r="D7" s="2375"/>
      <c r="E7" s="2376"/>
      <c r="F7" s="2377" t="s">
        <v>2099</v>
      </c>
      <c r="G7" s="2378" t="s">
        <v>2100</v>
      </c>
      <c r="H7" s="2366"/>
      <c r="I7" s="2366"/>
      <c r="J7" s="2366"/>
      <c r="K7" s="2366"/>
      <c r="L7" s="2366"/>
      <c r="M7" s="2366"/>
      <c r="N7" s="2366"/>
      <c r="O7" s="2366"/>
      <c r="P7" s="2366"/>
      <c r="Q7" s="2366"/>
      <c r="R7" s="2366"/>
    </row>
    <row r="8" spans="1:29" ht="27">
      <c r="A8" s="430"/>
      <c r="B8" s="1796" t="s">
        <v>2097</v>
      </c>
      <c r="C8" s="2374" t="s">
        <v>2098</v>
      </c>
      <c r="D8" s="2375"/>
      <c r="E8" s="2375"/>
      <c r="F8" s="1135"/>
      <c r="G8" s="1135"/>
      <c r="H8" s="2366"/>
      <c r="I8" s="2366"/>
      <c r="J8" s="2366"/>
      <c r="K8" s="2366"/>
      <c r="L8" s="2366"/>
      <c r="M8" s="2366"/>
      <c r="N8" s="2366"/>
      <c r="O8" s="2366"/>
      <c r="P8" s="2366"/>
      <c r="Q8" s="2366"/>
      <c r="R8" s="2366"/>
    </row>
    <row r="9" spans="1:29" ht="27">
      <c r="A9" s="430"/>
      <c r="B9" s="1796" t="s">
        <v>2101</v>
      </c>
      <c r="C9" s="2372" t="s">
        <v>2102</v>
      </c>
      <c r="D9" s="2369"/>
      <c r="E9" s="2375"/>
      <c r="F9" s="1135"/>
      <c r="G9" s="1135"/>
      <c r="H9" s="2366"/>
      <c r="I9" s="2366"/>
      <c r="J9" s="2366"/>
      <c r="K9" s="2366"/>
      <c r="L9" s="2366"/>
      <c r="M9" s="2366"/>
      <c r="N9" s="2366"/>
      <c r="O9" s="2366"/>
      <c r="P9" s="2366"/>
      <c r="Q9" s="2366"/>
      <c r="R9" s="2366"/>
    </row>
    <row r="10" spans="1:29" s="116" customFormat="1" ht="15.75" thickBot="1">
      <c r="A10" s="2379"/>
      <c r="B10" s="2380" t="s">
        <v>2103</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9" t="s">
        <v>2084</v>
      </c>
      <c r="C15" s="2401" t="str">
        <f>C3</f>
        <v>估价对象周边居住用地比例、居住小区规模和社区发展完善程度，综合评价居住社区成熟度一般</v>
      </c>
      <c r="D15" s="2369"/>
      <c r="E15" s="2402" t="s">
        <v>2108</v>
      </c>
      <c r="F15" s="1269" t="s">
        <v>2109</v>
      </c>
      <c r="G15" s="134" t="str">
        <f>G3</f>
        <v>估价对象位于XX开发区，园区建设成熟度XX，产业集聚程度XX</v>
      </c>
    </row>
    <row r="16" spans="1:29" ht="42.75">
      <c r="A16" s="644"/>
      <c r="B16" s="2403" t="s">
        <v>2088</v>
      </c>
      <c r="C16" s="2404" t="str">
        <f>C4</f>
        <v>估价对象位于XX商圈，周边商业氛围成熟，人流量大，商业繁华度好</v>
      </c>
      <c r="D16" s="2369"/>
      <c r="E16" s="2405"/>
      <c r="F16" s="2406" t="s">
        <v>2090</v>
      </c>
      <c r="G16" s="135" t="str">
        <f>G4</f>
        <v>估价对象周边道路状况、公共交通通达情况、停车便捷程度，综合评价交通便捷度较好</v>
      </c>
    </row>
    <row r="17" spans="1:18" ht="42.75">
      <c r="A17" s="644"/>
      <c r="B17" s="2403" t="s">
        <v>2092</v>
      </c>
      <c r="C17" s="2404" t="str">
        <f>C5</f>
        <v>估价对象位于XX商圈，周边办公楼项目较多，入驻率高，办公集聚程度较好</v>
      </c>
      <c r="D17" s="2375"/>
      <c r="E17" s="2405"/>
      <c r="F17" s="2406" t="s">
        <v>2110</v>
      </c>
      <c r="G17" s="1570"/>
    </row>
    <row r="18" spans="1:18" ht="57">
      <c r="A18" s="644"/>
      <c r="B18" s="2406" t="s">
        <v>2096</v>
      </c>
      <c r="C18" s="135" t="str">
        <f>C6</f>
        <v>估价对象周边道路状况、公共交通通达情况、停车便捷程度，综合评价交通便捷度较好</v>
      </c>
      <c r="D18" s="2375"/>
      <c r="E18" s="2405"/>
      <c r="F18" s="2406" t="s">
        <v>2099</v>
      </c>
      <c r="G18" s="135" t="str">
        <f>G7</f>
        <v>该园区内是否有污染型企业，绿化情况，卫生条件，整体环境状况判断</v>
      </c>
    </row>
    <row r="19" spans="1:18" ht="28.5">
      <c r="A19" s="644"/>
      <c r="B19" s="2406" t="s">
        <v>2111</v>
      </c>
      <c r="C19" s="1570"/>
      <c r="D19" s="2369"/>
      <c r="E19" s="2405"/>
      <c r="F19" s="1796" t="s">
        <v>2094</v>
      </c>
      <c r="G19" s="135" t="str">
        <f>G5</f>
        <v>估价对象所在区域公共配套设施齐备情况</v>
      </c>
    </row>
    <row r="20" spans="1:18" ht="28.5">
      <c r="A20" s="644"/>
      <c r="B20" s="2406" t="s">
        <v>2112</v>
      </c>
      <c r="C20" s="2404" t="str">
        <f>C9</f>
        <v>区域自然环境：；人文环境；综合评价环境状况一般</v>
      </c>
      <c r="D20" s="2375"/>
      <c r="E20" s="2405"/>
      <c r="F20" s="1796" t="s">
        <v>2113</v>
      </c>
      <c r="G20" s="135" t="str">
        <f>G6</f>
        <v>估价对象所在区域基础设施水平</v>
      </c>
    </row>
    <row r="21" spans="1:18" ht="28.5">
      <c r="A21" s="644"/>
      <c r="B21" s="1796" t="s">
        <v>2094</v>
      </c>
      <c r="C21" s="135" t="str">
        <f>C7</f>
        <v>估价对象所在区域公共配套设施齐备情况</v>
      </c>
      <c r="D21" s="2369"/>
      <c r="E21" s="2405"/>
      <c r="F21" s="2406" t="s">
        <v>2114</v>
      </c>
      <c r="G21" s="2407"/>
    </row>
    <row r="22" spans="1:18" ht="13.5" customHeight="1">
      <c r="A22" s="644"/>
      <c r="B22" s="1796" t="s">
        <v>2097</v>
      </c>
      <c r="C22" s="135" t="str">
        <f>C8</f>
        <v>估价对象所在区域基础设施水平</v>
      </c>
      <c r="D22" s="2369"/>
      <c r="E22" s="2405"/>
      <c r="F22" s="2406" t="s">
        <v>2103</v>
      </c>
      <c r="G22" s="1570"/>
    </row>
    <row r="23" spans="1:18" s="2366" customFormat="1" ht="15.75" thickBot="1">
      <c r="A23" s="644"/>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8" sqref="D28"/>
    </sheetView>
  </sheetViews>
  <sheetFormatPr defaultRowHeight="13.5"/>
  <cols>
    <col min="1" max="1" width="23.375" style="1739" customWidth="1"/>
    <col min="2" max="9" width="15.75" style="1739" customWidth="1"/>
    <col min="10" max="16384" width="9" style="1739"/>
  </cols>
  <sheetData>
    <row r="1" spans="1:10" ht="16.5">
      <c r="A1" s="1744" t="s">
        <v>1365</v>
      </c>
      <c r="B1" s="1744">
        <f>SUM(B14:B23)</f>
        <v>189177.46</v>
      </c>
      <c r="C1" s="1743"/>
      <c r="D1" s="1743"/>
      <c r="E1" s="1743"/>
      <c r="F1" s="1743"/>
      <c r="G1" s="1741"/>
    </row>
    <row r="2" spans="1:10" ht="16.5">
      <c r="A2" s="1744" t="s">
        <v>1353</v>
      </c>
      <c r="B2" s="1744">
        <f>SUM(C14:C23)</f>
        <v>51535.14</v>
      </c>
      <c r="C2" s="1743"/>
      <c r="D2" s="1743"/>
      <c r="E2" s="1743"/>
      <c r="F2" s="1743"/>
      <c r="G2" s="1741"/>
    </row>
    <row r="3" spans="1:10" ht="16.5">
      <c r="A3" s="1744" t="s">
        <v>1362</v>
      </c>
      <c r="B3" s="1745">
        <f>项目基本情况!D3</f>
        <v>43165</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346076</v>
      </c>
      <c r="C5" s="1744">
        <f ca="1">ROUND(B5*10000/$B$1,0)</f>
        <v>18294</v>
      </c>
      <c r="D5" s="1744">
        <f ca="1">ROUND(B5*10000/$B$2,0)</f>
        <v>67153</v>
      </c>
      <c r="E5" s="1743"/>
      <c r="F5" s="1741"/>
      <c r="G5" s="1741"/>
    </row>
    <row r="6" spans="1:10" ht="16.5">
      <c r="A6" s="1744" t="s">
        <v>1356</v>
      </c>
      <c r="B6" s="1744">
        <f>SUM(G14:G23)</f>
        <v>0</v>
      </c>
      <c r="C6" s="1744">
        <f>ROUND(B6*10000/$B$1,0)</f>
        <v>0</v>
      </c>
      <c r="D6" s="1744">
        <f>ROUND(B6*10000/$B$2,0)</f>
        <v>0</v>
      </c>
      <c r="E6" s="1743"/>
      <c r="F6" s="1741"/>
      <c r="G6" s="1741"/>
    </row>
    <row r="7" spans="1:10" ht="16.5">
      <c r="A7" s="1744" t="s">
        <v>1364</v>
      </c>
      <c r="B7" s="1744">
        <f ca="1">SUM(H14:H23)</f>
        <v>14842</v>
      </c>
      <c r="C7" s="1744">
        <f ca="1">ROUND(B7*10000/$B$1,0)</f>
        <v>785</v>
      </c>
      <c r="D7" s="1744">
        <f ca="1">ROUND(B7*10000/$B$2,0)</f>
        <v>2880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12609.74</v>
      </c>
      <c r="C14" s="1742">
        <f>结果表!C118</f>
        <v>3435.11</v>
      </c>
      <c r="D14" s="1742">
        <f ca="1">结果表!H118</f>
        <v>16579</v>
      </c>
      <c r="E14" s="1742">
        <f ca="1">ROUND(D14*10000/B14,0)</f>
        <v>13148</v>
      </c>
      <c r="F14" s="1742">
        <f ca="1">ROUND(D14*10000/C14,0)</f>
        <v>48263</v>
      </c>
      <c r="G14" s="1742" t="str">
        <f>结果表!D122</f>
        <v>——</v>
      </c>
      <c r="H14" s="1742">
        <f ca="1">结果表!D124</f>
        <v>14842</v>
      </c>
      <c r="I14" s="1742" t="str">
        <f>结果表!D126</f>
        <v>——</v>
      </c>
      <c r="J14" s="1741"/>
    </row>
    <row r="15" spans="1:10" ht="16.5">
      <c r="A15" s="1740" t="s">
        <v>1349</v>
      </c>
      <c r="B15" s="1747">
        <f>'[1]数据-汇总表'!$E$3</f>
        <v>176567.72</v>
      </c>
      <c r="C15" s="1747">
        <f>'[1]数据-汇总表'!$D$3</f>
        <v>48100.03</v>
      </c>
      <c r="D15" s="1747">
        <f ca="1">[2]结果表!$G$19</f>
        <v>329497</v>
      </c>
      <c r="E15" s="1742">
        <f t="shared" ref="E15:E23" ca="1" si="0">ROUND(D15*10000/B15,0)</f>
        <v>18661</v>
      </c>
      <c r="F15" s="1742">
        <f t="shared" ref="F15:F23" ca="1" si="1">ROUND(D15*10000/C15,0)</f>
        <v>68502</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2117</v>
      </c>
      <c r="B1" s="2417"/>
      <c r="C1" s="2418"/>
      <c r="D1" s="2417"/>
      <c r="E1" s="2417"/>
      <c r="F1" s="2419" t="s">
        <v>2118</v>
      </c>
      <c r="G1" s="2069" t="s">
        <v>2119</v>
      </c>
      <c r="H1" s="2420" t="str">
        <f>IF(G1="现房","——","估价对象范围")</f>
        <v>估价对象范围</v>
      </c>
      <c r="I1" s="2421"/>
    </row>
    <row r="2" spans="1:12" ht="21.75" customHeight="1" thickBot="1">
      <c r="A2" s="3101" t="str">
        <f>项目基本情况!S2</f>
        <v>北京市昌平区南邵镇（中关村科技园昌平园东区二期）0303-54地块出让国有建设用地使用权及在建建筑物房地产</v>
      </c>
      <c r="B2" s="3102"/>
      <c r="C2" s="3102"/>
      <c r="D2" s="3102"/>
      <c r="E2" s="3102"/>
      <c r="F2" s="3102"/>
      <c r="G2" s="3102"/>
      <c r="H2" s="3102"/>
      <c r="I2" s="3103"/>
    </row>
    <row r="3" spans="1:12" ht="12.75">
      <c r="A3" s="3105" t="s">
        <v>2120</v>
      </c>
      <c r="B3" s="3106"/>
      <c r="C3" s="3106"/>
      <c r="D3" s="3106"/>
      <c r="E3" s="3106"/>
      <c r="F3" s="3106"/>
      <c r="G3" s="3106"/>
      <c r="H3" s="3106"/>
      <c r="I3" s="3106"/>
    </row>
    <row r="4" spans="1:12" ht="14.25">
      <c r="A4" s="2424" t="s">
        <v>2121</v>
      </c>
      <c r="B4" s="2425" t="s">
        <v>2122</v>
      </c>
      <c r="C4" s="2426" t="s">
        <v>3295</v>
      </c>
      <c r="D4" s="2426" t="s">
        <v>3296</v>
      </c>
      <c r="E4" s="3098" t="s">
        <v>2123</v>
      </c>
      <c r="F4" s="3099"/>
      <c r="G4" s="3099"/>
      <c r="H4" s="3099"/>
      <c r="I4" s="310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81" t="s">
        <v>2124</v>
      </c>
      <c r="B5" s="3019">
        <v>25</v>
      </c>
      <c r="C5" s="3084"/>
      <c r="D5" s="3104"/>
      <c r="E5" s="139" t="s">
        <v>2125</v>
      </c>
      <c r="F5" s="2428"/>
      <c r="G5" s="2428"/>
      <c r="H5" s="2428"/>
      <c r="I5" s="1832"/>
    </row>
    <row r="6" spans="1:12" ht="12.75">
      <c r="A6" s="3081"/>
      <c r="B6" s="3019"/>
      <c r="C6" s="3085"/>
      <c r="D6" s="3104"/>
      <c r="E6" s="139" t="s">
        <v>2126</v>
      </c>
      <c r="F6" s="2428"/>
      <c r="G6" s="2428"/>
      <c r="H6" s="2428"/>
      <c r="I6" s="1832"/>
    </row>
    <row r="7" spans="1:12" ht="12.75">
      <c r="A7" s="3081"/>
      <c r="B7" s="3019"/>
      <c r="C7" s="3086"/>
      <c r="D7" s="3104"/>
      <c r="E7" s="139" t="s">
        <v>2127</v>
      </c>
      <c r="F7" s="2428"/>
      <c r="G7" s="2428"/>
      <c r="H7" s="2428"/>
      <c r="I7" s="1832"/>
    </row>
    <row r="8" spans="1:12" ht="12.75">
      <c r="A8" s="3081" t="s">
        <v>2128</v>
      </c>
      <c r="B8" s="3019">
        <v>15</v>
      </c>
      <c r="C8" s="3084"/>
      <c r="D8" s="3104"/>
      <c r="E8" s="139" t="s">
        <v>2129</v>
      </c>
      <c r="F8" s="2428"/>
      <c r="G8" s="2428"/>
      <c r="H8" s="2428"/>
      <c r="I8" s="1832"/>
    </row>
    <row r="9" spans="1:12" ht="12.75">
      <c r="A9" s="3081"/>
      <c r="B9" s="3019"/>
      <c r="C9" s="3086"/>
      <c r="D9" s="3104"/>
      <c r="E9" s="139" t="s">
        <v>2130</v>
      </c>
      <c r="F9" s="2428"/>
      <c r="G9" s="2428"/>
      <c r="H9" s="2428"/>
      <c r="I9" s="1832"/>
    </row>
    <row r="10" spans="1:12" ht="12.75">
      <c r="A10" s="3081" t="s">
        <v>2131</v>
      </c>
      <c r="B10" s="3019">
        <v>15</v>
      </c>
      <c r="C10" s="3084"/>
      <c r="D10" s="3104"/>
      <c r="E10" s="139" t="s">
        <v>2132</v>
      </c>
      <c r="F10" s="2428"/>
      <c r="G10" s="2428"/>
      <c r="H10" s="2428"/>
      <c r="I10" s="1832"/>
    </row>
    <row r="11" spans="1:12" ht="12.75">
      <c r="A11" s="3081"/>
      <c r="B11" s="3019"/>
      <c r="C11" s="3086"/>
      <c r="D11" s="3104"/>
      <c r="E11" s="139" t="s">
        <v>2133</v>
      </c>
      <c r="F11" s="2428"/>
      <c r="G11" s="2428"/>
      <c r="H11" s="2428"/>
      <c r="I11" s="1832"/>
    </row>
    <row r="12" spans="1:12" ht="12.75">
      <c r="A12" s="3081" t="s">
        <v>2134</v>
      </c>
      <c r="B12" s="3019">
        <v>15</v>
      </c>
      <c r="C12" s="3084"/>
      <c r="D12" s="3104"/>
      <c r="E12" s="139" t="s">
        <v>2135</v>
      </c>
      <c r="F12" s="2428"/>
      <c r="G12" s="2428"/>
      <c r="H12" s="2428"/>
      <c r="I12" s="1832"/>
    </row>
    <row r="13" spans="1:12" ht="12.75">
      <c r="A13" s="3081"/>
      <c r="B13" s="3019"/>
      <c r="C13" s="3086"/>
      <c r="D13" s="3104"/>
      <c r="E13" s="139" t="s">
        <v>2136</v>
      </c>
      <c r="F13" s="2428"/>
      <c r="G13" s="2428"/>
      <c r="H13" s="2428"/>
      <c r="I13" s="1832"/>
    </row>
    <row r="14" spans="1:12" ht="12.75">
      <c r="A14" s="3081" t="s">
        <v>2137</v>
      </c>
      <c r="B14" s="3019">
        <v>30</v>
      </c>
      <c r="C14" s="3084">
        <v>5</v>
      </c>
      <c r="D14" s="3104">
        <v>5</v>
      </c>
      <c r="E14" s="139" t="s">
        <v>2138</v>
      </c>
      <c r="F14" s="2428"/>
      <c r="G14" s="2428"/>
      <c r="H14" s="2428"/>
      <c r="I14" s="1832"/>
    </row>
    <row r="15" spans="1:12" ht="12.75">
      <c r="A15" s="3081"/>
      <c r="B15" s="3019"/>
      <c r="C15" s="3085"/>
      <c r="D15" s="3104"/>
      <c r="E15" s="139" t="s">
        <v>2139</v>
      </c>
      <c r="F15" s="2428"/>
      <c r="G15" s="2428"/>
      <c r="H15" s="2428"/>
      <c r="I15" s="1832"/>
    </row>
    <row r="16" spans="1:12" ht="12.75">
      <c r="A16" s="3081"/>
      <c r="B16" s="3019"/>
      <c r="C16" s="3086"/>
      <c r="D16" s="3104"/>
      <c r="E16" s="139" t="s">
        <v>2140</v>
      </c>
      <c r="F16" s="2428"/>
      <c r="G16" s="2428"/>
      <c r="H16" s="2428"/>
      <c r="I16" s="1832"/>
    </row>
    <row r="17" spans="1:35" ht="15">
      <c r="A17" s="2429" t="s">
        <v>2141</v>
      </c>
      <c r="B17" s="64"/>
      <c r="C17" s="140">
        <f>SUM(C5:C16)</f>
        <v>5</v>
      </c>
      <c r="D17" s="140">
        <f>SUM(D5:D16)</f>
        <v>5</v>
      </c>
      <c r="E17" s="137"/>
      <c r="F17" s="137"/>
      <c r="G17" s="137"/>
      <c r="H17" s="137"/>
      <c r="I17" s="137"/>
      <c r="K17" s="2427"/>
      <c r="L17" s="2430" t="s">
        <v>2142</v>
      </c>
      <c r="M17" s="2430" t="s">
        <v>2143</v>
      </c>
    </row>
    <row r="18" spans="1:35" ht="15.75" thickBot="1">
      <c r="A18" s="2431" t="s">
        <v>2144</v>
      </c>
      <c r="B18" s="2432"/>
      <c r="C18" s="141">
        <f>ROUND(C17/SUM(C17:D17),2)</f>
        <v>0.5</v>
      </c>
      <c r="D18" s="141">
        <f>1-C18</f>
        <v>0.5</v>
      </c>
      <c r="E18" s="137"/>
      <c r="F18" s="137"/>
      <c r="G18" s="137"/>
      <c r="H18" s="137"/>
      <c r="I18" s="137"/>
      <c r="K18" s="2427" t="s">
        <v>2145</v>
      </c>
      <c r="L18" s="2427">
        <f>IF(C1="",'数据-汇总表'!E3,SUMIF(项目类型,C1,'数据-汇总表'!E17:E26)+SUMIF(项目类型,C1,'数据-汇总表'!I17:I26))</f>
        <v>12609.74</v>
      </c>
      <c r="M18" s="2427">
        <f>IF(C1="",'数据-汇总表'!E3,SUMIF(项目类型,C1,'数据-汇总表'!E17:E26))</f>
        <v>12609.74</v>
      </c>
    </row>
    <row r="19" spans="1:35" ht="15">
      <c r="A19" s="2433" t="s">
        <v>2146</v>
      </c>
      <c r="B19" s="2434" t="s">
        <v>2147</v>
      </c>
      <c r="C19" s="142">
        <f ca="1">SUMIF(INDIRECT("'"&amp;C4&amp;"'"&amp;"!A:A"),结果表!B19,INDIRECT("'"&amp;C4&amp;"'"&amp;"!B:B"))</f>
        <v>14946</v>
      </c>
      <c r="D19" s="143">
        <f ca="1">SUMIF(INDIRECT("'"&amp;D4&amp;"'"&amp;"!A:A"),结果表!B19,INDIRECT("'"&amp;D4&amp;"'"&amp;"!B:B"))</f>
        <v>18211</v>
      </c>
      <c r="E19" s="2433" t="s">
        <v>2148</v>
      </c>
      <c r="F19" s="2434" t="s">
        <v>2147</v>
      </c>
      <c r="G19" s="144">
        <f ca="1">ROUND(C19*$C$18+D19*$D$18,0)</f>
        <v>16579</v>
      </c>
      <c r="H19" s="2435" t="s">
        <v>2149</v>
      </c>
      <c r="I19" s="137"/>
      <c r="K19" s="2427" t="s">
        <v>2150</v>
      </c>
      <c r="L19" s="2427">
        <f>IF(C1="",'数据-汇总表'!D3,SUMIF(项目类型,C1,'数据-汇总表'!D17:D26)+SUMIF(项目类型,C1,'数据-汇总表'!H17:H27))</f>
        <v>3435.11</v>
      </c>
      <c r="M19" s="2427">
        <f>IF(C1="",'数据-汇总表'!D3,SUMIF(项目类型,C1,'数据-汇总表'!D17:D26))</f>
        <v>3435.11</v>
      </c>
    </row>
    <row r="20" spans="1:35" ht="15">
      <c r="A20" s="2436"/>
      <c r="B20" s="1249" t="s">
        <v>2151</v>
      </c>
      <c r="C20" s="145">
        <f ca="1">SUMIF(INDIRECT("'"&amp;C4&amp;"'"&amp;"!A:A"),结果表!B20,INDIRECT("'"&amp;C4&amp;"'"&amp;"!B:B"))</f>
        <v>11853</v>
      </c>
      <c r="D20" s="146">
        <f ca="1">SUMIF(INDIRECT("'"&amp;D4&amp;"'"&amp;"!A:A"),结果表!B20,INDIRECT("'"&amp;D4&amp;"'"&amp;"!B:B"))</f>
        <v>14442</v>
      </c>
      <c r="E20" s="2436"/>
      <c r="F20" s="1249" t="s">
        <v>2151</v>
      </c>
      <c r="G20" s="147">
        <f ca="1">ROUND(C20*$C$18+D20*$D$18,0)</f>
        <v>13148</v>
      </c>
      <c r="H20" s="982" t="s">
        <v>2152</v>
      </c>
      <c r="I20" s="137"/>
    </row>
    <row r="21" spans="1:35" ht="15" customHeight="1" thickBot="1">
      <c r="A21" s="1002"/>
      <c r="B21" s="2437" t="s">
        <v>2153</v>
      </c>
      <c r="C21" s="788">
        <f ca="1">ROUND(C19*10000/L19,0)</f>
        <v>43510</v>
      </c>
      <c r="D21" s="789">
        <f ca="1">ROUND(D19*10000/L19,0)</f>
        <v>53014</v>
      </c>
      <c r="E21" s="1002"/>
      <c r="F21" s="2437" t="s">
        <v>2153</v>
      </c>
      <c r="G21" s="148">
        <f ca="1">ROUND(G19*10000/L19,0)</f>
        <v>48263</v>
      </c>
      <c r="H21" s="2438" t="s">
        <v>2152</v>
      </c>
      <c r="I21" s="137"/>
    </row>
    <row r="22" spans="1:35" ht="15" thickBot="1">
      <c r="A22" s="2279" t="s">
        <v>2154</v>
      </c>
      <c r="B22" s="2439"/>
      <c r="C22" s="2440"/>
      <c r="D22" s="790">
        <f ca="1">IF(C19&lt;D19,D19/C19-1,C19/D19-1)</f>
        <v>0.21845309781881439</v>
      </c>
      <c r="E22" s="137"/>
      <c r="F22" s="137"/>
      <c r="G22" s="137"/>
      <c r="H22" s="137"/>
      <c r="I22" s="137"/>
      <c r="J22" s="794">
        <f ca="1">D19*10000/'数据-汇总表'!E3</f>
        <v>14442.010699665498</v>
      </c>
    </row>
    <row r="23" spans="1:35" ht="13.5" thickBot="1">
      <c r="A23" s="2417"/>
      <c r="B23" s="2417"/>
      <c r="C23" s="2417"/>
      <c r="D23" s="2417"/>
      <c r="E23" s="137"/>
      <c r="F23" s="137"/>
      <c r="G23" s="137"/>
      <c r="H23" s="137"/>
      <c r="I23" s="137"/>
    </row>
    <row r="24" spans="1:35" ht="14.25">
      <c r="A24" s="3075" t="s">
        <v>2155</v>
      </c>
      <c r="B24" s="2434" t="s">
        <v>2147</v>
      </c>
      <c r="C24" s="144">
        <f>IF(B30=0,0,D30)</f>
        <v>0</v>
      </c>
      <c r="D24" s="2441"/>
      <c r="E24" s="137"/>
      <c r="F24" s="137"/>
      <c r="G24" s="137"/>
      <c r="H24" s="137"/>
      <c r="I24" s="137"/>
    </row>
    <row r="25" spans="1:35" ht="14.25">
      <c r="A25" s="3076"/>
      <c r="B25" s="1249" t="s">
        <v>2151</v>
      </c>
      <c r="C25" s="149">
        <f>IF(B30=0,0,C30)</f>
        <v>0</v>
      </c>
      <c r="D25" s="2442"/>
      <c r="E25" s="137"/>
      <c r="F25" s="137"/>
      <c r="G25" s="137"/>
      <c r="H25" s="137"/>
      <c r="I25" s="137"/>
    </row>
    <row r="26" spans="1:35" ht="13.5" customHeight="1">
      <c r="A26" s="2443" t="s">
        <v>2156</v>
      </c>
      <c r="B26" s="150" t="s">
        <v>2157</v>
      </c>
      <c r="C26" s="150" t="s">
        <v>2158</v>
      </c>
      <c r="D26" s="151" t="s">
        <v>2159</v>
      </c>
      <c r="E26" s="137"/>
      <c r="F26" s="137"/>
      <c r="G26" s="137"/>
      <c r="H26" s="137"/>
      <c r="I26" s="137"/>
    </row>
    <row r="27" spans="1:35" ht="14.25">
      <c r="A27" s="2443"/>
      <c r="B27" s="150">
        <v>0</v>
      </c>
      <c r="C27" s="150">
        <v>0</v>
      </c>
      <c r="D27" s="151">
        <f ca="1">G19/'数据-汇总表'!F31*10000</f>
        <v>51862.209626056552</v>
      </c>
      <c r="E27" s="137"/>
      <c r="F27" s="137"/>
      <c r="G27" s="137"/>
      <c r="H27" s="137"/>
      <c r="I27" s="137"/>
      <c r="J27" s="794">
        <f ca="1">N59+[2]结果表!$N$59</f>
        <v>300395</v>
      </c>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2160</v>
      </c>
      <c r="B30" s="150"/>
      <c r="C30" s="150"/>
      <c r="D30" s="150"/>
      <c r="E30" s="2925" t="s">
        <v>3036</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2">
        <f ca="1">IF(D32="总价",G19-C24,G20-C25)</f>
        <v>16579</v>
      </c>
      <c r="D32" s="2448" t="s">
        <v>2162</v>
      </c>
      <c r="E32" s="137"/>
      <c r="F32" s="137"/>
      <c r="G32" s="137"/>
      <c r="H32" s="137"/>
      <c r="I32" s="137"/>
    </row>
    <row r="33" spans="1:15" ht="15">
      <c r="A33" s="959" t="s">
        <v>2163</v>
      </c>
      <c r="B33" s="2449"/>
      <c r="C33" s="2450" t="s">
        <v>3297</v>
      </c>
      <c r="D33" s="2451" t="s">
        <v>3295</v>
      </c>
      <c r="E33" s="2452" t="s">
        <v>2164</v>
      </c>
      <c r="F33" s="2453" t="str">
        <f>IF(D32="楼面单价","取值（单价）","取值（总价）")</f>
        <v>取值（总价）</v>
      </c>
      <c r="G33" s="137"/>
      <c r="H33" s="137"/>
      <c r="I33" s="137"/>
    </row>
    <row r="34" spans="1:15" ht="15">
      <c r="A34" s="2454"/>
      <c r="B34" s="2455" t="s">
        <v>2165</v>
      </c>
      <c r="C34" s="156">
        <f ca="1">IF(C33="自定义",F34,C32-C35)</f>
        <v>13827</v>
      </c>
      <c r="D34" s="1057">
        <f ca="1">IF(C33="自定义",ROUND(C34/C32,3),IF(C33="收益比率",SUMIF(INDIRECT("'"&amp;D33&amp;"'"&amp;"!b:b"),"土地收益比率",INDIRECT("'"&amp;D33&amp;"'"&amp;"!c:c")),SUMIF(INDIRECT("'"&amp;D33&amp;"'"&amp;"!b:b"),"土地成本比率",INDIRECT("'"&amp;D33&amp;"'"&amp;"!c:c"))))</f>
        <v>0.83399999999999996</v>
      </c>
      <c r="E34" s="2456" t="s">
        <v>2166</v>
      </c>
      <c r="F34" s="1737"/>
      <c r="G34" s="137"/>
      <c r="H34" s="137"/>
      <c r="I34" s="137"/>
    </row>
    <row r="35" spans="1:15" ht="15.75" thickBot="1">
      <c r="A35" s="2457"/>
      <c r="B35" s="2458" t="s">
        <v>2167</v>
      </c>
      <c r="C35" s="1442">
        <f ca="1">IF(C33="自定义",F35,ROUND(C32*D35,0))</f>
        <v>2752</v>
      </c>
      <c r="D35" s="1443">
        <f ca="1">IF(C33="自定义",ROUND(C35/C32,3),IF(C33="收益比率",SUMIF(INDIRECT("'"&amp;D33&amp;"'"&amp;"!b:b"),"建筑物收益比率",INDIRECT("'"&amp;D33&amp;"'"&amp;"!c:c")),SUMIF(INDIRECT("'"&amp;D33&amp;"'"&amp;"!b:b"),"建筑物成本比率",INDIRECT("'"&amp;D33&amp;"'"&amp;"!c:c"))))</f>
        <v>0.16600000000000001</v>
      </c>
      <c r="E35" s="2459" t="s">
        <v>2168</v>
      </c>
      <c r="F35" s="162"/>
      <c r="G35" s="137"/>
      <c r="H35" s="137"/>
      <c r="I35" s="137"/>
    </row>
    <row r="36" spans="1:15" ht="15.75" thickBot="1">
      <c r="A36" s="3093" t="s">
        <v>2169</v>
      </c>
      <c r="B36" s="2460" t="s">
        <v>2170</v>
      </c>
      <c r="C36" s="153"/>
      <c r="D36" s="2461"/>
      <c r="E36" s="2462"/>
      <c r="F36" s="2463"/>
      <c r="G36" s="137"/>
      <c r="H36" s="137"/>
      <c r="I36" s="137"/>
    </row>
    <row r="37" spans="1:15" ht="15.75" thickBot="1">
      <c r="A37" s="3094"/>
      <c r="B37" s="2265" t="s">
        <v>2171</v>
      </c>
      <c r="C37" s="155">
        <v>1737</v>
      </c>
      <c r="D37" s="1393"/>
      <c r="E37" s="1393"/>
      <c r="F37" s="2463"/>
      <c r="G37" s="137"/>
      <c r="H37" s="137"/>
      <c r="I37" s="137"/>
    </row>
    <row r="38" spans="1:15" ht="15.75" thickBot="1">
      <c r="A38" s="3095"/>
      <c r="B38" s="2464" t="s">
        <v>2172</v>
      </c>
      <c r="C38" s="726"/>
      <c r="D38" s="2465" t="s">
        <v>2173</v>
      </c>
      <c r="E38" s="1393"/>
      <c r="F38" s="2463"/>
      <c r="G38" s="137"/>
      <c r="H38" s="137"/>
      <c r="I38" s="137"/>
    </row>
    <row r="39" spans="1:15" ht="15">
      <c r="A39" s="2436" t="s">
        <v>2174</v>
      </c>
      <c r="B39" s="2466" t="s">
        <v>2175</v>
      </c>
      <c r="C39" s="2467" t="s">
        <v>2176</v>
      </c>
      <c r="D39" s="2467" t="s">
        <v>2177</v>
      </c>
      <c r="E39" s="2468" t="s">
        <v>2178</v>
      </c>
      <c r="F39" s="2463"/>
      <c r="G39" s="137"/>
      <c r="H39" s="137"/>
      <c r="I39" s="137"/>
    </row>
    <row r="40" spans="1:15" ht="14.25">
      <c r="A40" s="2469" t="s">
        <v>2179</v>
      </c>
      <c r="B40" s="157"/>
      <c r="C40" s="158"/>
      <c r="D40" s="158"/>
      <c r="E40" s="159"/>
      <c r="F40" s="2463"/>
      <c r="G40" s="137"/>
      <c r="H40" s="137"/>
      <c r="I40" s="137"/>
    </row>
    <row r="41" spans="1:15" ht="14.25">
      <c r="A41" s="2469" t="s">
        <v>2180</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72" t="s">
        <v>2183</v>
      </c>
      <c r="B45" s="3073"/>
      <c r="C45" s="3074"/>
      <c r="D45" s="163">
        <f ca="1">ROUND(H101*F45,0)</f>
        <v>16579</v>
      </c>
      <c r="E45" s="164" t="s">
        <v>2184</v>
      </c>
      <c r="F45" s="165">
        <v>1</v>
      </c>
      <c r="G45" s="166" t="s">
        <v>2185</v>
      </c>
      <c r="H45" s="137"/>
      <c r="I45" s="137"/>
      <c r="J45" s="3132" t="s">
        <v>2186</v>
      </c>
      <c r="K45" s="3132"/>
      <c r="L45" s="3132"/>
      <c r="M45" s="3132"/>
      <c r="N45" s="3132"/>
      <c r="O45" s="3132"/>
    </row>
    <row r="46" spans="1:15" ht="14.25" customHeight="1">
      <c r="A46" s="3069" t="s">
        <v>2187</v>
      </c>
      <c r="B46" s="3070"/>
      <c r="C46" s="3070"/>
      <c r="D46" s="3070"/>
      <c r="E46" s="3070"/>
      <c r="F46" s="3070"/>
      <c r="G46" s="3071"/>
      <c r="H46" s="2479"/>
      <c r="I46" s="167"/>
      <c r="J46" s="1810">
        <v>1</v>
      </c>
      <c r="K46" s="3132" t="s">
        <v>2188</v>
      </c>
      <c r="L46" s="3132"/>
      <c r="M46" s="3152"/>
      <c r="N46" s="3152"/>
      <c r="O46" s="3152"/>
    </row>
    <row r="47" spans="1:15" ht="12" customHeight="1">
      <c r="A47" s="168" t="s">
        <v>2189</v>
      </c>
      <c r="B47" s="169"/>
      <c r="C47" s="170"/>
      <c r="D47" s="171" t="s">
        <v>2190</v>
      </c>
      <c r="E47" s="24" t="s">
        <v>2191</v>
      </c>
      <c r="F47" s="172" t="s">
        <v>2192</v>
      </c>
      <c r="G47" s="173" t="s">
        <v>2193</v>
      </c>
      <c r="H47" s="2479"/>
      <c r="I47" s="167"/>
      <c r="J47" s="1810">
        <v>2</v>
      </c>
      <c r="K47" s="3132" t="s">
        <v>2194</v>
      </c>
      <c r="L47" s="3132"/>
      <c r="M47" s="3153">
        <f>'数据-取费表'!B2</f>
        <v>43165</v>
      </c>
      <c r="N47" s="3153"/>
      <c r="O47" s="3153"/>
    </row>
    <row r="48" spans="1:15" ht="25.5">
      <c r="A48" s="3100" t="s">
        <v>2195</v>
      </c>
      <c r="B48" s="3083"/>
      <c r="C48" s="3083"/>
      <c r="D48" s="139">
        <f ca="1">IF(H48="情况1",0,IF(H48="情况2",D52,IF(H48="情况3",D53,IF(H48="情况4",D54))))</f>
        <v>868</v>
      </c>
      <c r="E48" s="1799" t="str">
        <f>IF(H48="情况4","(销售额-原购置价)×税（费）率","销售额×税（费）率")</f>
        <v>销售额×税（费）率</v>
      </c>
      <c r="F48" s="174">
        <f>IF(H48="情况1","免征",'数据-取费表'!B41)</f>
        <v>5.5000000000000007E-2</v>
      </c>
      <c r="G48" s="2480" t="s">
        <v>2196</v>
      </c>
      <c r="H48" s="2481" t="s">
        <v>3311</v>
      </c>
      <c r="I48" s="2479"/>
      <c r="J48" s="1810">
        <v>3</v>
      </c>
      <c r="K48" s="3132" t="s">
        <v>2197</v>
      </c>
      <c r="L48" s="3132"/>
      <c r="M48" s="3154">
        <f ca="1">H101</f>
        <v>16579</v>
      </c>
      <c r="N48" s="3154"/>
      <c r="O48" s="3154"/>
    </row>
    <row r="49" spans="1:35" ht="25.5" customHeight="1">
      <c r="A49" s="175" t="s">
        <v>2198</v>
      </c>
      <c r="B49" s="3068" t="s">
        <v>2199</v>
      </c>
      <c r="C49" s="3068"/>
      <c r="D49" s="176">
        <v>0</v>
      </c>
      <c r="E49" s="23" t="s">
        <v>2200</v>
      </c>
      <c r="F49" s="28" t="s">
        <v>34</v>
      </c>
      <c r="G49" s="3138"/>
      <c r="H49" s="137"/>
      <c r="I49" s="2482"/>
      <c r="J49" s="1810">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14842</v>
      </c>
      <c r="N49" s="3154"/>
      <c r="O49" s="3154"/>
    </row>
    <row r="50" spans="1:35" ht="25.5" customHeight="1">
      <c r="A50" s="177"/>
      <c r="B50" s="3068" t="s">
        <v>2201</v>
      </c>
      <c r="C50" s="3068"/>
      <c r="D50" s="178"/>
      <c r="E50" s="31"/>
      <c r="F50" s="179"/>
      <c r="G50" s="3139"/>
      <c r="H50" s="137"/>
      <c r="I50" s="2482"/>
      <c r="J50" s="3132" t="s">
        <v>2202</v>
      </c>
      <c r="K50" s="3132"/>
      <c r="L50" s="3132"/>
      <c r="M50" s="3132"/>
      <c r="N50" s="3132"/>
      <c r="O50" s="3132"/>
    </row>
    <row r="51" spans="1:35" ht="12" customHeight="1">
      <c r="A51" s="180"/>
      <c r="B51" s="3068" t="s">
        <v>2203</v>
      </c>
      <c r="C51" s="3068"/>
      <c r="D51" s="181"/>
      <c r="E51" s="30"/>
      <c r="F51" s="179"/>
      <c r="G51" s="3140"/>
      <c r="H51" s="137"/>
      <c r="I51" s="2482"/>
      <c r="J51" s="2483" t="s">
        <v>2204</v>
      </c>
      <c r="K51" s="3132" t="s">
        <v>2205</v>
      </c>
      <c r="L51" s="3132"/>
      <c r="M51" s="2483" t="s">
        <v>2206</v>
      </c>
      <c r="N51" s="2483" t="s">
        <v>2207</v>
      </c>
      <c r="O51" s="2483" t="s">
        <v>2208</v>
      </c>
    </row>
    <row r="52" spans="1:35" ht="24" customHeight="1">
      <c r="A52" s="182" t="s">
        <v>2209</v>
      </c>
      <c r="B52" s="3068" t="s">
        <v>2210</v>
      </c>
      <c r="C52" s="3068"/>
      <c r="D52" s="181">
        <f ca="1">ROUND(D45*'数据-取费表'!B41/(1+'数据-取费表'!C42),0)</f>
        <v>868</v>
      </c>
      <c r="E52" s="11" t="s">
        <v>2211</v>
      </c>
      <c r="F52" s="183">
        <f>'数据-取费表'!B41</f>
        <v>5.5000000000000007E-2</v>
      </c>
      <c r="G52" s="2484"/>
      <c r="H52" s="137"/>
      <c r="I52" s="2482"/>
      <c r="J52" s="1810">
        <v>1</v>
      </c>
      <c r="K52" s="3133" t="s">
        <v>2212</v>
      </c>
      <c r="L52" s="3133"/>
      <c r="M52" s="1752">
        <f ca="1">D48</f>
        <v>868</v>
      </c>
      <c r="N52" s="1810" t="str">
        <f>E48</f>
        <v>销售额×税（费）率</v>
      </c>
      <c r="O52" s="1753">
        <f>F48</f>
        <v>5.5000000000000007E-2</v>
      </c>
    </row>
    <row r="53" spans="1:35" ht="12" customHeight="1">
      <c r="A53" s="182" t="s">
        <v>2213</v>
      </c>
      <c r="B53" s="3091" t="s">
        <v>2214</v>
      </c>
      <c r="C53" s="3092"/>
      <c r="D53" s="181">
        <f ca="1">ROUND(D45*'数据-取费表'!B41/(1+'数据-取费表'!C42),0)</f>
        <v>868</v>
      </c>
      <c r="E53" s="11" t="s">
        <v>2211</v>
      </c>
      <c r="F53" s="183">
        <f>'数据-取费表'!B41</f>
        <v>5.5000000000000007E-2</v>
      </c>
      <c r="G53" s="2484"/>
      <c r="H53" s="137"/>
      <c r="I53" s="2482"/>
      <c r="J53" s="1810">
        <v>2</v>
      </c>
      <c r="K53" s="3133" t="s">
        <v>2215</v>
      </c>
      <c r="L53" s="3133"/>
      <c r="M53" s="1752">
        <f t="shared" ref="M53:O54" ca="1" si="0">D55</f>
        <v>8</v>
      </c>
      <c r="N53" s="1810" t="str">
        <f t="shared" si="0"/>
        <v>销售额×税（费）率</v>
      </c>
      <c r="O53" s="1753">
        <f t="shared" si="0"/>
        <v>5.0000000000000001E-4</v>
      </c>
    </row>
    <row r="54" spans="1:35" ht="12" customHeight="1">
      <c r="A54" s="182" t="s">
        <v>2216</v>
      </c>
      <c r="B54" s="3091" t="s">
        <v>2217</v>
      </c>
      <c r="C54" s="3092"/>
      <c r="D54" s="181">
        <f ca="1">C68</f>
        <v>868</v>
      </c>
      <c r="E54" s="30" t="s">
        <v>2218</v>
      </c>
      <c r="F54" s="183">
        <f>'数据-取费表'!B41</f>
        <v>5.5000000000000007E-2</v>
      </c>
      <c r="G54" s="2484"/>
      <c r="H54" s="2485"/>
      <c r="I54" s="2482"/>
      <c r="J54" s="1810">
        <v>3</v>
      </c>
      <c r="K54" s="3133" t="s">
        <v>2219</v>
      </c>
      <c r="L54" s="3133"/>
      <c r="M54" s="1752">
        <f t="shared" ca="1" si="0"/>
        <v>2266</v>
      </c>
      <c r="N54" s="1810" t="str">
        <f t="shared" si="0"/>
        <v>增值额×税（费）率</v>
      </c>
      <c r="O54" s="1754" t="str">
        <f t="shared" si="0"/>
        <v>——</v>
      </c>
    </row>
    <row r="55" spans="1:35" ht="24" customHeight="1">
      <c r="A55" s="3082" t="s">
        <v>2220</v>
      </c>
      <c r="B55" s="3083"/>
      <c r="C55" s="3083"/>
      <c r="D55" s="184">
        <f ca="1">IF(H55="个人住宅",0,ROUND(D45*I55,0))</f>
        <v>8</v>
      </c>
      <c r="E55" s="11" t="s">
        <v>2221</v>
      </c>
      <c r="F55" s="183">
        <f>IF(H55="正常",I55,"免征")</f>
        <v>5.0000000000000001E-4</v>
      </c>
      <c r="G55" s="2484"/>
      <c r="H55" s="2481" t="s">
        <v>2222</v>
      </c>
      <c r="I55" s="185">
        <f>'数据-取费表'!B49</f>
        <v>5.0000000000000001E-4</v>
      </c>
      <c r="J55" s="1810" t="str">
        <f>IF(H59="非个人房产","",4)</f>
        <v/>
      </c>
      <c r="K55" s="3133" t="str">
        <f>IF(H59="非个人房产","——","个人所得税")</f>
        <v>——</v>
      </c>
      <c r="L55" s="3133"/>
      <c r="M55" s="1755" t="str">
        <f>D59</f>
        <v>——</v>
      </c>
      <c r="N55" s="1808" t="str">
        <f>E59</f>
        <v>——</v>
      </c>
      <c r="O55" s="1756" t="str">
        <f>F59</f>
        <v>——</v>
      </c>
    </row>
    <row r="56" spans="1:35" ht="24.75">
      <c r="A56" s="3082" t="s">
        <v>2223</v>
      </c>
      <c r="B56" s="3083"/>
      <c r="C56" s="3083"/>
      <c r="D56" s="184">
        <f ca="1">IF(H56="个人住宅",D57,D58)</f>
        <v>2266</v>
      </c>
      <c r="E56" s="11" t="s">
        <v>2224</v>
      </c>
      <c r="F56" s="183" t="str">
        <f>IF(H56="正常",F58,"免征")</f>
        <v>——</v>
      </c>
      <c r="G56" s="2486" t="s">
        <v>2225</v>
      </c>
      <c r="H56" s="2487" t="s">
        <v>2222</v>
      </c>
      <c r="I56" s="2488"/>
      <c r="J56" s="1810" t="str">
        <f>IF(项目基本情况!K6="上海银行",IF(J55="",4,J55+1),"")</f>
        <v/>
      </c>
      <c r="K56" s="3156" t="str">
        <f>IF(项目基本情况!K6="上海银行","其他处置费用","")</f>
        <v/>
      </c>
      <c r="L56" s="3157"/>
      <c r="M56" s="1752" t="str">
        <f>IF(项目基本情况!K6="上海银行",M69,"")</f>
        <v/>
      </c>
      <c r="N56" s="3159" t="str">
        <f>IF(项目基本情况!K6="上海银行","包含处置中涉及的律师、诉讼、拍卖、评估等费用","")</f>
        <v/>
      </c>
      <c r="O56" s="3160"/>
    </row>
    <row r="57" spans="1:35" ht="12.75">
      <c r="A57" s="182" t="s">
        <v>2198</v>
      </c>
      <c r="B57" s="3098" t="s">
        <v>2226</v>
      </c>
      <c r="C57" s="3107"/>
      <c r="D57" s="186">
        <v>0</v>
      </c>
      <c r="E57" s="23" t="s">
        <v>2200</v>
      </c>
      <c r="F57" s="154"/>
      <c r="G57" s="2484"/>
      <c r="H57" s="2488"/>
      <c r="I57" s="2488"/>
      <c r="J57" s="3133">
        <f>IF(AND(J55="",J56=""),4,IF(项目基本情况!K6="上海银行",结果表!J56+1,结果表!J55+1))</f>
        <v>4</v>
      </c>
      <c r="K57" s="3133" t="s">
        <v>2227</v>
      </c>
      <c r="L57" s="2489" t="s">
        <v>2228</v>
      </c>
      <c r="M57" s="1757"/>
      <c r="N57" s="1758">
        <f ca="1">SUMIF(M52:M56,"&lt;9e307")</f>
        <v>3142</v>
      </c>
      <c r="O57" s="2490"/>
      <c r="P57" s="1751">
        <f ca="1">N57/M49</f>
        <v>0.2116965368548713</v>
      </c>
    </row>
    <row r="58" spans="1:35" ht="24.75">
      <c r="A58" s="182" t="s">
        <v>2209</v>
      </c>
      <c r="B58" s="3098" t="s">
        <v>2229</v>
      </c>
      <c r="C58" s="3099"/>
      <c r="D58" s="184">
        <f ca="1">IF(H58="转让取得",C81,C97)</f>
        <v>2266</v>
      </c>
      <c r="E58" s="11" t="s">
        <v>2224</v>
      </c>
      <c r="F58" s="24" t="s">
        <v>34</v>
      </c>
      <c r="G58" s="2484"/>
      <c r="H58" s="2487" t="s">
        <v>2230</v>
      </c>
      <c r="I58" s="2488"/>
      <c r="J58" s="3133"/>
      <c r="K58" s="3133"/>
      <c r="L58" s="2489" t="s">
        <v>2231</v>
      </c>
      <c r="M58" s="1759"/>
      <c r="N58" s="2491" t="str">
        <f ca="1">NUMBERSTRING(INT(N57*10000),2)&amp;"元整"</f>
        <v>叁仟壹佰肆拾贰万元整</v>
      </c>
      <c r="O58" s="2492"/>
    </row>
    <row r="59" spans="1:35" ht="24.75" thickBot="1">
      <c r="A59" s="3136" t="s">
        <v>2232</v>
      </c>
      <c r="B59" s="3137"/>
      <c r="C59" s="3137"/>
      <c r="D59" s="187" t="str">
        <f>IF(H59="非个人房产","——",IF(H59="个人住宅",0,ROUND(D45*I59,0)))</f>
        <v>——</v>
      </c>
      <c r="E59" s="188" t="str">
        <f>IF(H59="非个人房产","——","销售额×税（费）率")</f>
        <v>——</v>
      </c>
      <c r="F59" s="189" t="str">
        <f>IF(H59="非个人房产","——",IF(H59="个人住宅","免征",I59))</f>
        <v>——</v>
      </c>
      <c r="G59" s="2493" t="s">
        <v>2225</v>
      </c>
      <c r="H59" s="2487" t="s">
        <v>3312</v>
      </c>
      <c r="I59" s="190">
        <v>0.01</v>
      </c>
      <c r="J59" s="3134">
        <f>J57+1</f>
        <v>5</v>
      </c>
      <c r="K59" s="3133" t="s">
        <v>2233</v>
      </c>
      <c r="L59" s="1810" t="s">
        <v>2228</v>
      </c>
      <c r="M59" s="1760"/>
      <c r="N59" s="1761">
        <f ca="1">M49-N57</f>
        <v>11700</v>
      </c>
      <c r="O59" s="2494"/>
    </row>
    <row r="60" spans="1:35" ht="12" customHeight="1">
      <c r="A60" s="2495"/>
      <c r="B60" s="2417"/>
      <c r="C60" s="2417"/>
      <c r="D60" s="2417"/>
      <c r="E60" s="2164"/>
      <c r="F60" s="2488"/>
      <c r="G60" s="2488"/>
      <c r="H60" s="2496"/>
      <c r="I60" s="137"/>
      <c r="J60" s="3135"/>
      <c r="K60" s="3133"/>
      <c r="L60" s="2489" t="s">
        <v>2231</v>
      </c>
      <c r="M60" s="1759"/>
      <c r="N60" s="2491" t="str">
        <f ca="1">NUMBERSTRING(INT(N59*10000),2)&amp;"元整"</f>
        <v>壹亿壹仟柒佰万元整</v>
      </c>
      <c r="O60" s="2492"/>
    </row>
    <row r="61" spans="1:35" ht="13.5" thickBot="1">
      <c r="A61" s="3080" t="s">
        <v>2234</v>
      </c>
      <c r="B61" s="3080"/>
      <c r="C61" s="3080"/>
      <c r="D61" s="3080"/>
      <c r="E61" s="3080"/>
      <c r="F61" s="2488"/>
      <c r="G61" s="2488"/>
      <c r="H61" s="2496"/>
      <c r="I61" s="137"/>
      <c r="J61" s="1810">
        <f>J59+1</f>
        <v>6</v>
      </c>
      <c r="K61" s="3133" t="s">
        <v>2235</v>
      </c>
      <c r="L61" s="3133"/>
      <c r="M61" s="1762"/>
      <c r="N61" s="1763">
        <f ca="1">ROUND(N59*10000/'数据-汇总表'!E3,0)</f>
        <v>9279</v>
      </c>
      <c r="O61" s="2497"/>
    </row>
    <row r="62" spans="1:35" ht="12.75">
      <c r="A62" s="3096" t="s">
        <v>2236</v>
      </c>
      <c r="B62" s="3097"/>
      <c r="C62" s="1802"/>
      <c r="D62" s="1802" t="s">
        <v>2237</v>
      </c>
      <c r="E62" s="191" t="s">
        <v>2238</v>
      </c>
      <c r="F62" s="2488"/>
      <c r="G62" s="2488"/>
      <c r="H62" s="2496"/>
      <c r="I62" s="137"/>
    </row>
    <row r="63" spans="1:35" ht="12.75">
      <c r="A63" s="202" t="s">
        <v>775</v>
      </c>
      <c r="B63" s="192" t="s">
        <v>2239</v>
      </c>
      <c r="C63" s="193">
        <f ca="1">ROUND((C64+C65)/(1+'数据-取费表'!C42),0)</f>
        <v>15790</v>
      </c>
      <c r="D63" s="194"/>
      <c r="E63" s="195"/>
      <c r="F63" s="2488"/>
      <c r="G63" s="2488"/>
      <c r="H63" s="2496"/>
      <c r="I63" s="137"/>
      <c r="J63" s="3158" t="s">
        <v>2240</v>
      </c>
      <c r="K63" s="2498" t="s">
        <v>2241</v>
      </c>
      <c r="L63" s="1750">
        <f ca="1">IF(M49&gt;10000,M49*0.5%,IF(AND(M49&gt;1000,M49&lt;=10000),M49*1%,IF(AND(M49&gt;100,M49&lt;=1000),M49*3%,IF(AND(M49&gt;10,M49&lt;=100),M49*5%,M49*8%))))</f>
        <v>74.210000000000008</v>
      </c>
      <c r="M63" s="24">
        <f ca="1">ROUND(L63,1)</f>
        <v>74.2</v>
      </c>
      <c r="Z63" s="2422"/>
      <c r="AI63" s="2423"/>
    </row>
    <row r="64" spans="1:35" ht="14.25" customHeight="1">
      <c r="A64" s="196" t="s">
        <v>770</v>
      </c>
      <c r="B64" s="197" t="s">
        <v>2242</v>
      </c>
      <c r="C64" s="198">
        <f ca="1">D45</f>
        <v>16579</v>
      </c>
      <c r="D64" s="199" t="s">
        <v>32</v>
      </c>
      <c r="E64" s="200"/>
      <c r="F64" s="2488"/>
      <c r="G64" s="2488"/>
      <c r="H64" s="2496"/>
      <c r="I64" s="137"/>
      <c r="J64" s="3158"/>
      <c r="K64" s="2498" t="s">
        <v>2243</v>
      </c>
      <c r="L64" s="1750">
        <f ca="1">IF(M49&gt;2000,M49*0.5%,IF(AND(M49&gt;1000,M49&lt;=2000),M49*0.6%,IF(AND(M49&gt;500,M49&lt;=1000),M49*0.7%,IF(AND(M49&gt;200,M49&lt;=500),M49*0.8%,IF(AND(M49&gt;100,M49&lt;=200),M49*0.9%,IF(AND(M49&gt;50,M49&lt;=100),M49*1%,IF(AND(M49&gt;20,M49&lt;=50),M49*1.5%,IF(AND(M49&gt;10,M49&lt;=20),M49*2%,IF(AND(M49&gt;1,M49&lt;=10),M49*2.5%)))))))))</f>
        <v>74.210000000000008</v>
      </c>
      <c r="M64" s="24">
        <f t="shared" ref="M64:M65" ca="1" si="1">ROUND(L64,1)</f>
        <v>74.2</v>
      </c>
      <c r="N64" s="137" t="s">
        <v>2244</v>
      </c>
      <c r="Z64" s="2422"/>
      <c r="AI64" s="2423"/>
    </row>
    <row r="65" spans="1:35" ht="14.25" customHeight="1">
      <c r="A65" s="196" t="s">
        <v>771</v>
      </c>
      <c r="B65" s="197" t="s">
        <v>2245</v>
      </c>
      <c r="C65" s="201"/>
      <c r="D65" s="199"/>
      <c r="E65" s="200"/>
      <c r="F65" s="2488"/>
      <c r="G65" s="2488"/>
      <c r="H65" s="2496"/>
      <c r="I65" s="137"/>
      <c r="J65" s="3158"/>
      <c r="K65" s="2498" t="s">
        <v>2246</v>
      </c>
      <c r="L65" s="1750">
        <f ca="1">IF(M49&gt;1000,M49*0.1%,IF(AND(M49&gt;500,M49&lt;=1000),M49*0.5%,IF(AND(M49&gt;50,M49&lt;=500),M49*1%,IF(AND(M49&gt;1,M49&lt;=50),M49*1.5%))))</f>
        <v>14.842000000000001</v>
      </c>
      <c r="M65" s="24">
        <f t="shared" ca="1" si="1"/>
        <v>14.8</v>
      </c>
      <c r="N65" s="137" t="s">
        <v>2244</v>
      </c>
      <c r="Z65" s="2422"/>
      <c r="AI65" s="2423"/>
    </row>
    <row r="66" spans="1:35" ht="14.25" customHeight="1">
      <c r="A66" s="202" t="s">
        <v>772</v>
      </c>
      <c r="B66" s="203" t="s">
        <v>2247</v>
      </c>
      <c r="C66" s="204"/>
      <c r="D66" s="205" t="s">
        <v>32</v>
      </c>
      <c r="E66" s="1774" t="s">
        <v>1371</v>
      </c>
      <c r="F66" s="2488"/>
      <c r="G66" s="2488"/>
      <c r="H66" s="2496"/>
      <c r="I66" s="137"/>
      <c r="J66" s="3158"/>
      <c r="K66" s="2498" t="s">
        <v>2248</v>
      </c>
      <c r="L66" s="1750">
        <f ca="1">M49*0.5%</f>
        <v>74.210000000000008</v>
      </c>
      <c r="M66" s="24">
        <f ca="1">IF(L66&gt;0.5,0.5,ROUND(L66,0))</f>
        <v>0.5</v>
      </c>
      <c r="N66" s="137" t="s">
        <v>2249</v>
      </c>
      <c r="Z66" s="2422"/>
      <c r="AI66" s="2423"/>
    </row>
    <row r="67" spans="1:35" ht="14.25" customHeight="1">
      <c r="A67" s="202" t="s">
        <v>773</v>
      </c>
      <c r="B67" s="203" t="s">
        <v>2250</v>
      </c>
      <c r="C67" s="206">
        <f ca="1">C63-C66</f>
        <v>15790</v>
      </c>
      <c r="D67" s="199" t="s">
        <v>32</v>
      </c>
      <c r="E67" s="200"/>
      <c r="F67" s="2488"/>
      <c r="G67" s="2488"/>
      <c r="H67" s="2496"/>
      <c r="I67" s="137"/>
      <c r="J67" s="3158"/>
      <c r="K67" s="2498" t="s">
        <v>2251</v>
      </c>
      <c r="L67" s="1750">
        <f ca="1">IF(M49&gt;=10000,(8.25+(M49-10000)*0.01%),IF(AND(M49&gt;=8000,M49&lt;10000),(7.85+(M49-8000)*0.02%),IF(AND(M49&gt;=5000,M49&lt;8000),(6.65+(M49-5000)*0.04%),IF(AND(M49&gt;=2000,M49&lt;5000),(4.25+(PM49-2000)*0.08%),IF(AND(M49&gt;=1000,M49&lt;2000),(2.75+(M49-1000)*0.15%),IF(AND(M49&gt;=100,M49&lt;1000),(0.5+(M49-100)*0.25%),IF(AND(M49&gt;0,M49&lt;100),M49*0.5%)))))))</f>
        <v>8.7341999999999995</v>
      </c>
      <c r="M67" s="24">
        <f ca="1">ROUND(L67*0.9,1)</f>
        <v>7.9</v>
      </c>
      <c r="Z67" s="2422"/>
      <c r="AI67" s="2423"/>
    </row>
    <row r="68" spans="1:35" ht="14.25" customHeight="1" thickBot="1">
      <c r="A68" s="207" t="s">
        <v>774</v>
      </c>
      <c r="B68" s="208" t="s">
        <v>2252</v>
      </c>
      <c r="C68" s="209">
        <f ca="1">IF(C67&lt;=0,0,ROUND(C67*D68,0))</f>
        <v>868</v>
      </c>
      <c r="D68" s="210">
        <f>'数据-取费表'!B41</f>
        <v>5.5000000000000007E-2</v>
      </c>
      <c r="E68" s="211"/>
      <c r="F68" s="2488"/>
      <c r="G68" s="2488"/>
      <c r="H68" s="2496"/>
      <c r="I68" s="137"/>
      <c r="J68" s="3158"/>
      <c r="K68" s="2498" t="s">
        <v>2253</v>
      </c>
      <c r="L68" s="1750">
        <f ca="1">IF(M49&gt;10000,M49*0.5%,IF(AND(M49&gt;5000,M49&lt;=10000),M49*1%,IF(AND(M49&gt;1000,M49&lt;=5000),M49*2%,IF(AND(M49&gt;200,M49&lt;=1000),M49*3%,M49*5%))))</f>
        <v>74.210000000000008</v>
      </c>
      <c r="M68" s="24">
        <f ca="1">ROUND(L68,1)</f>
        <v>74.2</v>
      </c>
      <c r="Z68" s="2422"/>
      <c r="AI68" s="2423"/>
    </row>
    <row r="69" spans="1:35" s="2445" customFormat="1" ht="16.5" customHeight="1">
      <c r="A69" s="2499"/>
      <c r="B69" s="2500"/>
      <c r="C69" s="2501"/>
      <c r="D69" s="2502"/>
      <c r="E69" s="2503"/>
      <c r="F69" s="2164"/>
      <c r="G69" s="2164"/>
      <c r="H69" s="2163"/>
      <c r="I69" s="2417"/>
      <c r="J69" s="3158"/>
      <c r="K69" s="2498" t="s">
        <v>2254</v>
      </c>
      <c r="L69" s="2504"/>
      <c r="M69" s="24">
        <f ca="1">ROUND(SUM(M63:M68),0)</f>
        <v>246</v>
      </c>
      <c r="N69" s="1751">
        <f ca="1">M69/M49</f>
        <v>1.6574585635359115E-2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7" t="s">
        <v>2255</v>
      </c>
      <c r="B70" s="3118"/>
      <c r="C70" s="3118"/>
      <c r="D70" s="3118"/>
      <c r="E70" s="3118"/>
      <c r="F70" s="3118"/>
      <c r="G70" s="3118"/>
      <c r="H70" s="311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2236</v>
      </c>
      <c r="B71" s="3097"/>
      <c r="C71" s="1802"/>
      <c r="D71" s="1802"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15790</v>
      </c>
      <c r="D72" s="199" t="s">
        <v>32</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79</v>
      </c>
      <c r="D73" s="199" t="s">
        <v>32</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091" t="s">
        <v>2264</v>
      </c>
      <c r="F76" s="3068"/>
      <c r="G76" s="3068"/>
      <c r="H76" s="311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2" t="s">
        <v>2267</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79</v>
      </c>
      <c r="D78" s="225">
        <f>'数据-取费表'!B43</f>
        <v>5.000000000000001E-3</v>
      </c>
      <c r="E78" s="3077" t="s">
        <v>2269</v>
      </c>
      <c r="F78" s="3078"/>
      <c r="G78" s="3078"/>
      <c r="H78" s="308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15711</v>
      </c>
      <c r="D79" s="199" t="s">
        <v>32</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198.87341772151899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9399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7" t="s">
        <v>2273</v>
      </c>
      <c r="B83" s="3118"/>
      <c r="C83" s="3118"/>
      <c r="D83" s="3118"/>
      <c r="E83" s="3118"/>
      <c r="F83" s="3118"/>
      <c r="G83" s="3118"/>
      <c r="H83" s="311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2236</v>
      </c>
      <c r="B84" s="3097"/>
      <c r="C84" s="1802"/>
      <c r="D84" s="1802"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15790</v>
      </c>
      <c r="D85" s="199" t="s">
        <v>32</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8999</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4840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f>ROUND(13232*'数据-汇总表'!F19/10000,0)+ROUND(13232*0.25*0.15*'数据-汇总表'!G20/10000,0)</f>
        <v>4697</v>
      </c>
      <c r="D88" s="225"/>
      <c r="E88" s="236" t="s">
        <v>2276</v>
      </c>
      <c r="F88" s="1798"/>
      <c r="G88" s="237" t="s">
        <v>2277</v>
      </c>
      <c r="H88" s="2516" t="s">
        <v>3313</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143</v>
      </c>
      <c r="D89" s="225">
        <f>'数据-取费表'!B48+'数据-取费表'!B49</f>
        <v>3.0499999999999999E-2</v>
      </c>
      <c r="E89" s="236" t="s">
        <v>2278</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 ca="1">IF(H91="——",成本法!C33,I91)</f>
        <v>2022</v>
      </c>
      <c r="D91" s="225"/>
      <c r="E91" s="3077" t="s">
        <v>2282</v>
      </c>
      <c r="F91" s="3078"/>
      <c r="G91" s="3078"/>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2283</v>
      </c>
      <c r="B92" s="197" t="s">
        <v>2284</v>
      </c>
      <c r="C92" s="224">
        <f ca="1">ROUND((C87+C90+C91)*D92,0)</f>
        <v>686</v>
      </c>
      <c r="D92" s="225">
        <v>0.1</v>
      </c>
      <c r="E92" s="3077" t="s">
        <v>2285</v>
      </c>
      <c r="F92" s="3078"/>
      <c r="G92" s="3078"/>
      <c r="H92" s="308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2286</v>
      </c>
      <c r="B93" s="197" t="s">
        <v>2268</v>
      </c>
      <c r="C93" s="224">
        <f ca="1">ROUND(D45*D93/(1+'数据-取费表'!C42),0)</f>
        <v>79</v>
      </c>
      <c r="D93" s="225">
        <f>'数据-取费表'!B43</f>
        <v>5.000000000000001E-3</v>
      </c>
      <c r="E93" s="3077" t="s">
        <v>2269</v>
      </c>
      <c r="F93" s="3078"/>
      <c r="G93" s="3078"/>
      <c r="H93" s="308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2287</v>
      </c>
      <c r="B94" s="197" t="s">
        <v>2288</v>
      </c>
      <c r="C94" s="235">
        <f ca="1">ROUND((C87+C90+C91)*D94,0)</f>
        <v>1372</v>
      </c>
      <c r="D94" s="225">
        <v>0.2</v>
      </c>
      <c r="E94" s="3088" t="s">
        <v>2289</v>
      </c>
      <c r="F94" s="3089"/>
      <c r="G94" s="3089"/>
      <c r="H94" s="30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6791</v>
      </c>
      <c r="D95" s="199" t="s">
        <v>32</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0.75463940437826427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2266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2290</v>
      </c>
      <c r="B99" s="2417"/>
      <c r="C99" s="2417"/>
      <c r="D99" s="2417"/>
      <c r="E99" s="2164"/>
      <c r="F99" s="2164"/>
      <c r="G99" s="2164"/>
      <c r="H99" s="2163"/>
      <c r="I99" s="137"/>
    </row>
    <row r="100" spans="1:35" ht="18.75" customHeight="1">
      <c r="A100" s="3062" t="s">
        <v>2291</v>
      </c>
      <c r="B100" s="3063"/>
      <c r="C100" s="3063"/>
      <c r="D100" s="3079"/>
      <c r="E100" s="3063" t="s">
        <v>2292</v>
      </c>
      <c r="F100" s="3063"/>
      <c r="G100" s="3063"/>
      <c r="H100" s="3079"/>
      <c r="I100" s="137"/>
    </row>
    <row r="101" spans="1:35" ht="18.75" customHeight="1">
      <c r="A101" s="3141" t="s">
        <v>2293</v>
      </c>
      <c r="B101" s="3142"/>
      <c r="C101" s="735" t="str">
        <f>C4</f>
        <v>成本法</v>
      </c>
      <c r="D101" s="736" t="str">
        <f>D4</f>
        <v>假设开发法</v>
      </c>
      <c r="E101" s="3155" t="s">
        <v>2294</v>
      </c>
      <c r="F101" s="3109"/>
      <c r="G101" s="2519" t="s">
        <v>2295</v>
      </c>
      <c r="H101" s="1047">
        <f ca="1">H118</f>
        <v>16579</v>
      </c>
      <c r="I101" s="137"/>
    </row>
    <row r="102" spans="1:35" ht="18.75" customHeight="1">
      <c r="A102" s="3111" t="s">
        <v>2296</v>
      </c>
      <c r="B102" s="2519" t="s">
        <v>2295</v>
      </c>
      <c r="C102" s="735">
        <f ca="1">C19</f>
        <v>14946</v>
      </c>
      <c r="D102" s="736">
        <f ca="1">D19</f>
        <v>18211</v>
      </c>
      <c r="E102" s="3155"/>
      <c r="F102" s="3109"/>
      <c r="G102" s="2519" t="s">
        <v>2297</v>
      </c>
      <c r="H102" s="370">
        <f ca="1">I118</f>
        <v>13148</v>
      </c>
      <c r="I102" s="137"/>
    </row>
    <row r="103" spans="1:35" ht="42.75" customHeight="1">
      <c r="A103" s="3111"/>
      <c r="B103" s="2519" t="s">
        <v>2297</v>
      </c>
      <c r="C103" s="737">
        <f ca="1">C20</f>
        <v>11853</v>
      </c>
      <c r="D103" s="738">
        <f ca="1">D20</f>
        <v>14442</v>
      </c>
      <c r="E103" s="3150" t="s">
        <v>2298</v>
      </c>
      <c r="F103" s="3151"/>
      <c r="G103" s="2520" t="s">
        <v>2299</v>
      </c>
      <c r="H103" s="1047">
        <f>IF(D36="正常操作",H104+H105+H106,H105+H106)</f>
        <v>1737</v>
      </c>
      <c r="I103" s="137"/>
    </row>
    <row r="104" spans="1:35" ht="18.75" customHeight="1">
      <c r="A104" s="3111" t="s">
        <v>2300</v>
      </c>
      <c r="B104" s="2521" t="s">
        <v>2295</v>
      </c>
      <c r="C104" s="739">
        <f ca="1">H118</f>
        <v>16579</v>
      </c>
      <c r="D104" s="740"/>
      <c r="E104" s="2265" t="s">
        <v>2301</v>
      </c>
      <c r="F104" s="2256"/>
      <c r="G104" s="2520" t="s">
        <v>2299</v>
      </c>
      <c r="H104" s="1048">
        <f>IF(D36="同一抵押权人同一抵押物续贷",C36&amp;"（未扣减，详见特别提示）",C36)</f>
        <v>0</v>
      </c>
      <c r="I104" s="137"/>
    </row>
    <row r="105" spans="1:35" ht="18.75" customHeight="1" thickBot="1">
      <c r="A105" s="3112"/>
      <c r="B105" s="2522" t="s">
        <v>2297</v>
      </c>
      <c r="C105" s="741">
        <f ca="1">I118</f>
        <v>13148</v>
      </c>
      <c r="D105" s="742"/>
      <c r="E105" s="2265" t="s">
        <v>2302</v>
      </c>
      <c r="F105" s="2256"/>
      <c r="G105" s="2520" t="s">
        <v>2299</v>
      </c>
      <c r="H105" s="1048">
        <f>C37</f>
        <v>1737</v>
      </c>
      <c r="I105" s="137"/>
    </row>
    <row r="106" spans="1:35" ht="18.75" customHeight="1">
      <c r="A106" s="2417" t="s">
        <v>2303</v>
      </c>
      <c r="B106" s="2417"/>
      <c r="C106" s="2417"/>
      <c r="D106" s="2417"/>
      <c r="E106" s="2523" t="s">
        <v>2304</v>
      </c>
      <c r="F106" s="2256"/>
      <c r="G106" s="2520" t="s">
        <v>2299</v>
      </c>
      <c r="H106" s="1048">
        <f>C38</f>
        <v>0</v>
      </c>
      <c r="I106" s="137"/>
    </row>
    <row r="107" spans="1:35" ht="18.75" customHeight="1">
      <c r="A107" s="137"/>
      <c r="B107" s="137"/>
      <c r="C107" s="137"/>
      <c r="D107" s="137"/>
      <c r="E107" s="3108" t="str">
        <f>IF(项目基本情况!E8="已注销","——","3.房地产抵押价值")</f>
        <v>——</v>
      </c>
      <c r="F107" s="3109"/>
      <c r="G107" s="2519" t="s">
        <v>2295</v>
      </c>
      <c r="H107" s="1047" t="str">
        <f>IF(E107="——","——",H101-H103)</f>
        <v>——</v>
      </c>
      <c r="I107" s="137"/>
    </row>
    <row r="108" spans="1:35" ht="18.75" customHeight="1">
      <c r="A108" s="137"/>
      <c r="B108" s="137"/>
      <c r="C108" s="137"/>
      <c r="D108" s="137"/>
      <c r="E108" s="3108"/>
      <c r="F108" s="3109"/>
      <c r="G108" s="2519" t="s">
        <v>2297</v>
      </c>
      <c r="H108" s="370" t="e">
        <f>ROUND(H107*10000/'数据-汇总表'!E3,0)</f>
        <v>#VALUE!</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9" t="s">
        <v>2295</v>
      </c>
      <c r="H109" s="347">
        <f ca="1">IF(E109="——","——",H101-H105-H106)</f>
        <v>14842</v>
      </c>
      <c r="I109" s="137"/>
    </row>
    <row r="110" spans="1:35" ht="18.75" customHeight="1">
      <c r="A110" s="137"/>
      <c r="B110" s="137"/>
      <c r="C110" s="137"/>
      <c r="D110" s="137"/>
      <c r="E110" s="3108"/>
      <c r="F110" s="3109"/>
      <c r="G110" s="2519" t="s">
        <v>2297</v>
      </c>
      <c r="H110" s="370">
        <f ca="1">IF(H109="——","——",ROUND(H109*10000/'数据-汇总表'!E3,0))</f>
        <v>11770</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9" t="s">
        <v>2295</v>
      </c>
      <c r="H111" s="1047" t="str">
        <f>IF(E111="——","——",N59)</f>
        <v>——</v>
      </c>
      <c r="I111" s="137"/>
    </row>
    <row r="112" spans="1:35" ht="18.75" customHeight="1" thickBot="1">
      <c r="A112" s="137"/>
      <c r="B112" s="137"/>
      <c r="C112" s="137"/>
      <c r="D112" s="137"/>
      <c r="E112" s="3145"/>
      <c r="F112" s="3146"/>
      <c r="G112" s="2524" t="s">
        <v>2297</v>
      </c>
      <c r="H112" s="789" t="str">
        <f>IF(E111="——","——",N61)</f>
        <v>——</v>
      </c>
      <c r="I112" s="137"/>
    </row>
    <row r="113" spans="1:11" ht="18.75" customHeight="1">
      <c r="A113" s="137"/>
      <c r="B113" s="137"/>
      <c r="C113" s="137"/>
      <c r="D113" s="137"/>
      <c r="E113" s="3113" t="s">
        <v>2303</v>
      </c>
      <c r="F113" s="3113"/>
      <c r="G113" s="3113"/>
      <c r="H113" s="3113"/>
      <c r="I113" s="137"/>
    </row>
    <row r="114" spans="1:11" ht="3.75" customHeight="1">
      <c r="A114" s="2417"/>
      <c r="B114" s="2417"/>
      <c r="C114" s="2417"/>
      <c r="D114" s="2417"/>
      <c r="E114" s="2495"/>
      <c r="F114" s="2495"/>
      <c r="G114" s="2495"/>
      <c r="H114" s="2495"/>
      <c r="I114" s="2417"/>
    </row>
    <row r="115" spans="1:11" ht="18.75" customHeight="1">
      <c r="A115" s="3126" t="s">
        <v>2305</v>
      </c>
      <c r="B115" s="3127"/>
      <c r="C115" s="3127"/>
      <c r="D115" s="3127"/>
      <c r="E115" s="3127"/>
      <c r="F115" s="3127"/>
      <c r="G115" s="3127"/>
      <c r="H115" s="3127"/>
      <c r="I115" s="3128"/>
    </row>
    <row r="116" spans="1:11" ht="27" customHeight="1">
      <c r="A116" s="3019" t="s">
        <v>2306</v>
      </c>
      <c r="B116" s="3114" t="s">
        <v>2307</v>
      </c>
      <c r="C116" s="3114" t="s">
        <v>2308</v>
      </c>
      <c r="D116" s="3130" t="s">
        <v>2309</v>
      </c>
      <c r="E116" s="3131"/>
      <c r="F116" s="3122" t="s">
        <v>2310</v>
      </c>
      <c r="G116" s="3122"/>
      <c r="H116" s="3019" t="s">
        <v>2311</v>
      </c>
      <c r="I116" s="3019"/>
    </row>
    <row r="117" spans="1:11" ht="18.75" customHeight="1">
      <c r="A117" s="3019"/>
      <c r="B117" s="3115"/>
      <c r="C117" s="3115"/>
      <c r="D117" s="1796" t="s">
        <v>2312</v>
      </c>
      <c r="E117" s="1796" t="s">
        <v>2313</v>
      </c>
      <c r="F117" s="1796" t="s">
        <v>2312</v>
      </c>
      <c r="G117" s="1796" t="s">
        <v>2314</v>
      </c>
      <c r="H117" s="1796" t="s">
        <v>2312</v>
      </c>
      <c r="I117" s="1796" t="s">
        <v>2314</v>
      </c>
    </row>
    <row r="118" spans="1:11" ht="24.75" customHeight="1">
      <c r="A118" s="2525" t="str">
        <f>项目基本情况!S2</f>
        <v>北京市昌平区南邵镇（中关村科技园昌平园东区二期）0303-54地块出让国有建设用地使用权及在建建筑物房地产</v>
      </c>
      <c r="B118" s="1796">
        <f>M18</f>
        <v>12609.74</v>
      </c>
      <c r="C118" s="1796">
        <f>M19</f>
        <v>3435.11</v>
      </c>
      <c r="D118" s="1796">
        <f ca="1">ROUND(IF(D32="总价",C34,E118*B118/10000),0)</f>
        <v>13827</v>
      </c>
      <c r="E118" s="1796">
        <f ca="1">ROUND(IF(C33="自定义",IF(D32="楼面单价",C34,D118*10000/B118),I118-G118),0)</f>
        <v>10966</v>
      </c>
      <c r="F118" s="1796">
        <f ca="1">ROUND(IF(D32="总价",C35,G118*B118/10000),0)</f>
        <v>2752</v>
      </c>
      <c r="G118" s="1796">
        <f ca="1">ROUND(IF(D32="楼面单价",C35,F118*10000/B118),0)</f>
        <v>2182</v>
      </c>
      <c r="H118" s="1796">
        <f ca="1">ROUND(IF(D32="总价",C32,I118*B118/10000),0)</f>
        <v>16579</v>
      </c>
      <c r="I118" s="1796">
        <f ca="1">ROUND(IF(D32="楼面单价",C32,H118*10000/B118),0)</f>
        <v>13148</v>
      </c>
    </row>
    <row r="119" spans="1:11" ht="18.75" customHeight="1">
      <c r="A119" s="3019" t="s">
        <v>2315</v>
      </c>
      <c r="B119" s="3019"/>
      <c r="C119" s="3019"/>
      <c r="D119" s="3119" t="str">
        <f ca="1">NUMBERSTRING(INT(D118*10000),2)&amp;"元整"</f>
        <v>壹亿叁仟捌佰贰拾柒万元整</v>
      </c>
      <c r="E119" s="3121"/>
      <c r="F119" s="3119" t="str">
        <f ca="1">NUMBERSTRING(INT(F118*10000),2)&amp;"元整"</f>
        <v>贰仟柒佰伍拾贰万元整</v>
      </c>
      <c r="G119" s="3121"/>
      <c r="H119" s="3119" t="str">
        <f ca="1">NUMBERSTRING(INT(H118*10000),2)&amp;"元整"</f>
        <v>壹亿陆仟伍佰柒拾玖万元整</v>
      </c>
      <c r="I119" s="3121"/>
    </row>
    <row r="120" spans="1:11" ht="18.75" customHeight="1">
      <c r="A120" s="3147" t="str">
        <f>IF(项目基本情况!B9="房地产市场价值","",MID(E103,3,LEN(E103)-2))</f>
        <v>估价师知悉的法定优先受偿款</v>
      </c>
      <c r="B120" s="3148"/>
      <c r="C120" s="3149"/>
      <c r="D120" s="3147">
        <f>H103</f>
        <v>1737</v>
      </c>
      <c r="E120" s="3148"/>
      <c r="F120" s="3148"/>
      <c r="G120" s="3148"/>
      <c r="H120" s="3148"/>
      <c r="I120" s="3149"/>
      <c r="K120" s="2422" t="str">
        <f>IF(D120=0,"故，本次评估不存在"&amp;A120,"故，本次评估"&amp;A120&amp;"为人民币"&amp;D120&amp;"万元整。")</f>
        <v>故，本次评估估价师知悉的法定优先受偿款为人民币1737万元整。</v>
      </c>
    </row>
    <row r="121" spans="1:11" ht="18.75" customHeight="1">
      <c r="A121" s="3123" t="s">
        <v>2315</v>
      </c>
      <c r="B121" s="3124"/>
      <c r="C121" s="3125"/>
      <c r="D121" s="3119" t="str">
        <f>IF(D120=0,"零元整",NUMBERSTRING(INT(D120*10000),2)&amp;"元整")</f>
        <v>壹仟柒佰叁拾柒万元整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9" t="s">
        <v>2315</v>
      </c>
      <c r="B123" s="3019"/>
      <c r="C123" s="3019"/>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14842</v>
      </c>
      <c r="E124" s="3148"/>
      <c r="F124" s="3148"/>
      <c r="G124" s="3148"/>
      <c r="H124" s="3148"/>
      <c r="I124" s="3149"/>
    </row>
    <row r="125" spans="1:11" ht="18.75" customHeight="1">
      <c r="A125" s="3019" t="s">
        <v>2315</v>
      </c>
      <c r="B125" s="3019"/>
      <c r="C125" s="3019"/>
      <c r="D125" s="3119" t="str">
        <f ca="1">NUMBERSTRING(INT(D124*10000),2)&amp;"元整"</f>
        <v>壹亿肆仟捌佰肆拾贰万元整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2315</v>
      </c>
      <c r="B127" s="3019"/>
      <c r="C127" s="3019"/>
      <c r="D127" s="3119" t="e">
        <f>NUMBERSTRING(INT(D126*10000),2)&amp;"元整"</f>
        <v>#VALUE!</v>
      </c>
      <c r="E127" s="3120"/>
      <c r="F127" s="3120"/>
      <c r="G127" s="3120"/>
      <c r="H127" s="3120"/>
      <c r="I127" s="3121"/>
    </row>
    <row r="128" spans="1:11" ht="21.75" customHeight="1">
      <c r="A128" s="3129" t="s">
        <v>2316</v>
      </c>
      <c r="B128" s="3129"/>
      <c r="C128" s="3129"/>
      <c r="D128" s="3129"/>
      <c r="E128" s="3129"/>
      <c r="F128" s="3129"/>
      <c r="G128" s="3129"/>
      <c r="H128" s="3129"/>
      <c r="I128" s="3129"/>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8"/>
      <c r="C1" s="241"/>
      <c r="D1" s="241"/>
      <c r="E1" s="241"/>
      <c r="F1" s="241"/>
      <c r="G1" s="1381">
        <f>MATCH(B1,'数据-取费表'!A6:A16,0)+5</f>
        <v>8</v>
      </c>
    </row>
    <row r="2" spans="1:9" s="243" customFormat="1" ht="18" customHeight="1">
      <c r="A2" s="244" t="s">
        <v>2325</v>
      </c>
      <c r="B2" s="245">
        <f ca="1">IF(D2="——",C52,C52-E2)</f>
        <v>14946</v>
      </c>
      <c r="C2" s="242" t="s">
        <v>2326</v>
      </c>
      <c r="D2" s="2548" t="s">
        <v>70</v>
      </c>
      <c r="E2" s="1441" t="e">
        <f ca="1">SUMIF(INDIRECT("'"&amp;G2&amp;"'"&amp;"!A:A"),"承租人权益价值",INDIRECT("'"&amp;G2&amp;"'"&amp;"!c:c"))</f>
        <v>#REF!</v>
      </c>
      <c r="F2" s="2549" t="s">
        <v>2326</v>
      </c>
      <c r="G2" s="2550"/>
    </row>
    <row r="3" spans="1:9" s="243" customFormat="1" ht="18" customHeight="1" thickBot="1">
      <c r="A3" s="246" t="s">
        <v>2327</v>
      </c>
      <c r="B3" s="247">
        <f ca="1">ROUND(B2*10000/(IF(B1="",'数据-汇总表'!E3,INDIRECT("'数据-取费表'!k"&amp;$G$1))),0)</f>
        <v>11853</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10593</v>
      </c>
      <c r="D5" s="254" t="s">
        <v>2332</v>
      </c>
      <c r="E5" s="255" t="s">
        <v>2333</v>
      </c>
      <c r="F5" s="255" t="s">
        <v>2334</v>
      </c>
      <c r="G5" s="256"/>
    </row>
    <row r="6" spans="1:9" s="257" customFormat="1" ht="13.5" customHeight="1">
      <c r="A6" s="951" t="s">
        <v>2335</v>
      </c>
      <c r="B6" s="258" t="s">
        <v>2336</v>
      </c>
      <c r="C6" s="259">
        <f>'土地比较法-住宅、综合'!F66</f>
        <v>10059</v>
      </c>
      <c r="D6" s="260"/>
      <c r="E6" s="261"/>
      <c r="F6" s="261"/>
      <c r="G6" s="262"/>
    </row>
    <row r="7" spans="1:9" s="257" customFormat="1" ht="13.5" customHeight="1">
      <c r="A7" s="951" t="s">
        <v>2337</v>
      </c>
      <c r="B7" s="258" t="s">
        <v>2338</v>
      </c>
      <c r="C7" s="263">
        <f>ROUND(C6*F7,0)</f>
        <v>307</v>
      </c>
      <c r="D7" s="263"/>
      <c r="E7" s="261"/>
      <c r="F7" s="264">
        <f>'数据-取费表'!B48+'数据-取费表'!B49</f>
        <v>3.0499999999999999E-2</v>
      </c>
      <c r="G7" s="262"/>
    </row>
    <row r="8" spans="1:9" s="266" customFormat="1">
      <c r="A8" s="951" t="s">
        <v>2339</v>
      </c>
      <c r="B8" s="258" t="s">
        <v>2340</v>
      </c>
      <c r="C8" s="2965">
        <f ca="1">IF(G8="已包含在土地购买价格中","0",IF(B1="",'数据-取费表'!B29,IF(G9="全部缴纳",C9+C10,H9)))</f>
        <v>227</v>
      </c>
      <c r="D8" s="265"/>
      <c r="E8" s="263"/>
      <c r="F8" s="264"/>
      <c r="G8" s="2551" t="s">
        <v>3263</v>
      </c>
    </row>
    <row r="9" spans="1:9" s="257" customFormat="1" ht="13.5" customHeight="1">
      <c r="A9" s="952" t="s">
        <v>800</v>
      </c>
      <c r="B9" s="267" t="s">
        <v>2341</v>
      </c>
      <c r="C9" s="2966">
        <f ca="1">ROUND(D9*E9/10000,0)</f>
        <v>48</v>
      </c>
      <c r="D9" s="1034">
        <f ca="1">IF(B1="",'数据-汇总表'!E5,IF(INDIRECT("'数据-取费表'!c"&amp;$G$1)="住宅",INDIRECT("'数据-取费表'!k"&amp;$G$1),0))</f>
        <v>3196.74</v>
      </c>
      <c r="E9" s="268">
        <f>'数据-取费表'!B27</f>
        <v>150</v>
      </c>
      <c r="F9" s="264"/>
      <c r="G9" s="2552"/>
      <c r="H9" s="2972">
        <f ca="1">C9+C10</f>
        <v>227</v>
      </c>
      <c r="I9" s="2553" t="s">
        <v>2342</v>
      </c>
    </row>
    <row r="10" spans="1:9" s="257" customFormat="1" ht="13.5" customHeight="1">
      <c r="A10" s="952" t="s">
        <v>801</v>
      </c>
      <c r="B10" s="267" t="s">
        <v>2343</v>
      </c>
      <c r="C10" s="2966">
        <f ca="1">ROUND(D10*E10/10000,0)</f>
        <v>179</v>
      </c>
      <c r="D10" s="1034">
        <f ca="1">IF(B1="",'数据-汇总表'!E6,IF(INDIRECT("'数据-取费表'!c"&amp;$G$1)="住宅",INDIRECT("'数据-取费表'!s"&amp;$G$1),INDIRECT("'数据-取费表'!k"&amp;$G$1)+INDIRECT("'数据-取费表'!s"&amp;$G$1)))</f>
        <v>9413</v>
      </c>
      <c r="E10" s="268">
        <f>'数据-取费表'!B28</f>
        <v>190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12609.74</v>
      </c>
      <c r="E19" s="254">
        <f>'数据-取费表'!B31</f>
        <v>200</v>
      </c>
      <c r="F19" s="274"/>
      <c r="G19" s="2551" t="s">
        <v>3050</v>
      </c>
    </row>
    <row r="20" spans="1:7" s="257" customFormat="1" ht="13.5" customHeight="1">
      <c r="A20" s="298" t="s">
        <v>2356</v>
      </c>
      <c r="B20" s="253" t="s">
        <v>2357</v>
      </c>
      <c r="C20" s="275">
        <f ca="1">ROUND((C5+C19)*F20,0)</f>
        <v>159</v>
      </c>
      <c r="D20" s="275"/>
      <c r="E20" s="275"/>
      <c r="F20" s="276">
        <f>'数据-取费表'!B37</f>
        <v>1.4999999999999999E-2</v>
      </c>
      <c r="G20" s="277" t="s">
        <v>2358</v>
      </c>
    </row>
    <row r="21" spans="1:7" s="257" customFormat="1" ht="13.5" customHeight="1">
      <c r="A21" s="298" t="s">
        <v>2359</v>
      </c>
      <c r="B21" s="253" t="s">
        <v>2360</v>
      </c>
      <c r="C21" s="278">
        <f>F21</f>
        <v>1.4999999999999999E-2</v>
      </c>
      <c r="D21" s="279" t="s">
        <v>2361</v>
      </c>
      <c r="E21" s="275"/>
      <c r="F21" s="276">
        <f>'数据-取费表'!B38</f>
        <v>1.4999999999999999E-2</v>
      </c>
      <c r="G21" s="277" t="s">
        <v>2362</v>
      </c>
    </row>
    <row r="22" spans="1:7" s="257" customFormat="1" ht="13.5" customHeight="1">
      <c r="A22" s="298" t="s">
        <v>2363</v>
      </c>
      <c r="B22" s="253" t="s">
        <v>2364</v>
      </c>
      <c r="C22" s="1356">
        <f ca="1">ROUND(SUM(C23:C25),0)</f>
        <v>507</v>
      </c>
      <c r="D22" s="278">
        <f ca="1">C26</f>
        <v>4.0000000000000002E-4</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503</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4</v>
      </c>
      <c r="D25" s="281"/>
      <c r="E25" s="284"/>
      <c r="F25" s="282"/>
      <c r="G25" s="285" t="s">
        <v>2373</v>
      </c>
    </row>
    <row r="26" spans="1:7" s="257" customFormat="1">
      <c r="A26" s="953" t="s">
        <v>795</v>
      </c>
      <c r="B26" s="258" t="s">
        <v>2374</v>
      </c>
      <c r="C26" s="281">
        <f ca="1">ROUND(IF('数据-取费表'!B22&lt;=1,F21*F22*'数据-取费表'!B23/2,F21*(POWER((1+F22),'数据-取费表'!B23/2)-1)),4)</f>
        <v>4.0000000000000002E-4</v>
      </c>
      <c r="D26" s="281"/>
      <c r="E26" s="284"/>
      <c r="F26" s="282"/>
      <c r="G26" s="286"/>
    </row>
    <row r="27" spans="1:7" s="257" customFormat="1" ht="24.75">
      <c r="A27" s="298" t="s">
        <v>2375</v>
      </c>
      <c r="B27" s="287" t="s">
        <v>2376</v>
      </c>
      <c r="C27" s="288">
        <f ca="1">C28</f>
        <v>358</v>
      </c>
      <c r="D27" s="278">
        <f ca="1">C29</f>
        <v>5.0000000000000001E-4</v>
      </c>
      <c r="E27" s="279" t="s">
        <v>2377</v>
      </c>
      <c r="F27" s="289">
        <f ca="1">IF(B1="",'数据-取费表'!Q16,INDIRECT("'数据-取费表'!q"&amp;$G$1))</f>
        <v>0.1</v>
      </c>
      <c r="G27" s="290" t="s">
        <v>2378</v>
      </c>
    </row>
    <row r="28" spans="1:7" s="257" customFormat="1" ht="13.5" customHeight="1">
      <c r="A28" s="953" t="s">
        <v>791</v>
      </c>
      <c r="B28" s="291" t="s">
        <v>2379</v>
      </c>
      <c r="C28" s="292">
        <f ca="1">ROUND((C5+C19+C20)*F27*'数据-取费表'!B21/'数据-取费表'!B20,0)</f>
        <v>358</v>
      </c>
      <c r="D28" s="278"/>
      <c r="E28" s="279"/>
      <c r="F28" s="289"/>
      <c r="G28" s="290"/>
    </row>
    <row r="29" spans="1:7" s="257" customFormat="1" ht="13.5" customHeight="1">
      <c r="A29" s="953" t="s">
        <v>792</v>
      </c>
      <c r="B29" s="291" t="s">
        <v>2380</v>
      </c>
      <c r="C29" s="281">
        <f ca="1">ROUND(C21*F27*'数据-取费表'!B21/'数据-取费表'!B20,4)</f>
        <v>5.0000000000000001E-4</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12469</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2022</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1785</v>
      </c>
      <c r="D34" s="260"/>
      <c r="E34" s="263"/>
      <c r="F34" s="300">
        <f ca="1">IF('数据-取费表'!B24=0,1,IF(B1="",'数据-取费表'!N16,INDIRECT("'数据-取费表'!n"&amp;$G$1)))</f>
        <v>0.5</v>
      </c>
      <c r="G34" s="262" t="s">
        <v>2389</v>
      </c>
    </row>
    <row r="35" spans="1:7" ht="13.5" customHeight="1">
      <c r="A35" s="953" t="s">
        <v>796</v>
      </c>
      <c r="B35" s="258" t="s">
        <v>2390</v>
      </c>
      <c r="C35" s="263">
        <f ca="1">ROUND(C34*F35,0)</f>
        <v>54</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30</v>
      </c>
      <c r="D36" s="263"/>
      <c r="E36" s="263"/>
      <c r="F36" s="302">
        <f>'数据-取费表'!B34</f>
        <v>0.05</v>
      </c>
      <c r="G36" s="303" t="s">
        <v>2393</v>
      </c>
    </row>
    <row r="37" spans="1:7" s="301" customFormat="1" ht="13.5" customHeight="1">
      <c r="A37" s="953" t="s">
        <v>798</v>
      </c>
      <c r="B37" s="258" t="s">
        <v>2394</v>
      </c>
      <c r="C37" s="292">
        <f ca="1">ROUND(E37*D37*F34/10000,0)</f>
        <v>126</v>
      </c>
      <c r="D37" s="260">
        <f ca="1">D19</f>
        <v>12609.74</v>
      </c>
      <c r="E37" s="292">
        <f>'数据-取费表'!B35</f>
        <v>200</v>
      </c>
      <c r="F37" s="302"/>
      <c r="G37" s="304" t="s">
        <v>2395</v>
      </c>
    </row>
    <row r="38" spans="1:7" ht="13.5" customHeight="1">
      <c r="A38" s="953" t="s">
        <v>799</v>
      </c>
      <c r="B38" s="258" t="s">
        <v>2396</v>
      </c>
      <c r="C38" s="263">
        <f ca="1">ROUND(C34*F38,0)</f>
        <v>27</v>
      </c>
      <c r="D38" s="263"/>
      <c r="E38" s="263"/>
      <c r="F38" s="302">
        <f>'数据-取费表'!B36</f>
        <v>1.4999999999999999E-2</v>
      </c>
      <c r="G38" s="262" t="s">
        <v>2391</v>
      </c>
    </row>
    <row r="39" spans="1:7" s="257" customFormat="1" ht="13.5" customHeight="1">
      <c r="A39" s="298" t="s">
        <v>2397</v>
      </c>
      <c r="B39" s="253" t="s">
        <v>2398</v>
      </c>
      <c r="C39" s="275">
        <f ca="1">ROUND(C33*F20,0)</f>
        <v>30</v>
      </c>
      <c r="D39" s="275"/>
      <c r="E39" s="275"/>
      <c r="F39" s="276"/>
      <c r="G39" s="277" t="s">
        <v>2399</v>
      </c>
    </row>
    <row r="40" spans="1:7" s="257" customFormat="1" ht="13.5" customHeight="1">
      <c r="A40" s="298" t="s">
        <v>2400</v>
      </c>
      <c r="B40" s="253" t="s">
        <v>2401</v>
      </c>
      <c r="C40" s="1729">
        <f>F21</f>
        <v>1.4999999999999999E-2</v>
      </c>
      <c r="D40" s="279" t="s">
        <v>2402</v>
      </c>
      <c r="E40" s="275"/>
      <c r="F40" s="276"/>
      <c r="G40" s="277" t="s">
        <v>2403</v>
      </c>
    </row>
    <row r="41" spans="1:7" s="257" customFormat="1" ht="13.5" customHeight="1">
      <c r="A41" s="298" t="s">
        <v>2404</v>
      </c>
      <c r="B41" s="253" t="s">
        <v>2405</v>
      </c>
      <c r="C41" s="275">
        <f ca="1">ROUND(SUM(C42:C43),0)</f>
        <v>48</v>
      </c>
      <c r="D41" s="278">
        <f ca="1">C44</f>
        <v>4.0000000000000002E-4</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47</v>
      </c>
      <c r="D42" s="281"/>
      <c r="E42" s="281"/>
      <c r="F42" s="282"/>
      <c r="G42" s="3161" t="s">
        <v>2407</v>
      </c>
    </row>
    <row r="43" spans="1:7" ht="13.5" customHeight="1">
      <c r="A43" s="953" t="s">
        <v>792</v>
      </c>
      <c r="B43" s="258" t="s">
        <v>2408</v>
      </c>
      <c r="C43" s="281">
        <f ca="1">ROUND(IF('数据-取费表'!B22&lt;=1,C39*F22*'数据-取费表'!B21/2,C39*(POWER((1+F22),'数据-取费表'!B21/2)-1)),0)</f>
        <v>1</v>
      </c>
      <c r="D43" s="281"/>
      <c r="E43" s="281"/>
      <c r="F43" s="282"/>
      <c r="G43" s="3162"/>
    </row>
    <row r="44" spans="1:7" ht="13.5" customHeight="1">
      <c r="A44" s="953" t="s">
        <v>793</v>
      </c>
      <c r="B44" s="258" t="s">
        <v>2409</v>
      </c>
      <c r="C44" s="281">
        <f ca="1">ROUND(IF('数据-取费表'!B22&lt;=1,C40*F22*'数据-取费表'!B21/2,C40*(POWER((1+F22),'数据-取费表'!B21/2)-1)),4)</f>
        <v>4.0000000000000002E-4</v>
      </c>
      <c r="D44" s="281"/>
      <c r="E44" s="281"/>
      <c r="F44" s="282"/>
      <c r="G44" s="3163"/>
    </row>
    <row r="45" spans="1:7" s="257" customFormat="1" ht="13.5" customHeight="1">
      <c r="A45" s="298" t="s">
        <v>2410</v>
      </c>
      <c r="B45" s="287" t="s">
        <v>2376</v>
      </c>
      <c r="C45" s="288">
        <f ca="1">C46</f>
        <v>205</v>
      </c>
      <c r="D45" s="278">
        <f ca="1">C47</f>
        <v>1.5E-3</v>
      </c>
      <c r="E45" s="279" t="s">
        <v>2402</v>
      </c>
      <c r="F45" s="289"/>
      <c r="G45" s="290" t="s">
        <v>2411</v>
      </c>
    </row>
    <row r="46" spans="1:7" s="257" customFormat="1" ht="13.5" customHeight="1">
      <c r="A46" s="953" t="s">
        <v>791</v>
      </c>
      <c r="B46" s="291" t="s">
        <v>2412</v>
      </c>
      <c r="C46" s="292">
        <f ca="1">ROUND((C33+C39)*F27,0)</f>
        <v>205</v>
      </c>
      <c r="D46" s="306"/>
      <c r="E46" s="279"/>
      <c r="F46" s="289"/>
      <c r="G46" s="290"/>
    </row>
    <row r="47" spans="1:7" s="257" customFormat="1" ht="13.5" customHeight="1">
      <c r="A47" s="953" t="s">
        <v>792</v>
      </c>
      <c r="B47" s="291" t="s">
        <v>2413</v>
      </c>
      <c r="C47" s="281">
        <f ca="1">ROUND(C40*F27,4)</f>
        <v>1.5E-3</v>
      </c>
      <c r="D47" s="306"/>
      <c r="E47" s="279"/>
      <c r="F47" s="289"/>
      <c r="G47" s="290"/>
    </row>
    <row r="48" spans="1:7" s="257" customFormat="1" ht="13.5" customHeight="1">
      <c r="A48" s="298" t="s">
        <v>2375</v>
      </c>
      <c r="B48" s="253" t="s">
        <v>2414</v>
      </c>
      <c r="C48" s="1729">
        <f>ROUND(F30/(1+'数据-取费表'!C42),4)</f>
        <v>5.2400000000000002E-2</v>
      </c>
      <c r="D48" s="279" t="s">
        <v>2402</v>
      </c>
      <c r="E48" s="275"/>
      <c r="F48" s="280"/>
      <c r="G48" s="277" t="s">
        <v>2415</v>
      </c>
    </row>
    <row r="49" spans="1:7" ht="16.5" customHeight="1">
      <c r="A49" s="298" t="s">
        <v>2381</v>
      </c>
      <c r="B49" s="253" t="s">
        <v>2416</v>
      </c>
      <c r="C49" s="275">
        <f ca="1">ROUND((C33+C39+C41+C45)/(1-C40-D41-D45-C48),0)</f>
        <v>2477</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2477</v>
      </c>
      <c r="D51" s="275"/>
      <c r="E51" s="275"/>
      <c r="F51" s="307"/>
      <c r="G51" s="277" t="s">
        <v>2423</v>
      </c>
    </row>
    <row r="52" spans="1:7" s="251" customFormat="1" ht="16.5" thickBot="1">
      <c r="A52" s="308" t="s">
        <v>2424</v>
      </c>
      <c r="B52" s="309"/>
      <c r="C52" s="310">
        <f ca="1">C31+C51</f>
        <v>14946</v>
      </c>
      <c r="D52" s="309"/>
      <c r="E52" s="309"/>
      <c r="F52" s="309"/>
      <c r="G52" s="311"/>
    </row>
    <row r="55" spans="1:7" ht="15">
      <c r="B55" s="313" t="s">
        <v>2425</v>
      </c>
      <c r="C55" s="314"/>
    </row>
    <row r="56" spans="1:7">
      <c r="B56" s="316" t="s">
        <v>1514</v>
      </c>
      <c r="C56" s="318">
        <f ca="1">1-C57</f>
        <v>0.83399999999999996</v>
      </c>
    </row>
    <row r="57" spans="1:7">
      <c r="B57" s="316" t="s">
        <v>1515</v>
      </c>
      <c r="C57" s="317">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5" t="str">
        <f>项目基本情况!B1</f>
        <v>北京市昌平区南邵镇（中关村科技园昌平园东区二期）0303-54地块出让国有建设用地使用权及在建建筑物房地产抵押价值预评估</v>
      </c>
      <c r="C37" s="2975"/>
      <c r="D37" s="2975"/>
      <c r="E37" s="2975"/>
      <c r="F37" s="2975"/>
      <c r="G37" s="2975"/>
      <c r="H37" s="2975"/>
      <c r="I37" s="2975"/>
    </row>
    <row r="38" spans="1:9">
      <c r="A38" s="1018"/>
      <c r="B38" s="1018"/>
    </row>
    <row r="39" spans="1:9">
      <c r="A39" s="1016" t="s">
        <v>818</v>
      </c>
      <c r="B39" s="1016" t="s">
        <v>820</v>
      </c>
    </row>
    <row r="40" spans="1:9">
      <c r="A40" s="1016"/>
      <c r="B40" s="1943" t="str">
        <f>项目基本情况!B5</f>
        <v>北京泰禾嘉兴房地产开发有限公司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8"/>
      <c r="C1" s="2554" t="s">
        <v>2426</v>
      </c>
      <c r="D1" s="241"/>
      <c r="E1" s="241"/>
      <c r="F1" s="241"/>
      <c r="G1" s="1381">
        <f>MATCH(B1,'数据-取费表'!A6:A16,0)+5</f>
        <v>8</v>
      </c>
      <c r="H1" s="1284" t="str">
        <f>IF(ISERROR(FIND("住宅",B1)),"非住宅","住宅")</f>
        <v>非住宅</v>
      </c>
    </row>
    <row r="2" spans="1:8" s="243" customFormat="1" ht="18" customHeight="1">
      <c r="A2" s="244" t="s">
        <v>2325</v>
      </c>
      <c r="B2" s="245" t="e">
        <f ca="1">ROUND(IF(D2="——",C52/10000,C52/10000-E2),0)</f>
        <v>#DIV/0!</v>
      </c>
      <c r="C2" s="242" t="s">
        <v>2326</v>
      </c>
      <c r="D2" s="2548" t="s">
        <v>70</v>
      </c>
      <c r="E2" s="1441" t="e">
        <f ca="1">SUMIF(INDIRECT("'"&amp;G2&amp;"'"&amp;"!A:A"),"承租人权益价值",INDIRECT("'"&amp;G2&amp;"'"&amp;"!c:c"))</f>
        <v>#REF!</v>
      </c>
      <c r="F2" s="2549" t="s">
        <v>2326</v>
      </c>
      <c r="G2" s="2550"/>
    </row>
    <row r="3" spans="1:8" s="243" customFormat="1" ht="18" customHeight="1" thickBot="1">
      <c r="A3" s="246" t="s">
        <v>2327</v>
      </c>
      <c r="B3" s="247" t="e">
        <f ca="1">ROUND(B2*10000/(IF(B1="",'数据-汇总表'!E3,INDIRECT("'数据-取费表'!k"&amp;$G$1))),0)</f>
        <v>#DIV/0!</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t="e">
        <f ca="1">C6+C7+C8</f>
        <v>#DIV/0!</v>
      </c>
      <c r="D5" s="254" t="s">
        <v>2332</v>
      </c>
      <c r="E5" s="255" t="s">
        <v>2333</v>
      </c>
      <c r="F5" s="255" t="s">
        <v>2334</v>
      </c>
      <c r="G5" s="256"/>
    </row>
    <row r="6" spans="1:8" s="257" customFormat="1" ht="13.5" customHeight="1">
      <c r="A6" s="951" t="s">
        <v>2335</v>
      </c>
      <c r="B6" s="258" t="s">
        <v>2336</v>
      </c>
      <c r="C6" s="259" t="e">
        <f ca="1">基准地价修正!B2*10000</f>
        <v>#DIV/0!</v>
      </c>
      <c r="D6" s="260"/>
      <c r="E6" s="261"/>
      <c r="F6" s="261"/>
      <c r="G6" s="262"/>
    </row>
    <row r="7" spans="1:8" s="257" customFormat="1" ht="13.5" customHeight="1">
      <c r="A7" s="951" t="s">
        <v>2337</v>
      </c>
      <c r="B7" s="258" t="s">
        <v>2338</v>
      </c>
      <c r="C7" s="263" t="e">
        <f ca="1">ROUND(C6*F7,0)</f>
        <v>#DIV/0!</v>
      </c>
      <c r="D7" s="263"/>
      <c r="E7" s="261"/>
      <c r="F7" s="264">
        <f>'数据-取费表'!B48+'数据-取费表'!B49</f>
        <v>3.0499999999999999E-2</v>
      </c>
      <c r="G7" s="262"/>
    </row>
    <row r="8" spans="1:8" s="266" customFormat="1">
      <c r="A8" s="951" t="s">
        <v>2339</v>
      </c>
      <c r="B8" s="258" t="s">
        <v>2340</v>
      </c>
      <c r="C8" s="263">
        <f>IF(G8="已包含在土地购买价格中",0,C9+C10)</f>
        <v>0</v>
      </c>
      <c r="D8" s="265"/>
      <c r="E8" s="263"/>
      <c r="F8" s="264"/>
      <c r="G8" s="2551" t="s">
        <v>1148</v>
      </c>
    </row>
    <row r="9" spans="1:8" s="257" customFormat="1" ht="13.5" customHeight="1">
      <c r="A9" s="952" t="s">
        <v>800</v>
      </c>
      <c r="B9" s="267" t="s">
        <v>2341</v>
      </c>
      <c r="C9" s="268">
        <f ca="1">ROUND(D9*E9,0)</f>
        <v>479511</v>
      </c>
      <c r="D9" s="1034">
        <f ca="1">IF(B1="",'数据-汇总表'!E5,IF(INDIRECT("'数据-取费表'!c"&amp;$G$1)="住宅",INDIRECT("'数据-取费表'!k"&amp;$G$1),0))</f>
        <v>3196.74</v>
      </c>
      <c r="E9" s="268">
        <f>'数据-取费表'!B27</f>
        <v>150</v>
      </c>
      <c r="F9" s="264"/>
      <c r="G9" s="269"/>
    </row>
    <row r="10" spans="1:8" s="257" customFormat="1" ht="13.5" customHeight="1">
      <c r="A10" s="952" t="s">
        <v>801</v>
      </c>
      <c r="B10" s="267" t="s">
        <v>2343</v>
      </c>
      <c r="C10" s="268">
        <f ca="1">ROUND(D10*E10,0)</f>
        <v>1788470</v>
      </c>
      <c r="D10" s="1034">
        <f ca="1">IF(B1="",'数据-汇总表'!E6,IF(INDIRECT("'数据-取费表'!c"&amp;$G$1)="住宅",INDIRECT("'数据-取费表'!s"&amp;$G$1),INDIRECT("'数据-取费表'!k"&amp;$G$1)+INDIRECT("'数据-取费表'!s"&amp;$G$1)))</f>
        <v>9413</v>
      </c>
      <c r="E10" s="268">
        <f>'数据-取费表'!B28</f>
        <v>190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t="str">
        <f>IF(G19="已包含在土地取得成本中","0",ROUND(D19*E19,0))</f>
        <v>0</v>
      </c>
      <c r="D19" s="1038">
        <f ca="1">D9+D10</f>
        <v>12609.74</v>
      </c>
      <c r="E19" s="254">
        <f>'数据-取费表'!B31</f>
        <v>200</v>
      </c>
      <c r="F19" s="274"/>
      <c r="G19" s="2551" t="s">
        <v>3050</v>
      </c>
    </row>
    <row r="20" spans="1:7" s="257" customFormat="1" ht="13.5" customHeight="1">
      <c r="A20" s="298" t="s">
        <v>2437</v>
      </c>
      <c r="B20" s="253" t="s">
        <v>2438</v>
      </c>
      <c r="C20" s="275" t="e">
        <f ca="1">ROUND((C5+C19)*F20,0)</f>
        <v>#DIV/0!</v>
      </c>
      <c r="D20" s="275"/>
      <c r="E20" s="275"/>
      <c r="F20" s="276">
        <f>'数据-取费表'!B37</f>
        <v>1.4999999999999999E-2</v>
      </c>
      <c r="G20" s="277" t="s">
        <v>2439</v>
      </c>
    </row>
    <row r="21" spans="1:7" s="257" customFormat="1" ht="13.5" customHeight="1">
      <c r="A21" s="298" t="s">
        <v>2440</v>
      </c>
      <c r="B21" s="253" t="s">
        <v>2441</v>
      </c>
      <c r="C21" s="278">
        <f>F21</f>
        <v>1.4999999999999999E-2</v>
      </c>
      <c r="D21" s="279" t="s">
        <v>2442</v>
      </c>
      <c r="E21" s="275"/>
      <c r="F21" s="276">
        <f>'数据-取费表'!B38</f>
        <v>1.4999999999999999E-2</v>
      </c>
      <c r="G21" s="277" t="s">
        <v>2443</v>
      </c>
    </row>
    <row r="22" spans="1:7" s="257" customFormat="1" ht="13.5" customHeight="1">
      <c r="A22" s="298" t="s">
        <v>2444</v>
      </c>
      <c r="B22" s="253" t="s">
        <v>2445</v>
      </c>
      <c r="C22" s="1382" t="e">
        <f ca="1">ROUND(SUM(C23:C25),0)</f>
        <v>#DIV/0!</v>
      </c>
      <c r="D22" s="278">
        <f ca="1">C26</f>
        <v>1.1000000000000001E-3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t="e">
        <f ca="1">ROUND(IF('数据-取费表'!B22&lt;=1,C5*F22*'数据-取费表'!B22,C5*(POWER((1+F22),'数据-取费表'!B22)-1)),0)</f>
        <v>#DIV/0!</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0</v>
      </c>
      <c r="D24" s="281"/>
      <c r="E24" s="281"/>
      <c r="F24" s="282"/>
      <c r="G24" s="283" t="s">
        <v>2449</v>
      </c>
    </row>
    <row r="25" spans="1:7" s="257" customFormat="1" ht="24">
      <c r="A25" s="953" t="s">
        <v>2339</v>
      </c>
      <c r="B25" s="258" t="s">
        <v>2450</v>
      </c>
      <c r="C25" s="1383" t="e">
        <f ca="1">ROUND(IF('数据-取费表'!B22&lt;=1,C20*F22*'数据-取费表'!B22/2,C20*(POWER((1+F22),'数据-取费表'!B22/2)-1)),0)</f>
        <v>#DIV/0!</v>
      </c>
      <c r="D25" s="281"/>
      <c r="E25" s="284"/>
      <c r="F25" s="282"/>
      <c r="G25" s="285" t="s">
        <v>2451</v>
      </c>
    </row>
    <row r="26" spans="1:7" s="257" customFormat="1">
      <c r="A26" s="953" t="s">
        <v>795</v>
      </c>
      <c r="B26" s="258" t="s">
        <v>2374</v>
      </c>
      <c r="C26" s="281">
        <f ca="1">ROUND(IF('数据-取费表'!B22&lt;=1,F21*F22*'数据-取费表'!B22/2,F21*(POWER((1+F22),'数据-取费表'!B22/2)-1)),4)</f>
        <v>1.1000000000000001E-3</v>
      </c>
      <c r="D26" s="281"/>
      <c r="E26" s="284"/>
      <c r="F26" s="282"/>
      <c r="G26" s="286"/>
    </row>
    <row r="27" spans="1:7" s="257" customFormat="1" ht="24.75">
      <c r="A27" s="298" t="s">
        <v>2375</v>
      </c>
      <c r="B27" s="287" t="s">
        <v>2376</v>
      </c>
      <c r="C27" s="288" t="e">
        <f ca="1">C28</f>
        <v>#DIV/0!</v>
      </c>
      <c r="D27" s="278">
        <f ca="1">C29</f>
        <v>1.5E-3</v>
      </c>
      <c r="E27" s="279" t="s">
        <v>2377</v>
      </c>
      <c r="F27" s="289">
        <f ca="1">IF(B1="",'数据-取费表'!Q16,INDIRECT("'数据-取费表'!q"&amp;$G$1))</f>
        <v>0.1</v>
      </c>
      <c r="G27" s="290" t="s">
        <v>2378</v>
      </c>
    </row>
    <row r="28" spans="1:7" s="257" customFormat="1" ht="13.5" customHeight="1">
      <c r="A28" s="953" t="s">
        <v>791</v>
      </c>
      <c r="B28" s="291" t="s">
        <v>2379</v>
      </c>
      <c r="C28" s="292" t="e">
        <f ca="1">ROUND((C5+C19+C20)*F27,0)</f>
        <v>#DIV/0!</v>
      </c>
      <c r="D28" s="278"/>
      <c r="E28" s="279"/>
      <c r="F28" s="289"/>
      <c r="G28" s="290"/>
    </row>
    <row r="29" spans="1:7" s="257" customFormat="1" ht="13.5" customHeight="1">
      <c r="A29" s="953" t="s">
        <v>792</v>
      </c>
      <c r="B29" s="291" t="s">
        <v>2380</v>
      </c>
      <c r="C29" s="281">
        <f ca="1">ROUND(C21*F27,4)</f>
        <v>1.5E-3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t="e">
        <f ca="1">ROUND((C5+C19+C20+C22+C27)/(1-C21-D22-D27-C30),0)</f>
        <v>#DIV/0!</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40415046</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35680112</v>
      </c>
      <c r="D34" s="260"/>
      <c r="E34" s="263"/>
      <c r="F34" s="300"/>
      <c r="G34" s="262"/>
    </row>
    <row r="35" spans="1:7" ht="13.5" customHeight="1">
      <c r="A35" s="953" t="s">
        <v>796</v>
      </c>
      <c r="B35" s="258" t="s">
        <v>2390</v>
      </c>
      <c r="C35" s="263">
        <f ca="1">ROUND(C34*F35,0)</f>
        <v>1070403</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607381</v>
      </c>
      <c r="D36" s="263"/>
      <c r="E36" s="263"/>
      <c r="F36" s="302">
        <f>'数据-取费表'!B34</f>
        <v>0.05</v>
      </c>
      <c r="G36" s="303" t="s">
        <v>2393</v>
      </c>
    </row>
    <row r="37" spans="1:7" s="301" customFormat="1" ht="13.5" customHeight="1">
      <c r="A37" s="953" t="s">
        <v>798</v>
      </c>
      <c r="B37" s="258" t="s">
        <v>2394</v>
      </c>
      <c r="C37" s="292">
        <f ca="1">ROUND(E37*D37,0)</f>
        <v>2521948</v>
      </c>
      <c r="D37" s="260">
        <f ca="1">D19</f>
        <v>12609.74</v>
      </c>
      <c r="E37" s="292">
        <f>'数据-取费表'!B35</f>
        <v>200</v>
      </c>
      <c r="F37" s="302"/>
      <c r="G37" s="304"/>
    </row>
    <row r="38" spans="1:7" ht="13.5" customHeight="1">
      <c r="A38" s="953" t="s">
        <v>799</v>
      </c>
      <c r="B38" s="258" t="s">
        <v>2396</v>
      </c>
      <c r="C38" s="263">
        <f ca="1">ROUND(C34*F38,0)</f>
        <v>535202</v>
      </c>
      <c r="D38" s="263"/>
      <c r="E38" s="263"/>
      <c r="F38" s="302">
        <f>'数据-取费表'!B36</f>
        <v>1.4999999999999999E-2</v>
      </c>
      <c r="G38" s="262" t="s">
        <v>2391</v>
      </c>
    </row>
    <row r="39" spans="1:7" s="257" customFormat="1" ht="13.5" customHeight="1">
      <c r="A39" s="298" t="s">
        <v>2397</v>
      </c>
      <c r="B39" s="253" t="s">
        <v>2398</v>
      </c>
      <c r="C39" s="275">
        <f ca="1">ROUND(C33*F20,0)</f>
        <v>606226</v>
      </c>
      <c r="D39" s="275"/>
      <c r="E39" s="275"/>
      <c r="F39" s="276"/>
      <c r="G39" s="277" t="s">
        <v>2399</v>
      </c>
    </row>
    <row r="40" spans="1:7" s="257" customFormat="1" ht="13.5" customHeight="1">
      <c r="A40" s="298" t="s">
        <v>2400</v>
      </c>
      <c r="B40" s="253" t="s">
        <v>2401</v>
      </c>
      <c r="C40" s="1729">
        <f>F21</f>
        <v>1.4999999999999999E-2</v>
      </c>
      <c r="D40" s="279" t="s">
        <v>2402</v>
      </c>
      <c r="E40" s="275"/>
      <c r="F40" s="276"/>
      <c r="G40" s="277" t="s">
        <v>2403</v>
      </c>
    </row>
    <row r="41" spans="1:7" s="257" customFormat="1" ht="13.5" customHeight="1">
      <c r="A41" s="298" t="s">
        <v>2404</v>
      </c>
      <c r="B41" s="253" t="s">
        <v>2405</v>
      </c>
      <c r="C41" s="275">
        <f ca="1">ROUND(SUM(C42:C43),0)</f>
        <v>2957204</v>
      </c>
      <c r="D41" s="278">
        <f ca="1">C44</f>
        <v>1.1000000000000001E-3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2913501</v>
      </c>
      <c r="D42" s="281"/>
      <c r="E42" s="281"/>
      <c r="F42" s="282"/>
      <c r="G42" s="3161" t="s">
        <v>2454</v>
      </c>
    </row>
    <row r="43" spans="1:7" ht="13.5" customHeight="1">
      <c r="A43" s="953" t="s">
        <v>792</v>
      </c>
      <c r="B43" s="258" t="s">
        <v>2408</v>
      </c>
      <c r="C43" s="281">
        <f ca="1">ROUND(IF('数据-取费表'!B22&lt;=1,C39*F22*'数据-取费表'!B20/2,C39*(POWER((1+F22),'数据-取费表'!B20/2)-1)),0)</f>
        <v>43703</v>
      </c>
      <c r="D43" s="281"/>
      <c r="E43" s="281"/>
      <c r="F43" s="282"/>
      <c r="G43" s="3162"/>
    </row>
    <row r="44" spans="1:7" ht="13.5" customHeight="1">
      <c r="A44" s="953" t="s">
        <v>793</v>
      </c>
      <c r="B44" s="258" t="s">
        <v>2409</v>
      </c>
      <c r="C44" s="281">
        <f ca="1">ROUND(IF('数据-取费表'!B22&lt;=1,C40*F22*'数据-取费表'!B20/2,C40*(POWER((1+F22),'数据-取费表'!B20/2)-1)),4)</f>
        <v>1.1000000000000001E-3</v>
      </c>
      <c r="D44" s="281"/>
      <c r="E44" s="281"/>
      <c r="F44" s="282"/>
      <c r="G44" s="3163"/>
    </row>
    <row r="45" spans="1:7" s="257" customFormat="1" ht="13.5" customHeight="1">
      <c r="A45" s="298" t="s">
        <v>2410</v>
      </c>
      <c r="B45" s="287" t="s">
        <v>2376</v>
      </c>
      <c r="C45" s="288">
        <f ca="1">C46</f>
        <v>4102127</v>
      </c>
      <c r="D45" s="278">
        <f ca="1">C47</f>
        <v>1.5E-3</v>
      </c>
      <c r="E45" s="279" t="s">
        <v>2402</v>
      </c>
      <c r="F45" s="289"/>
      <c r="G45" s="290" t="s">
        <v>2411</v>
      </c>
    </row>
    <row r="46" spans="1:7" s="257" customFormat="1" ht="13.5" customHeight="1">
      <c r="A46" s="953" t="s">
        <v>791</v>
      </c>
      <c r="B46" s="291" t="s">
        <v>2412</v>
      </c>
      <c r="C46" s="292">
        <f ca="1">ROUND((C33+C39)*F27,0)</f>
        <v>4102127</v>
      </c>
      <c r="D46" s="306"/>
      <c r="E46" s="279"/>
      <c r="F46" s="289"/>
      <c r="G46" s="290"/>
    </row>
    <row r="47" spans="1:7" s="257" customFormat="1" ht="13.5" customHeight="1">
      <c r="A47" s="953" t="s">
        <v>792</v>
      </c>
      <c r="B47" s="291" t="s">
        <v>2413</v>
      </c>
      <c r="C47" s="281">
        <f ca="1">ROUND(C40*F27,4)</f>
        <v>1.5E-3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51699573</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51699573</v>
      </c>
      <c r="D51" s="275"/>
      <c r="E51" s="275"/>
      <c r="F51" s="307"/>
      <c r="G51" s="277" t="s">
        <v>2423</v>
      </c>
    </row>
    <row r="52" spans="1:7" s="251" customFormat="1" ht="16.5" thickBot="1">
      <c r="A52" s="308" t="s">
        <v>2424</v>
      </c>
      <c r="B52" s="309"/>
      <c r="C52" s="310" t="e">
        <f ca="1">C31+C51</f>
        <v>#DIV/0!</v>
      </c>
      <c r="D52" s="309"/>
      <c r="E52" s="309"/>
      <c r="F52" s="309"/>
      <c r="G52" s="311"/>
    </row>
    <row r="55" spans="1:7" ht="15">
      <c r="B55" s="313" t="s">
        <v>2425</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9" sqref="L1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2"/>
      <c r="C1" s="1583"/>
      <c r="D1" s="1581"/>
      <c r="E1" s="319"/>
      <c r="F1" s="319"/>
      <c r="G1" s="1582"/>
      <c r="H1" s="319"/>
      <c r="I1" s="319"/>
      <c r="J1" s="319"/>
      <c r="K1" s="319">
        <f>MATCH(C1,'数据-取费表'!A6:A16,0)+5</f>
        <v>8</v>
      </c>
    </row>
    <row r="2" spans="1:33" ht="18" customHeight="1">
      <c r="A2" s="244" t="s">
        <v>2325</v>
      </c>
      <c r="B2" s="247">
        <f ca="1">C32</f>
        <v>18211</v>
      </c>
      <c r="C2" s="319" t="s">
        <v>2458</v>
      </c>
      <c r="D2" s="319"/>
      <c r="E2" s="319"/>
      <c r="F2" s="319"/>
      <c r="G2" s="319"/>
      <c r="H2" s="319"/>
      <c r="I2" s="319"/>
      <c r="J2" s="319"/>
      <c r="K2" s="319"/>
    </row>
    <row r="3" spans="1:33" ht="18" customHeight="1" thickBot="1">
      <c r="A3" s="246" t="s">
        <v>2327</v>
      </c>
      <c r="B3" s="247">
        <f ca="1">ROUND(B2*10000/IF(C1="",'数据-汇总表'!E3,INDIRECT("'数据-取费表'!K"&amp;$K$1)),0)</f>
        <v>14442</v>
      </c>
      <c r="C3" s="319" t="s">
        <v>2459</v>
      </c>
      <c r="D3" s="319"/>
      <c r="E3" s="319"/>
      <c r="F3" s="319"/>
      <c r="G3" s="319"/>
      <c r="H3" s="319"/>
      <c r="I3" s="319"/>
      <c r="J3" s="319"/>
      <c r="K3" s="319"/>
    </row>
    <row r="4" spans="1:33" s="958" customFormat="1" ht="16.5" customHeight="1">
      <c r="A4" s="955" t="s">
        <v>2460</v>
      </c>
      <c r="B4" s="956"/>
      <c r="C4" s="998">
        <f ca="1">SUM(C8:K8)</f>
        <v>25731</v>
      </c>
      <c r="D4" s="956"/>
      <c r="E4" s="956"/>
      <c r="F4" s="956"/>
      <c r="G4" s="956"/>
      <c r="H4" s="956"/>
      <c r="I4" s="956"/>
      <c r="J4" s="956"/>
      <c r="K4" s="957"/>
    </row>
    <row r="5" spans="1:33" s="962" customFormat="1" ht="15">
      <c r="A5" s="959" t="s">
        <v>2461</v>
      </c>
      <c r="B5" s="960" t="s">
        <v>2462</v>
      </c>
      <c r="C5" s="2555" t="s">
        <v>3053</v>
      </c>
      <c r="D5" s="2555" t="s">
        <v>3055</v>
      </c>
      <c r="E5" s="2555"/>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2463</v>
      </c>
      <c r="C6" s="964">
        <f>'比较法-叠拼'!B3</f>
        <v>64758</v>
      </c>
      <c r="D6" s="964">
        <f ca="1">'收益法（车库）'!B3</f>
        <v>5344</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39" t="s">
        <v>2465</v>
      </c>
      <c r="C7" s="320">
        <f>SUMIF('数据-汇总表'!$C19:$C33,假设开发法!C5,'数据-汇总表'!$E19:$E33)</f>
        <v>3196.74</v>
      </c>
      <c r="D7" s="320">
        <f>SUMIF('数据-汇总表'!$C19:$C33,假设开发法!D5,'数据-汇总表'!$E19:$E33)</f>
        <v>9413</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2466</v>
      </c>
      <c r="B8" s="176" t="s">
        <v>2467</v>
      </c>
      <c r="C8" s="999">
        <f>'比较法-叠拼'!B2</f>
        <v>20701</v>
      </c>
      <c r="D8" s="999">
        <f ca="1">'收益法（车库）'!B2</f>
        <v>5030</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2">
        <f ca="1">IF(C1="",'数据-取费表'!P16,INDIRECT("'数据-取费表'!p"&amp;$K$1)+INDIRECT("'数据-取费表'!ar"&amp;$K$1))</f>
        <v>1783</v>
      </c>
      <c r="D11" s="975"/>
      <c r="E11" s="374"/>
      <c r="F11" s="976">
        <f ca="1">1-IF('数据-取费表'!B24=0,1,IF(C1="",'数据-取费表'!N16,INDIRECT("'数据-取费表'!n"&amp;$K$1)))</f>
        <v>0.5</v>
      </c>
      <c r="G11" s="8"/>
      <c r="H11" s="970"/>
      <c r="I11" s="970"/>
      <c r="J11" s="970"/>
      <c r="K11" s="971"/>
    </row>
    <row r="12" spans="1:33" s="977" customFormat="1" ht="13.5" customHeight="1">
      <c r="A12" s="973" t="s">
        <v>1335</v>
      </c>
      <c r="B12" s="974" t="s">
        <v>2476</v>
      </c>
      <c r="C12" s="24">
        <f ca="1">ROUND(C11*F12,0)</f>
        <v>53</v>
      </c>
      <c r="D12" s="975"/>
      <c r="E12" s="374"/>
      <c r="F12" s="978">
        <f>'数据-取费表'!B33</f>
        <v>0.03</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30</v>
      </c>
      <c r="D13" s="1035"/>
      <c r="E13" s="374"/>
      <c r="F13" s="978">
        <f>'数据-取费表'!B34</f>
        <v>0.05</v>
      </c>
      <c r="G13" s="8" t="s">
        <v>2479</v>
      </c>
      <c r="H13" s="970"/>
      <c r="I13" s="970"/>
      <c r="J13" s="970"/>
      <c r="K13" s="971"/>
    </row>
    <row r="14" spans="1:33" s="979" customFormat="1" ht="13.5" customHeight="1">
      <c r="A14" s="973" t="s">
        <v>1337</v>
      </c>
      <c r="B14" s="974" t="s">
        <v>2480</v>
      </c>
      <c r="C14" s="24">
        <f ca="1">ROUND(D14*E14*F11/10000,0)</f>
        <v>126</v>
      </c>
      <c r="D14" s="1035">
        <f ca="1">IF(C1="",'数据-汇总表'!E3,INDIRECT("'数据-取费表'!K"&amp;$K$1)+INDIRECT("'数据-取费表'!S"&amp;$K$1))</f>
        <v>12609.74</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27</v>
      </c>
      <c r="D15" s="980"/>
      <c r="E15" s="985"/>
      <c r="F15" s="986">
        <f>'数据-取费表'!B36</f>
        <v>1.4999999999999999E-2</v>
      </c>
      <c r="G15" s="139"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2019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12609.74</v>
      </c>
      <c r="E17" s="24">
        <f>'数据-取费表'!B32</f>
        <v>0</v>
      </c>
      <c r="F17" s="980"/>
      <c r="G17" s="139" t="s">
        <v>2486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969">
        <f ca="1">C19+C20-IF(C1="",'数据-取费表'!B29,IF(G18="已全部缴纳",C19+C20,H18))</f>
        <v>0</v>
      </c>
      <c r="D18" s="1035"/>
      <c r="E18" s="24"/>
      <c r="F18" s="978"/>
      <c r="G18" s="2557"/>
      <c r="H18" s="1578"/>
      <c r="I18" s="2558" t="s">
        <v>2488</v>
      </c>
      <c r="J18" s="981"/>
      <c r="K18" s="982"/>
      <c r="L18" s="977">
        <f ca="1">D6/'收益法（车库）'!F7</f>
        <v>19.940298507462686</v>
      </c>
    </row>
    <row r="19" spans="1:33" s="977" customFormat="1" ht="13.5" customHeight="1">
      <c r="A19" s="973" t="s">
        <v>805</v>
      </c>
      <c r="B19" s="974" t="s">
        <v>2489</v>
      </c>
      <c r="C19" s="2969">
        <f ca="1">ROUND(D19*E19/10000,0)</f>
        <v>48</v>
      </c>
      <c r="D19" s="1035">
        <f ca="1">IF(C1="",'数据-汇总表'!E5,IF(INDIRECT("'数据-取费表'!c"&amp;$K$1)="住宅",INDIRECT("'数据-取费表'!k"&amp;$K$1),0))</f>
        <v>3196.74</v>
      </c>
      <c r="E19" s="24">
        <f>'数据-取费表'!B27</f>
        <v>150</v>
      </c>
      <c r="F19" s="978"/>
      <c r="G19" s="15"/>
      <c r="H19" s="1580"/>
      <c r="I19" s="983"/>
      <c r="J19" s="983"/>
      <c r="K19" s="984"/>
    </row>
    <row r="20" spans="1:33" s="977" customFormat="1" ht="13.5" customHeight="1">
      <c r="A20" s="973" t="s">
        <v>806</v>
      </c>
      <c r="B20" s="974" t="s">
        <v>2490</v>
      </c>
      <c r="C20" s="2969">
        <f ca="1">ROUND(D20*E20/10000,0)</f>
        <v>179</v>
      </c>
      <c r="D20" s="1035">
        <f ca="1">IF(C1="",'数据-汇总表'!E6,IF(INDIRECT("'数据-取费表'!c"&amp;$K$1)="住宅",INDIRECT("'数据-取费表'!s"&amp;$K$1),INDIRECT("'数据-取费表'!k"&amp;$K$1)+INDIRECT("'数据-取费表'!s"&amp;$K$1)))</f>
        <v>9413</v>
      </c>
      <c r="E20" s="24">
        <f>'数据-取费表'!B28</f>
        <v>190</v>
      </c>
      <c r="F20" s="978"/>
      <c r="G20" s="15"/>
      <c r="H20" s="983"/>
      <c r="I20" s="983"/>
      <c r="J20" s="983"/>
      <c r="K20" s="984"/>
    </row>
    <row r="21" spans="1:33" s="977" customFormat="1" ht="13.5" customHeight="1">
      <c r="A21" s="963" t="s">
        <v>802</v>
      </c>
      <c r="B21" s="987" t="s">
        <v>2491</v>
      </c>
      <c r="C21" s="988">
        <f ca="1">C16+C17+C18</f>
        <v>2019</v>
      </c>
      <c r="D21" s="989"/>
      <c r="E21" s="324"/>
      <c r="F21" s="324"/>
      <c r="G21" s="139" t="s">
        <v>2492</v>
      </c>
      <c r="H21" s="981"/>
      <c r="I21" s="981"/>
      <c r="J21" s="981"/>
      <c r="K21" s="982"/>
    </row>
    <row r="22" spans="1:33" s="977" customFormat="1" ht="13.5" customHeight="1">
      <c r="A22" s="963" t="s">
        <v>2464</v>
      </c>
      <c r="B22" s="987" t="s">
        <v>2493</v>
      </c>
      <c r="C22" s="988">
        <f ca="1">ROUND(C21*F22,0)</f>
        <v>30</v>
      </c>
      <c r="D22" s="324"/>
      <c r="E22" s="324"/>
      <c r="F22" s="990">
        <f>'数据-取费表'!B37</f>
        <v>1.4999999999999999E-2</v>
      </c>
      <c r="G22" s="8" t="s">
        <v>2494</v>
      </c>
      <c r="H22" s="970"/>
      <c r="I22" s="970"/>
      <c r="J22" s="970"/>
      <c r="K22" s="971"/>
    </row>
    <row r="23" spans="1:33" s="977" customFormat="1" ht="13.5" customHeight="1">
      <c r="A23" s="963" t="s">
        <v>2466</v>
      </c>
      <c r="B23" s="987" t="s">
        <v>2495</v>
      </c>
      <c r="C23" s="988">
        <f ca="1">ROUND(C4*F23*F11,0)</f>
        <v>193</v>
      </c>
      <c r="D23" s="324"/>
      <c r="E23" s="324"/>
      <c r="F23" s="990">
        <f>'数据-取费表'!B38</f>
        <v>1.4999999999999999E-2</v>
      </c>
      <c r="G23" s="8" t="s">
        <v>2496</v>
      </c>
      <c r="H23" s="970"/>
      <c r="I23" s="970"/>
      <c r="J23" s="970"/>
      <c r="K23" s="971"/>
    </row>
    <row r="24" spans="1:33" s="977" customFormat="1" ht="13.5" customHeight="1">
      <c r="A24" s="963" t="s">
        <v>2497</v>
      </c>
      <c r="B24" s="987" t="s">
        <v>2498</v>
      </c>
      <c r="C24" s="323">
        <f>ROUND(F24/(1+'数据-取费表'!C42),4)</f>
        <v>2.9000000000000001E-2</v>
      </c>
      <c r="D24" s="324" t="s">
        <v>15</v>
      </c>
      <c r="E24" s="324"/>
      <c r="F24" s="990">
        <f>'数据-取费表'!B48+'数据-取费表'!B49</f>
        <v>3.0499999999999999E-2</v>
      </c>
      <c r="G24" s="8" t="s">
        <v>2499</v>
      </c>
      <c r="H24" s="992"/>
      <c r="I24" s="992"/>
      <c r="J24" s="992"/>
      <c r="K24" s="993"/>
    </row>
    <row r="25" spans="1:33" s="977" customFormat="1" ht="13.5" customHeight="1">
      <c r="A25" s="963" t="s">
        <v>2500</v>
      </c>
      <c r="B25" s="989" t="s">
        <v>2501</v>
      </c>
      <c r="C25" s="1358">
        <f ca="1">C27</f>
        <v>106</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9">
        <f ca="1">ROUND(IF('数据-取费表'!B22&lt;=1,(1+C24)*F25*'数据-取费表'!B24,(1+C24)*(POWER((1+F25),'数据-取费表'!B24)-1)),4)</f>
        <v>0.10009999999999999</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60">
        <f ca="1">ROUND(IF('数据-取费表'!B22&lt;=1,(C21+C22+C23)*F25*'数据-取费表'!B24/2,(C21+C22+C23)*(POWER((1+F25),'数据-取费表'!B24/2)-1)),0)</f>
        <v>106</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2504</v>
      </c>
      <c r="B28" s="2560" t="s">
        <v>2505</v>
      </c>
      <c r="C28" s="330">
        <f ca="1">C30</f>
        <v>224</v>
      </c>
      <c r="D28" s="323">
        <f ca="1">C29</f>
        <v>6.8599999999999994E-2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2506</v>
      </c>
      <c r="C29" s="327">
        <f ca="1">ROUND((1+C24)*F28*'数据-取费表'!B24/'数据-取费表'!B20,4)</f>
        <v>6.8599999999999994E-2</v>
      </c>
      <c r="D29" s="327"/>
      <c r="E29" s="328"/>
      <c r="F29" s="333"/>
      <c r="G29" s="139" t="s">
        <v>2507</v>
      </c>
      <c r="H29" s="981"/>
      <c r="I29" s="981"/>
      <c r="J29" s="981"/>
      <c r="K29" s="982"/>
    </row>
    <row r="30" spans="1:33" s="334" customFormat="1" ht="13.5" customHeight="1">
      <c r="A30" s="973" t="s">
        <v>804</v>
      </c>
      <c r="B30" s="996" t="s">
        <v>2508</v>
      </c>
      <c r="C30" s="335">
        <f ca="1">ROUND((C21+C22+C23)*F28,0)</f>
        <v>224</v>
      </c>
      <c r="D30" s="327"/>
      <c r="E30" s="328"/>
      <c r="F30" s="333"/>
      <c r="G30" s="139"/>
      <c r="H30" s="981"/>
      <c r="I30" s="981"/>
      <c r="J30" s="981"/>
      <c r="K30" s="982"/>
    </row>
    <row r="31" spans="1:33" s="977" customFormat="1" ht="13.5" customHeight="1" thickBot="1">
      <c r="A31" s="2561" t="s">
        <v>2509</v>
      </c>
      <c r="B31" s="1007" t="s">
        <v>2510</v>
      </c>
      <c r="C31" s="1008">
        <f ca="1">ROUND(C4*F31/(1+'数据-取费表'!C42),0)</f>
        <v>1348</v>
      </c>
      <c r="D31" s="1009"/>
      <c r="E31" s="1010"/>
      <c r="F31" s="1011">
        <f>'数据-取费表'!B41</f>
        <v>5.5000000000000007E-2</v>
      </c>
      <c r="G31" s="1012" t="s">
        <v>2511</v>
      </c>
      <c r="H31" s="1013"/>
      <c r="I31" s="1013"/>
      <c r="J31" s="1013"/>
      <c r="K31" s="1014"/>
    </row>
    <row r="32" spans="1:33" s="972" customFormat="1" ht="13.5" customHeight="1" thickBot="1">
      <c r="A32" s="1002" t="s">
        <v>2512</v>
      </c>
      <c r="B32" s="1003"/>
      <c r="C32" s="1004">
        <f ca="1">ROUND((C4-C21-C22-C23-C25-C28-C31)/(1+C24+D25+D28),0)</f>
        <v>18211</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42" sqref="F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3055</v>
      </c>
      <c r="D1" s="1821" t="s">
        <v>3266</v>
      </c>
      <c r="E1" s="1822" t="s">
        <v>1387</v>
      </c>
      <c r="F1" s="1285">
        <f ca="1">J53</f>
        <v>45.71</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5030</v>
      </c>
      <c r="C2" s="1846" t="s">
        <v>1517</v>
      </c>
      <c r="D2" s="1846"/>
      <c r="E2" s="1847"/>
      <c r="F2" s="1848"/>
      <c r="G2" s="1849"/>
      <c r="H2" s="1841"/>
      <c r="I2" s="1841"/>
      <c r="J2" s="1841"/>
      <c r="K2" s="1842"/>
      <c r="L2" s="1841"/>
      <c r="M2" s="1841"/>
    </row>
    <row r="3" spans="1:37" ht="18" customHeight="1" thickBot="1">
      <c r="A3" s="1850" t="s">
        <v>1518</v>
      </c>
      <c r="B3" s="1851">
        <f ca="1">IF(ISERROR(B2*10000/F43),0,ROUND(B2*10000/F43,0))</f>
        <v>5344</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4">
        <f ca="1">C6+C10+C12</f>
        <v>306</v>
      </c>
      <c r="D5" s="1823" t="s">
        <v>1402</v>
      </c>
      <c r="E5" s="1295"/>
      <c r="F5" s="1296"/>
      <c r="G5" s="1852"/>
      <c r="H5" s="343">
        <v>1</v>
      </c>
      <c r="I5" s="344" t="s">
        <v>1401</v>
      </c>
      <c r="J5" s="1294">
        <f ca="1">J6+J10+J12</f>
        <v>0</v>
      </c>
      <c r="K5" s="1823" t="s">
        <v>1402</v>
      </c>
      <c r="L5" s="1295"/>
      <c r="M5" s="1296"/>
    </row>
    <row r="6" spans="1:37" ht="18" customHeight="1">
      <c r="A6" s="1293" t="s">
        <v>1035</v>
      </c>
      <c r="B6" s="3166" t="s">
        <v>1403</v>
      </c>
      <c r="C6" s="1298">
        <f ca="1">ROUND(F6*F8*F7*(1-F9)/10000,0)</f>
        <v>306</v>
      </c>
      <c r="D6" s="163" t="s">
        <v>3030</v>
      </c>
      <c r="E6" s="346" t="s">
        <v>1405</v>
      </c>
      <c r="F6" s="347">
        <f ca="1">INDIRECT("'数据-取费表'!u"&amp;$G$1)</f>
        <v>1000</v>
      </c>
      <c r="G6" s="1852"/>
      <c r="H6" s="1293" t="s">
        <v>1035</v>
      </c>
      <c r="I6" s="3166" t="s">
        <v>1403</v>
      </c>
      <c r="J6" s="345">
        <f ca="1">ROUND(M6*M8*M7*(1-M9)/10000,0)</f>
        <v>0</v>
      </c>
      <c r="K6" s="163" t="s">
        <v>3029</v>
      </c>
      <c r="L6" s="346" t="s">
        <v>1405</v>
      </c>
      <c r="M6" s="347">
        <f ca="1">INDIRECT("'数据-取费表'!z"&amp;$G$1)</f>
        <v>0</v>
      </c>
    </row>
    <row r="7" spans="1:37" ht="18" customHeight="1">
      <c r="A7" s="1297"/>
      <c r="B7" s="3167"/>
      <c r="C7" s="1299"/>
      <c r="D7" s="351"/>
      <c r="E7" s="1300" t="s">
        <v>1406</v>
      </c>
      <c r="F7" s="347">
        <f ca="1">IF(INDIRECT("'数据-取费表'!ah"&amp;$G$1)="",INDIRECT("'数据-取费表'!k"&amp;$G$1),INDIRECT("'数据-取费表'!ah"&amp;$G$1))</f>
        <v>268</v>
      </c>
      <c r="G7" s="1852"/>
      <c r="H7" s="348"/>
      <c r="I7" s="3167"/>
      <c r="J7" s="350"/>
      <c r="K7" s="351"/>
      <c r="L7" s="346" t="s">
        <v>1406</v>
      </c>
      <c r="M7" s="347">
        <f ca="1">F7</f>
        <v>268</v>
      </c>
    </row>
    <row r="8" spans="1:37" ht="18" customHeight="1">
      <c r="A8" s="348"/>
      <c r="B8" s="3167"/>
      <c r="C8" s="350"/>
      <c r="D8" s="351"/>
      <c r="E8" s="346" t="s">
        <v>1407</v>
      </c>
      <c r="F8" s="347">
        <f ca="1">INDIRECT("'数据-取费表'!ai"&amp;$G$1)</f>
        <v>12</v>
      </c>
      <c r="G8" s="1852"/>
      <c r="H8" s="348"/>
      <c r="I8" s="3167"/>
      <c r="J8" s="350"/>
      <c r="K8" s="351"/>
      <c r="L8" s="346" t="s">
        <v>1407</v>
      </c>
      <c r="M8" s="347">
        <f ca="1">INDIRECT("'数据-取费表'!ai"&amp;$G$1)</f>
        <v>12</v>
      </c>
    </row>
    <row r="9" spans="1:37" ht="18" customHeight="1">
      <c r="A9" s="348"/>
      <c r="B9" s="3168"/>
      <c r="C9" s="350"/>
      <c r="D9" s="351"/>
      <c r="E9" s="346" t="s">
        <v>1408</v>
      </c>
      <c r="F9" s="356">
        <f ca="1">INDIRECT("'数据-取费表'!w"&amp;$G$1)</f>
        <v>0.05</v>
      </c>
      <c r="G9" s="1852"/>
      <c r="H9" s="348"/>
      <c r="I9" s="3168"/>
      <c r="J9" s="350"/>
      <c r="K9" s="351"/>
      <c r="L9" s="357" t="s">
        <v>1408</v>
      </c>
      <c r="M9" s="358">
        <f ca="1">INDIRECT("'数据-取费表'!ab"&amp;$G$1)</f>
        <v>0</v>
      </c>
    </row>
    <row r="10" spans="1:37" ht="18" customHeight="1">
      <c r="A10" s="1293" t="s">
        <v>1039</v>
      </c>
      <c r="B10" s="1824" t="s">
        <v>1409</v>
      </c>
      <c r="C10" s="360">
        <f ca="1">ROUND(IF(F10="押一",F6*F8*F7/12*F11,IF(F10="押二",F6*F8*F7/12*2*F11,IF(F10="押三",F6*F8*F7/12*3*F11,C11*F11)))/10000,0)</f>
        <v>0</v>
      </c>
      <c r="D10" s="1825" t="s">
        <v>3031</v>
      </c>
      <c r="E10" s="357" t="s">
        <v>1411</v>
      </c>
      <c r="F10" s="2967" t="s">
        <v>3309</v>
      </c>
      <c r="G10" s="1852"/>
      <c r="H10" s="1293" t="s">
        <v>1039</v>
      </c>
      <c r="I10" s="1824" t="s">
        <v>1409</v>
      </c>
      <c r="J10" s="345">
        <f ca="1">ROUND(IF(M10="押一",M6*M8*M7/12*M11,IF(M10="押二",M6*M8*M7/12*2*M11,IF(M10="押三",M6*M8*M7/12*3*M11,J11*M11)))/10000,0)</f>
        <v>0</v>
      </c>
      <c r="K10" s="1825" t="s">
        <v>3032</v>
      </c>
      <c r="L10" s="357" t="s">
        <v>1411</v>
      </c>
      <c r="M10" s="1368" t="s">
        <v>1412</v>
      </c>
    </row>
    <row r="11" spans="1:37" ht="18" customHeight="1">
      <c r="A11" s="352"/>
      <c r="B11" s="1826" t="s">
        <v>1388</v>
      </c>
      <c r="C11" s="1180"/>
      <c r="D11" s="1827"/>
      <c r="E11" s="357" t="s">
        <v>1413</v>
      </c>
      <c r="F11" s="358">
        <f ca="1">'数据-取费表'!B39</f>
        <v>1.4999999999999999E-2</v>
      </c>
      <c r="G11" s="1852"/>
      <c r="H11" s="1301"/>
      <c r="I11" s="1826" t="s">
        <v>1388</v>
      </c>
      <c r="J11" s="1180"/>
      <c r="K11" s="747"/>
      <c r="L11" s="357" t="s">
        <v>1413</v>
      </c>
      <c r="M11" s="1058">
        <f ca="1">'数据-取费表'!B39</f>
        <v>1.4999999999999999E-2</v>
      </c>
    </row>
    <row r="12" spans="1:37" ht="18" customHeight="1" thickBot="1">
      <c r="A12" s="1335" t="s">
        <v>1075</v>
      </c>
      <c r="B12" s="1828" t="s">
        <v>1414</v>
      </c>
      <c r="C12" s="1336"/>
      <c r="D12" s="1337"/>
      <c r="E12" s="1342"/>
      <c r="F12" s="1338"/>
      <c r="G12" s="1852"/>
      <c r="H12" s="1335" t="s">
        <v>1075</v>
      </c>
      <c r="I12" s="1828" t="s">
        <v>1414</v>
      </c>
      <c r="J12" s="1336"/>
      <c r="K12" s="1350"/>
      <c r="L12" s="1342"/>
      <c r="M12" s="1351"/>
    </row>
    <row r="13" spans="1:37" ht="18" customHeight="1" thickTop="1">
      <c r="A13" s="1331">
        <v>2</v>
      </c>
      <c r="B13" s="1332" t="s">
        <v>1415</v>
      </c>
      <c r="C13" s="354">
        <f ca="1">ROUND(C29*F13,0)</f>
        <v>3239</v>
      </c>
      <c r="D13" s="1333" t="s">
        <v>1416</v>
      </c>
      <c r="E13" s="1333" t="s">
        <v>1417</v>
      </c>
      <c r="F13" s="1334">
        <f ca="1">INDIRECT("'数据-取费表'!y"&amp;$G$1)</f>
        <v>1</v>
      </c>
      <c r="G13" s="1852"/>
      <c r="H13" s="1331">
        <v>2</v>
      </c>
      <c r="I13" s="1332" t="s">
        <v>1415</v>
      </c>
      <c r="J13" s="1292">
        <f ca="1">ROUND(J14*J15,0)</f>
        <v>0</v>
      </c>
      <c r="K13" s="1339" t="s">
        <v>1416</v>
      </c>
      <c r="L13" s="1853"/>
      <c r="M13" s="1854"/>
    </row>
    <row r="14" spans="1:37" ht="18" customHeight="1">
      <c r="A14" s="1203" t="s">
        <v>1034</v>
      </c>
      <c r="B14" s="346" t="s">
        <v>1418</v>
      </c>
      <c r="C14" s="362">
        <f ca="1">INDIRECT("'数据-取费表'!m"&amp;$G$1)+INDIRECT("'数据-取费表'!t"&amp;$G$1)</f>
        <v>2353</v>
      </c>
      <c r="D14" s="1801" t="s">
        <v>1419</v>
      </c>
      <c r="E14" s="1795"/>
      <c r="F14" s="363"/>
      <c r="G14" s="1852"/>
      <c r="H14" s="1203" t="s">
        <v>1035</v>
      </c>
      <c r="I14" s="346" t="s">
        <v>1420</v>
      </c>
      <c r="J14" s="24">
        <f ca="1">C29</f>
        <v>3239</v>
      </c>
      <c r="K14" s="15"/>
      <c r="L14" s="981"/>
      <c r="M14" s="982"/>
    </row>
    <row r="15" spans="1:37" s="1859" customFormat="1" ht="18" customHeight="1" thickBot="1">
      <c r="A15" s="1203" t="s">
        <v>1036</v>
      </c>
      <c r="B15" s="346" t="s">
        <v>1421</v>
      </c>
      <c r="C15" s="24">
        <f ca="1">ROUND(C14*F15,0)</f>
        <v>71</v>
      </c>
      <c r="D15" s="364" t="s">
        <v>1422</v>
      </c>
      <c r="E15" s="364" t="s">
        <v>1423</v>
      </c>
      <c r="F15" s="365">
        <f>'数据-取费表'!B33</f>
        <v>0.03</v>
      </c>
      <c r="G15" s="1855"/>
      <c r="H15" s="1341" t="s">
        <v>1039</v>
      </c>
      <c r="I15" s="1342" t="s">
        <v>1417</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ROUND(INDIRECT("'数据-取费表'!m"&amp;$G$1)*F16,0)</f>
        <v>0</v>
      </c>
      <c r="D16" s="346" t="s">
        <v>1422</v>
      </c>
      <c r="E16" s="346" t="s">
        <v>1423</v>
      </c>
      <c r="F16" s="366">
        <f ca="1">IF(INDIRECT("'数据-取费表'!c"&amp;$G$1)="住宅",'数据-取费表'!B34,0)</f>
        <v>0</v>
      </c>
      <c r="G16" s="1852"/>
      <c r="H16" s="1331" t="s">
        <v>1030</v>
      </c>
      <c r="I16" s="1332" t="s">
        <v>1425</v>
      </c>
      <c r="J16" s="354">
        <f ca="1">ROUND(J17+J22+J23+J24,0)</f>
        <v>76</v>
      </c>
      <c r="K16" s="1339" t="s">
        <v>1426</v>
      </c>
      <c r="L16" s="1340"/>
      <c r="M16" s="1296"/>
    </row>
    <row r="17" spans="1:37" s="1859" customFormat="1" ht="18" customHeight="1">
      <c r="A17" s="1203" t="s">
        <v>1390</v>
      </c>
      <c r="B17" s="346" t="s">
        <v>1427</v>
      </c>
      <c r="C17" s="24">
        <f ca="1">ROUND(F17*(F43+INDIRECT("'数据-取费表'!S"&amp;$G$1))/10000,0)</f>
        <v>188</v>
      </c>
      <c r="D17" s="346" t="s">
        <v>1428</v>
      </c>
      <c r="E17" s="346" t="s">
        <v>1429</v>
      </c>
      <c r="F17" s="26">
        <f>'数据-取费表'!B35</f>
        <v>200</v>
      </c>
      <c r="G17" s="1855"/>
      <c r="H17" s="1203" t="s">
        <v>1035</v>
      </c>
      <c r="I17" s="346" t="s">
        <v>1430</v>
      </c>
      <c r="J17" s="24">
        <f ca="1">ROUND(IF(项目基本情况!B11="自然人",J5*M17,J18+J19+J20),1)</f>
        <v>27.6</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35</v>
      </c>
      <c r="D18" s="346" t="s">
        <v>1422</v>
      </c>
      <c r="E18" s="346" t="s">
        <v>1423</v>
      </c>
      <c r="F18" s="366">
        <f>'数据-取费表'!B36</f>
        <v>1.4999999999999999E-2</v>
      </c>
      <c r="G18" s="1855"/>
      <c r="H18" s="1203"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2647</v>
      </c>
      <c r="D19" s="139" t="s">
        <v>1437</v>
      </c>
      <c r="E19" s="1819"/>
      <c r="F19" s="26"/>
      <c r="G19" s="1852"/>
      <c r="H19" s="1203" t="s">
        <v>1036</v>
      </c>
      <c r="I19" s="346" t="s">
        <v>1438</v>
      </c>
      <c r="J19" s="24">
        <f ca="1">IF(K19="按租金收入计税",ROUND(J5*M19,2),ROUND(C29*M19*0.7,2))</f>
        <v>27.21</v>
      </c>
      <c r="K19" s="1829" t="s">
        <v>1439</v>
      </c>
      <c r="L19" s="346" t="s">
        <v>1423</v>
      </c>
      <c r="M19" s="366">
        <f>IF(K19="按租金收入计税",'数据-取费表'!B51,'数据-取费表'!B50)</f>
        <v>1.2E-2</v>
      </c>
    </row>
    <row r="20" spans="1:37" s="1859" customFormat="1" ht="18" customHeight="1">
      <c r="A20" s="1203" t="s">
        <v>1039</v>
      </c>
      <c r="B20" s="346" t="s">
        <v>1440</v>
      </c>
      <c r="C20" s="24">
        <f ca="1">ROUND(C19*F20,0)</f>
        <v>40</v>
      </c>
      <c r="D20" s="368" t="s">
        <v>1441</v>
      </c>
      <c r="E20" s="346" t="s">
        <v>1423</v>
      </c>
      <c r="F20" s="366">
        <f>'数据-取费表'!B37</f>
        <v>1.4999999999999999E-2</v>
      </c>
      <c r="G20" s="1855"/>
      <c r="H20" s="1203" t="s">
        <v>1389</v>
      </c>
      <c r="I20" s="163" t="s">
        <v>1442</v>
      </c>
      <c r="J20" s="25">
        <f ca="1">ROUND(M20*M21/10000,2)</f>
        <v>0.38</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18</v>
      </c>
      <c r="D21" s="368" t="s">
        <v>1446</v>
      </c>
      <c r="E21" s="346" t="s">
        <v>1447</v>
      </c>
      <c r="F21" s="366">
        <f>'数据-取费表'!B38</f>
        <v>1.4999999999999999E-2</v>
      </c>
      <c r="G21" s="1855"/>
      <c r="H21" s="371"/>
      <c r="I21" s="355"/>
      <c r="J21" s="29"/>
      <c r="K21" s="372"/>
      <c r="L21" s="346" t="s">
        <v>1448</v>
      </c>
      <c r="M21" s="347">
        <f ca="1">INDIRECT("'数据-取费表'!r"&amp;$G$1)</f>
        <v>2564.2600000000002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19"/>
      <c r="F22" s="26"/>
      <c r="G22" s="1852"/>
      <c r="H22" s="1203" t="s">
        <v>1039</v>
      </c>
      <c r="I22" s="346" t="s">
        <v>1450</v>
      </c>
      <c r="J22" s="24">
        <f ca="1">ROUND(J14*M22,1)</f>
        <v>48.6</v>
      </c>
      <c r="K22" s="1799" t="s">
        <v>1451</v>
      </c>
      <c r="L22" s="346" t="s">
        <v>1423</v>
      </c>
      <c r="M22" s="373">
        <f ca="1">INDIRECT("'数据-取费表'!Ak"&amp;$G$1)</f>
        <v>1.4999999999999999E-2</v>
      </c>
    </row>
    <row r="23" spans="1:37" s="1859" customFormat="1" ht="18" customHeight="1">
      <c r="A23" s="1203" t="s">
        <v>1034</v>
      </c>
      <c r="B23" s="346" t="s">
        <v>1452</v>
      </c>
      <c r="C23" s="24">
        <f ca="1">IF('数据-取费表'!B22&lt;=1,ROUND(C19*F24*F23/2,0)+ROUND(C20*F24*F23/2,0),ROUND(C19*(POWER((1+F24),F23/2)-1),0)+ROUND(C20*(POWER((1+F24),F23/2)-1),0))</f>
        <v>194</v>
      </c>
      <c r="D23" s="374" t="str">
        <f>IF(F23&lt;=1,"(建造成本+管理费用)×利率×(建设周期÷2)","(建造成本+管理费用)×((1+利率)^(建设周期÷2)-1)")</f>
        <v>(建造成本+管理费用)×((1+利率)^(建设周期÷2)-1)</v>
      </c>
      <c r="E23" s="346" t="s">
        <v>1453</v>
      </c>
      <c r="F23" s="370">
        <f>'数据-取费表'!B20</f>
        <v>3</v>
      </c>
      <c r="G23" s="1855"/>
      <c r="H23" s="1203"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5"/>
      <c r="H24" s="1341" t="s">
        <v>1393</v>
      </c>
      <c r="I24" s="1342" t="s">
        <v>1440</v>
      </c>
      <c r="J24" s="1343">
        <f ca="1">ROUND(J5*M24,1)</f>
        <v>0</v>
      </c>
      <c r="K24" s="1344" t="s">
        <v>1460</v>
      </c>
      <c r="L24" s="1342" t="s">
        <v>1456</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6" t="s">
        <v>1462</v>
      </c>
      <c r="C25" s="24"/>
      <c r="D25" s="139" t="s">
        <v>1463</v>
      </c>
      <c r="E25" s="1819"/>
      <c r="F25" s="26"/>
      <c r="G25" s="1852"/>
      <c r="H25" s="1331" t="s">
        <v>1031</v>
      </c>
      <c r="I25" s="1346" t="s">
        <v>1464</v>
      </c>
      <c r="J25" s="354">
        <f ca="1">J5-J16</f>
        <v>-76</v>
      </c>
      <c r="K25" s="1347" t="s">
        <v>1465</v>
      </c>
      <c r="L25" s="1348"/>
      <c r="M25" s="1349"/>
    </row>
    <row r="26" spans="1:37">
      <c r="A26" s="1203" t="s">
        <v>1034</v>
      </c>
      <c r="B26" s="346" t="s">
        <v>1466</v>
      </c>
      <c r="C26" s="24">
        <f ca="1">ROUND((C19+C20)*F26,0)</f>
        <v>134</v>
      </c>
      <c r="D26" s="368" t="s">
        <v>1467</v>
      </c>
      <c r="E26" s="357" t="s">
        <v>1468</v>
      </c>
      <c r="F26" s="356">
        <f ca="1">INDIRECT("'数据-取费表'!q"&amp;$G$1)</f>
        <v>0.05</v>
      </c>
      <c r="G26" s="1852"/>
      <c r="H26" s="343" t="s">
        <v>1032</v>
      </c>
      <c r="I26" s="344" t="s">
        <v>1469</v>
      </c>
      <c r="J26" s="345">
        <f ca="1">IF(J5&lt;&gt;0,ROUND(J25*(1-((1+M28)/(1+M26))^M27)/(M26-M28),0),0)</f>
        <v>0</v>
      </c>
      <c r="K26" s="369" t="s">
        <v>1470</v>
      </c>
      <c r="L26" s="346" t="s">
        <v>1471</v>
      </c>
      <c r="M26" s="356">
        <f ca="1">INDIRECT("'数据-取费表'!I"&amp;$G$1)</f>
        <v>5.5E-2</v>
      </c>
    </row>
    <row r="27" spans="1:37" ht="18" customHeight="1">
      <c r="A27" s="1203" t="s">
        <v>1036</v>
      </c>
      <c r="B27" s="346" t="s">
        <v>1472</v>
      </c>
      <c r="C27" s="24">
        <f ca="1">ROUND(F21*F26,4)</f>
        <v>8.0000000000000004E-4</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1479</v>
      </c>
      <c r="C29" s="1343">
        <f ca="1">ROUND((C19+C20+C23+C26)/(1-F21-C24-C27-C28),0)</f>
        <v>3239</v>
      </c>
      <c r="D29" s="1344"/>
      <c r="E29" s="1342"/>
      <c r="F29" s="1345"/>
      <c r="G29" s="1855"/>
      <c r="H29" s="379" t="s">
        <v>1033</v>
      </c>
      <c r="I29" s="380" t="s">
        <v>1480</v>
      </c>
      <c r="J29" s="381">
        <f ca="1">ROUND(J26/(1+F40)^F41,0)</f>
        <v>0</v>
      </c>
      <c r="K29" s="382" t="s">
        <v>1481</v>
      </c>
      <c r="L29" s="383"/>
      <c r="M29" s="384">
        <f ca="1">INDIRECT("'数据-取费表'!k"&amp;$G$1)</f>
        <v>9413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1425</v>
      </c>
      <c r="C30" s="354">
        <f ca="1">ROUND(C31+C36+C37+C38,0)</f>
        <v>100</v>
      </c>
      <c r="D30" s="1339" t="s">
        <v>1426</v>
      </c>
      <c r="E30" s="1340"/>
      <c r="F30" s="1296"/>
      <c r="G30" s="1852"/>
      <c r="H30" s="744"/>
      <c r="I30" s="745"/>
      <c r="J30" s="746"/>
      <c r="K30" s="747"/>
      <c r="L30" s="748"/>
      <c r="M30" s="749"/>
    </row>
    <row r="31" spans="1:37" ht="18" customHeight="1">
      <c r="A31" s="1203" t="s">
        <v>1035</v>
      </c>
      <c r="B31" s="346" t="s">
        <v>1430</v>
      </c>
      <c r="C31" s="24">
        <f ca="1">ROUND(IF(项目基本情况!B11="自然人",C5*F31,C32+C33+C34),1)</f>
        <v>43.6</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1434</v>
      </c>
      <c r="C32" s="24">
        <f ca="1">IF(项目基本情况!B11="自然人","——",ROUND(C5*F32/(1+'数据-取费表'!C42),2))</f>
        <v>16.03</v>
      </c>
      <c r="D32" s="1799" t="s">
        <v>1435</v>
      </c>
      <c r="E32" s="346" t="s">
        <v>1423</v>
      </c>
      <c r="F32" s="376">
        <f>'数据-取费表'!B41</f>
        <v>5.5000000000000007E-2</v>
      </c>
      <c r="G32" s="1852"/>
      <c r="H32" s="744"/>
      <c r="I32" s="745"/>
      <c r="J32" s="746"/>
      <c r="K32" s="747"/>
      <c r="L32" s="748"/>
      <c r="M32" s="749"/>
    </row>
    <row r="33" spans="1:18" ht="18" customHeight="1">
      <c r="A33" s="1203" t="s">
        <v>1036</v>
      </c>
      <c r="B33" s="346" t="s">
        <v>1438</v>
      </c>
      <c r="C33" s="24">
        <f ca="1">IF(项目基本情况!B11="自然人","——",IF(D33="按租金收入计税",ROUND(C5*F33,2),IF(D33="按房产原值计税",ROUND(C29*F33*0.7,2),INDIRECT("'数据-取费表'!Aj"&amp;$G$1))))</f>
        <v>27.21</v>
      </c>
      <c r="D33" s="2968" t="s">
        <v>3310</v>
      </c>
      <c r="E33" s="346" t="s">
        <v>1423</v>
      </c>
      <c r="F33" s="366">
        <f>IF(D33="按票据","——",IF(D33="按租金收入计税",'数据-取费表'!B51,'数据-取费表'!B50))</f>
        <v>1.2E-2</v>
      </c>
      <c r="G33" s="1852"/>
      <c r="H33" s="1860"/>
      <c r="I33" s="1861"/>
      <c r="J33" s="1862"/>
      <c r="K33" s="1863"/>
      <c r="L33" s="1860"/>
      <c r="M33" s="1860"/>
    </row>
    <row r="34" spans="1:18" ht="18" customHeight="1">
      <c r="A34" s="1293" t="s">
        <v>1389</v>
      </c>
      <c r="B34" s="163" t="s">
        <v>1442</v>
      </c>
      <c r="C34" s="25">
        <f ca="1">IF(项目基本情况!B11="自然人","——",ROUND(F34*F35/10000,2))</f>
        <v>0.38</v>
      </c>
      <c r="D34" s="369" t="s">
        <v>1443</v>
      </c>
      <c r="E34" s="346" t="s">
        <v>1444</v>
      </c>
      <c r="F34" s="370">
        <f>'数据-取费表'!B52</f>
        <v>1.5</v>
      </c>
      <c r="G34" s="1852"/>
      <c r="H34" s="744"/>
      <c r="I34" s="1861"/>
      <c r="J34" s="1862"/>
      <c r="K34" s="1864"/>
      <c r="L34" s="1865"/>
      <c r="M34" s="1865"/>
    </row>
    <row r="35" spans="1:18" ht="18" customHeight="1">
      <c r="A35" s="1355"/>
      <c r="B35" s="1353"/>
      <c r="C35" s="29"/>
      <c r="D35" s="372"/>
      <c r="E35" s="346" t="s">
        <v>1448</v>
      </c>
      <c r="F35" s="347">
        <f ca="1">INDIRECT("'数据-取费表'!r"&amp;$G$1)</f>
        <v>2564.2600000000002</v>
      </c>
      <c r="G35" s="1852"/>
      <c r="H35" s="744"/>
      <c r="I35" s="1861"/>
      <c r="J35" s="1862"/>
      <c r="K35" s="1863"/>
      <c r="L35" s="1860"/>
      <c r="M35" s="1860"/>
    </row>
    <row r="36" spans="1:18" ht="18" customHeight="1">
      <c r="A36" s="1354" t="s">
        <v>1039</v>
      </c>
      <c r="B36" s="346" t="s">
        <v>1450</v>
      </c>
      <c r="C36" s="24">
        <f ca="1">ROUND(C29*F36,1)</f>
        <v>48.6</v>
      </c>
      <c r="D36" s="1799" t="s">
        <v>1483</v>
      </c>
      <c r="E36" s="346" t="s">
        <v>1423</v>
      </c>
      <c r="F36" s="373">
        <f ca="1">INDIRECT("'数据-取费表'!Ak"&amp;$G$1)</f>
        <v>1.4999999999999999E-2</v>
      </c>
      <c r="G36" s="1852"/>
      <c r="H36" s="1860"/>
      <c r="I36" s="1861"/>
      <c r="J36" s="1862"/>
      <c r="K36" s="750"/>
      <c r="L36" s="1860"/>
      <c r="M36" s="1860"/>
    </row>
    <row r="37" spans="1:18" ht="18" customHeight="1">
      <c r="A37" s="1203" t="s">
        <v>1075</v>
      </c>
      <c r="B37" s="346" t="s">
        <v>1454</v>
      </c>
      <c r="C37" s="24">
        <f ca="1">ROUND(C13*F37,1)</f>
        <v>4.9000000000000004</v>
      </c>
      <c r="D37" s="1799" t="s">
        <v>1455</v>
      </c>
      <c r="E37" s="346" t="s">
        <v>1456</v>
      </c>
      <c r="F37" s="375">
        <f ca="1">INDIRECT("'数据-取费表'!Al"&amp;$G$1)</f>
        <v>1.5E-3</v>
      </c>
      <c r="G37" s="1852"/>
      <c r="H37" s="1860"/>
      <c r="I37" s="1861"/>
      <c r="J37" s="1862"/>
      <c r="K37" s="750"/>
      <c r="L37" s="1860"/>
      <c r="M37" s="1860"/>
    </row>
    <row r="38" spans="1:18" ht="18" customHeight="1" thickBot="1">
      <c r="A38" s="1341" t="s">
        <v>1393</v>
      </c>
      <c r="B38" s="1342" t="s">
        <v>1440</v>
      </c>
      <c r="C38" s="1343">
        <f ca="1">ROUND(C5*F38,1)</f>
        <v>3.1</v>
      </c>
      <c r="D38" s="1344" t="s">
        <v>1460</v>
      </c>
      <c r="E38" s="1342" t="s">
        <v>1456</v>
      </c>
      <c r="F38" s="1338">
        <f ca="1">INDIRECT("'数据-取费表'!Am"&amp;$G$1)</f>
        <v>0.01</v>
      </c>
      <c r="G38" s="1852"/>
      <c r="H38" s="1860"/>
      <c r="I38" s="1861"/>
      <c r="J38" s="1862"/>
      <c r="K38" s="1866"/>
      <c r="L38" s="1860"/>
      <c r="M38" s="1860"/>
    </row>
    <row r="39" spans="1:18" ht="24.6" customHeight="1" thickTop="1">
      <c r="A39" s="1331" t="s">
        <v>1031</v>
      </c>
      <c r="B39" s="1346" t="s">
        <v>1484</v>
      </c>
      <c r="C39" s="354">
        <f ca="1">C5-C30</f>
        <v>206</v>
      </c>
      <c r="D39" s="1347" t="s">
        <v>1485</v>
      </c>
      <c r="E39" s="1348"/>
      <c r="F39" s="1349"/>
      <c r="G39" s="1852"/>
      <c r="H39" s="1860"/>
      <c r="I39" s="1861"/>
      <c r="J39" s="1862"/>
      <c r="K39" s="1866"/>
      <c r="L39" s="1860"/>
      <c r="M39" s="1860"/>
    </row>
    <row r="40" spans="1:18" ht="18" customHeight="1">
      <c r="A40" s="343" t="s">
        <v>1032</v>
      </c>
      <c r="B40" s="344" t="s">
        <v>1486</v>
      </c>
      <c r="C40" s="345">
        <f ca="1">ROUND(C39*(1-((1+F42)/(1+F40))^F41)/(F40-F42),0)</f>
        <v>5030</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45.71</v>
      </c>
      <c r="G41" s="1852"/>
      <c r="H41" s="731"/>
      <c r="I41" s="1861"/>
      <c r="J41" s="1862"/>
      <c r="K41" s="750"/>
      <c r="L41" s="731"/>
      <c r="M41" s="731"/>
    </row>
    <row r="42" spans="1:18" ht="18" customHeight="1">
      <c r="A42" s="352"/>
      <c r="B42" s="353"/>
      <c r="C42" s="354"/>
      <c r="D42" s="372"/>
      <c r="E42" s="346" t="s">
        <v>1478</v>
      </c>
      <c r="F42" s="356">
        <f ca="1">INDIRECT("'数据-取费表'!v"&amp;$G$1)</f>
        <v>2.5000000000000001E-2</v>
      </c>
      <c r="G42" s="1852"/>
      <c r="H42" s="731"/>
      <c r="I42" s="1861"/>
      <c r="J42" s="1862"/>
      <c r="K42" s="750"/>
      <c r="L42" s="731"/>
      <c r="M42" s="731"/>
    </row>
    <row r="43" spans="1:18" ht="18" customHeight="1" thickBot="1">
      <c r="A43" s="379" t="s">
        <v>1033</v>
      </c>
      <c r="B43" s="380" t="s">
        <v>1488</v>
      </c>
      <c r="C43" s="381">
        <f ca="1">ROUND(C40*10000/F43,0)</f>
        <v>5344</v>
      </c>
      <c r="D43" s="382" t="s">
        <v>1489</v>
      </c>
      <c r="E43" s="383" t="s">
        <v>1490</v>
      </c>
      <c r="F43" s="384">
        <f ca="1">INDIRECT("'数据-取费表'!k"&amp;$G$1)</f>
        <v>9413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-6375</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9" t="s">
        <v>1398</v>
      </c>
      <c r="D47" s="1199" t="s">
        <v>1399</v>
      </c>
      <c r="E47" s="1281" t="s">
        <v>1400</v>
      </c>
      <c r="F47" s="1282"/>
      <c r="G47" s="791"/>
      <c r="I47" s="1881" t="s">
        <v>1527</v>
      </c>
      <c r="J47" s="1882" t="s">
        <v>3267</v>
      </c>
      <c r="K47" s="1883" t="s">
        <v>1528</v>
      </c>
      <c r="L47" s="1884">
        <f ca="1">INDIRECT("'数据-取费表'!d"&amp;$G$1)</f>
        <v>50</v>
      </c>
      <c r="M47" s="1839" t="str">
        <f>IF(ISNUMBER(FIND("住宅",C1)),"住宅","非住宅")</f>
        <v>非住宅</v>
      </c>
      <c r="O47" s="1885" t="s">
        <v>1040</v>
      </c>
      <c r="P47" s="1886" t="s">
        <v>1529</v>
      </c>
      <c r="Q47" s="1887">
        <f ca="1">C40+J29</f>
        <v>5030</v>
      </c>
      <c r="R47" s="1887" t="s">
        <v>1530</v>
      </c>
    </row>
    <row r="48" spans="1:18" s="1843" customFormat="1" ht="28.5" thickBot="1">
      <c r="A48" s="1362" t="s">
        <v>1135</v>
      </c>
      <c r="B48" s="344" t="s">
        <v>1401</v>
      </c>
      <c r="C48" s="1818">
        <f ca="1">C49+C53+C55</f>
        <v>0</v>
      </c>
      <c r="D48" s="1364"/>
      <c r="E48" s="1365"/>
      <c r="F48" s="1183"/>
      <c r="G48" s="791"/>
      <c r="H48" s="792"/>
      <c r="I48" s="1888" t="s">
        <v>1531</v>
      </c>
      <c r="J48" s="1889" t="s">
        <v>3268</v>
      </c>
      <c r="K48" s="1890" t="s">
        <v>1532</v>
      </c>
      <c r="L48" s="1891">
        <f ca="1">INDIRECT("'数据-取费表'!f"&amp;$G$1)</f>
        <v>47.71</v>
      </c>
      <c r="O48" s="1885" t="s">
        <v>1041</v>
      </c>
      <c r="P48" s="1886" t="s">
        <v>1533</v>
      </c>
      <c r="Q48" s="1887" t="str">
        <f ca="1">J60</f>
        <v>0</v>
      </c>
      <c r="R48" s="1887" t="s">
        <v>1534</v>
      </c>
    </row>
    <row r="49" spans="1:18" s="1843" customFormat="1" ht="13.5" thickBot="1">
      <c r="A49" s="1196" t="s">
        <v>1136</v>
      </c>
      <c r="B49" s="1830" t="s">
        <v>1491</v>
      </c>
      <c r="C49" s="1366">
        <f ca="1">ROUND(F49*F51*F50*(1-F52)/10000,0)</f>
        <v>0</v>
      </c>
      <c r="D49" s="1278" t="s">
        <v>3033</v>
      </c>
      <c r="E49" s="1831" t="s">
        <v>1492</v>
      </c>
      <c r="F49" s="1283"/>
      <c r="G49" s="1892"/>
      <c r="H49" s="792"/>
      <c r="I49" s="1888" t="s">
        <v>1535</v>
      </c>
      <c r="J49" s="1893"/>
      <c r="K49" s="1890" t="s">
        <v>1536</v>
      </c>
      <c r="L49" s="1894"/>
      <c r="O49" s="1895" t="s">
        <v>1042</v>
      </c>
      <c r="P49" s="1886" t="s">
        <v>1537</v>
      </c>
      <c r="Q49" s="1887">
        <f ca="1">C29</f>
        <v>3239</v>
      </c>
      <c r="R49" s="1887" t="s">
        <v>1530</v>
      </c>
    </row>
    <row r="50" spans="1:18" s="1843" customFormat="1" ht="13.5" thickBot="1">
      <c r="A50" s="1197"/>
      <c r="B50" s="1200"/>
      <c r="C50" s="1370"/>
      <c r="D50" s="1174"/>
      <c r="E50" s="1279" t="s">
        <v>1406</v>
      </c>
      <c r="F50" s="1280">
        <f ca="1">F7</f>
        <v>268</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7">
        <f ca="1">F8</f>
        <v>12</v>
      </c>
      <c r="I51" s="1899" t="s">
        <v>1541</v>
      </c>
      <c r="J51" s="1900">
        <f>IF(J49="",J50,J49+J50-YEAR('数据-取费表'!B2))</f>
        <v>60</v>
      </c>
      <c r="K51" s="1901" t="s">
        <v>1542</v>
      </c>
      <c r="L51" s="1902">
        <f ca="1">ROUND(-PV(INDIRECT("'数据-取费表'!h"&amp;$G$1),L48,(C39-C13*C76),0),0)</f>
        <v>-1251</v>
      </c>
      <c r="M51" s="1903"/>
      <c r="O51" s="1895" t="s">
        <v>1044</v>
      </c>
      <c r="P51" s="1886" t="s">
        <v>1543</v>
      </c>
      <c r="Q51" s="1898">
        <f>J52</f>
        <v>0</v>
      </c>
      <c r="R51" s="1887"/>
    </row>
    <row r="52" spans="1:18" s="1843" customFormat="1" ht="13.5" thickBot="1">
      <c r="A52" s="1198"/>
      <c r="B52" s="1200"/>
      <c r="C52" s="1201"/>
      <c r="D52" s="1174"/>
      <c r="E52" s="1202" t="s">
        <v>1408</v>
      </c>
      <c r="F52" s="1277"/>
      <c r="I52" s="1904" t="s">
        <v>1544</v>
      </c>
      <c r="J52" s="1905"/>
      <c r="K52" s="1904" t="s">
        <v>1545</v>
      </c>
      <c r="L52" s="1905"/>
      <c r="O52" s="1895" t="s">
        <v>1045</v>
      </c>
      <c r="P52" s="1886" t="s">
        <v>1546</v>
      </c>
      <c r="Q52" s="1887">
        <f ca="1">J53</f>
        <v>45.71</v>
      </c>
      <c r="R52" s="1887" t="s">
        <v>1547</v>
      </c>
    </row>
    <row r="53" spans="1:18" s="1843" customFormat="1" ht="24.75" thickBot="1">
      <c r="A53" s="1406" t="s">
        <v>1137</v>
      </c>
      <c r="B53" s="1832" t="s">
        <v>1409</v>
      </c>
      <c r="C53" s="360">
        <f ca="1">ROUND(IF(F53="押一",F49*F51*F50/12*F11,IF(F53="押二",F49*F51*F50/12*2*F11,IF(F53="押三",F49*F51*F50/12*3*F11,C54*F11)))/10000,0)</f>
        <v>0</v>
      </c>
      <c r="D53" s="1825" t="s">
        <v>3031</v>
      </c>
      <c r="E53" s="357" t="s">
        <v>1411</v>
      </c>
      <c r="F53" s="1368"/>
      <c r="I53" s="1906" t="s">
        <v>1548</v>
      </c>
      <c r="J53" s="1907">
        <f ca="1">IF(M47="住宅",J51,IF(D1="——",MIN(J51,L48),IF(D1="在建（套用方法）",MIN(J51,L48-'数据-取费表'!B24),IF(D1="土地（套用方法）",MIN(J51,L48-'数据-取费表'!B20)))))</f>
        <v>45.71</v>
      </c>
      <c r="K53" s="3164" t="s">
        <v>1549</v>
      </c>
      <c r="L53" s="3165"/>
      <c r="O53" s="1885" t="s">
        <v>1046</v>
      </c>
      <c r="P53" s="1886" t="s">
        <v>1550</v>
      </c>
      <c r="Q53" s="1887">
        <f ca="1">Q47+Q48</f>
        <v>5030</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5" t="s">
        <v>1075</v>
      </c>
      <c r="B55" s="1828" t="s">
        <v>1414</v>
      </c>
      <c r="C55" s="1336"/>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5">
        <f ca="1">C13</f>
        <v>3239</v>
      </c>
      <c r="D56" s="1915"/>
      <c r="E56" s="1916"/>
      <c r="F56" s="1908"/>
      <c r="I56" s="1917" t="s">
        <v>1555</v>
      </c>
      <c r="J56" s="1918" t="s">
        <v>3042</v>
      </c>
      <c r="K56" s="1888" t="s">
        <v>1556</v>
      </c>
      <c r="L56" s="1891" t="str">
        <f ca="1">IF(L48&lt;J51,"——",L48-J53)</f>
        <v>——</v>
      </c>
      <c r="O56" s="1885" t="s">
        <v>1040</v>
      </c>
      <c r="P56" s="1886" t="s">
        <v>1529</v>
      </c>
      <c r="Q56" s="1887">
        <f ca="1">C40+J29</f>
        <v>5030</v>
      </c>
      <c r="R56" s="1887" t="s">
        <v>1530</v>
      </c>
    </row>
    <row r="57" spans="1:18" s="1843" customFormat="1" ht="24.75" thickBot="1">
      <c r="A57" s="1919"/>
      <c r="B57" s="1171" t="s">
        <v>1479</v>
      </c>
      <c r="C57" s="281">
        <f ca="1">C29</f>
        <v>3239</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9" t="s">
        <v>1425</v>
      </c>
      <c r="C58" s="360">
        <f ca="1">ROUND(C59+C64+C65+C66,0)</f>
        <v>81</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27.6</v>
      </c>
      <c r="D59" s="1184" t="s">
        <v>1431</v>
      </c>
      <c r="E59" s="1185" t="s">
        <v>1432</v>
      </c>
      <c r="F59" s="367"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27.21</v>
      </c>
      <c r="D61" s="1829" t="s">
        <v>1439</v>
      </c>
      <c r="E61" s="1171"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0.38</v>
      </c>
      <c r="D62" s="1186" t="s">
        <v>1498</v>
      </c>
      <c r="E62" s="1171" t="s">
        <v>1499</v>
      </c>
      <c r="F62" s="370">
        <f t="shared" si="0"/>
        <v>1.5</v>
      </c>
      <c r="I62" s="1930" t="s">
        <v>1571</v>
      </c>
      <c r="J62" s="1931" t="s">
        <v>1572</v>
      </c>
      <c r="K62" s="1931" t="s">
        <v>1573</v>
      </c>
      <c r="L62" s="1931" t="s">
        <v>1574</v>
      </c>
      <c r="M62" s="1932" t="s">
        <v>1575</v>
      </c>
      <c r="O62" s="1885" t="s">
        <v>1046</v>
      </c>
      <c r="P62" s="1886" t="s">
        <v>1576</v>
      </c>
      <c r="Q62" s="1887">
        <f ca="1">Q56+Q57</f>
        <v>5030</v>
      </c>
      <c r="R62" s="1887" t="s">
        <v>1047</v>
      </c>
    </row>
    <row r="63" spans="1:18" s="1843" customFormat="1" ht="13.5" thickBot="1">
      <c r="A63" s="371"/>
      <c r="B63" s="1177"/>
      <c r="C63" s="29"/>
      <c r="D63" s="1187"/>
      <c r="E63" s="1171" t="s">
        <v>1500</v>
      </c>
      <c r="F63" s="347">
        <f t="shared" ca="1" si="0"/>
        <v>2564.2600000000002</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48.6</v>
      </c>
      <c r="D64" s="1185" t="s">
        <v>1503</v>
      </c>
      <c r="E64" s="1171"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4.9000000000000004</v>
      </c>
      <c r="D65" s="1185" t="s">
        <v>1455</v>
      </c>
      <c r="E65" s="1171" t="s">
        <v>1456</v>
      </c>
      <c r="F65" s="375">
        <f t="shared" ca="1" si="0"/>
        <v>1.5E-3</v>
      </c>
      <c r="I65" s="1930" t="s">
        <v>1580</v>
      </c>
      <c r="J65" s="1931">
        <v>40</v>
      </c>
      <c r="K65" s="1931">
        <v>30</v>
      </c>
      <c r="L65" s="1931">
        <v>50</v>
      </c>
      <c r="M65" s="1933">
        <v>0.02</v>
      </c>
      <c r="O65" s="1885" t="s">
        <v>1040</v>
      </c>
      <c r="P65" s="1886" t="s">
        <v>1581</v>
      </c>
      <c r="Q65" s="1887">
        <f ca="1">C40+J29</f>
        <v>5030</v>
      </c>
      <c r="R65" s="1887" t="s">
        <v>1530</v>
      </c>
    </row>
    <row r="66" spans="1:18" s="1843" customFormat="1" ht="16.5" thickBot="1">
      <c r="A66" s="1203" t="s">
        <v>1505</v>
      </c>
      <c r="B66" s="1171" t="s">
        <v>1440</v>
      </c>
      <c r="C66" s="24">
        <f ca="1">ROUND(C48*F66,1)</f>
        <v>0</v>
      </c>
      <c r="D66" s="1185" t="s">
        <v>1506</v>
      </c>
      <c r="E66" s="1171" t="s">
        <v>1423</v>
      </c>
      <c r="F66" s="356">
        <f t="shared" ca="1" si="0"/>
        <v>0.01</v>
      </c>
      <c r="O66" s="1885" t="s">
        <v>1041</v>
      </c>
      <c r="P66" s="1886" t="s">
        <v>1559</v>
      </c>
      <c r="Q66" s="1887">
        <f ca="1">L60</f>
        <v>0</v>
      </c>
      <c r="R66" s="1887" t="s">
        <v>1582</v>
      </c>
    </row>
    <row r="67" spans="1:18" s="1843" customFormat="1" ht="16.5" thickBot="1">
      <c r="A67" s="1178" t="s">
        <v>1031</v>
      </c>
      <c r="B67" s="1188" t="s">
        <v>1464</v>
      </c>
      <c r="C67" s="360">
        <f ca="1">C48-C58</f>
        <v>-81</v>
      </c>
      <c r="D67" s="1184" t="s">
        <v>1465</v>
      </c>
      <c r="E67" s="1189"/>
      <c r="F67" s="1190"/>
      <c r="O67" s="1895" t="s">
        <v>1042</v>
      </c>
      <c r="P67" s="1886" t="s">
        <v>1563</v>
      </c>
      <c r="Q67" s="1934">
        <f ca="1">L51</f>
        <v>-1251</v>
      </c>
      <c r="R67" s="1887" t="s">
        <v>1583</v>
      </c>
    </row>
    <row r="68" spans="1:18" s="1843" customFormat="1" ht="16.5" thickBot="1">
      <c r="A68" s="1168" t="s">
        <v>1032</v>
      </c>
      <c r="B68" s="1169" t="s">
        <v>1486</v>
      </c>
      <c r="C68" s="345">
        <f ca="1">ROUND(C67*(1-((1+F70)/(1+F68))^F69)/(F68-F70),0)</f>
        <v>-1345</v>
      </c>
      <c r="D68" s="1186" t="s">
        <v>1470</v>
      </c>
      <c r="E68" s="1171" t="s">
        <v>1471</v>
      </c>
      <c r="F68" s="356">
        <f ca="1">F40</f>
        <v>5.5E-2</v>
      </c>
      <c r="O68" s="1895" t="s">
        <v>1043</v>
      </c>
      <c r="P68" s="1935" t="s">
        <v>1584</v>
      </c>
      <c r="Q68" s="1887">
        <f ca="1">ROUND(Q69-Q70*Q71,0)</f>
        <v>-69</v>
      </c>
      <c r="R68" s="1887" t="s">
        <v>1051</v>
      </c>
    </row>
    <row r="69" spans="1:18" s="1843" customFormat="1" ht="13.5" thickBot="1">
      <c r="A69" s="1172"/>
      <c r="B69" s="1173"/>
      <c r="C69" s="350"/>
      <c r="D69" s="1191" t="s">
        <v>1474</v>
      </c>
      <c r="E69" s="1171" t="s">
        <v>1475</v>
      </c>
      <c r="F69" s="378">
        <f ca="1">F41</f>
        <v>45.71</v>
      </c>
      <c r="O69" s="1895" t="s">
        <v>1048</v>
      </c>
      <c r="P69" s="1935" t="s">
        <v>1585</v>
      </c>
      <c r="Q69" s="1887">
        <f ca="1">C39</f>
        <v>206</v>
      </c>
      <c r="R69" s="1887" t="s">
        <v>1530</v>
      </c>
    </row>
    <row r="70" spans="1:18" s="1843" customFormat="1" ht="13.5" thickBot="1">
      <c r="A70" s="1175"/>
      <c r="B70" s="1176"/>
      <c r="C70" s="354"/>
      <c r="D70" s="1187"/>
      <c r="E70" s="1171" t="s">
        <v>1478</v>
      </c>
      <c r="F70" s="1277"/>
      <c r="O70" s="1895" t="s">
        <v>1049</v>
      </c>
      <c r="P70" s="1935" t="s">
        <v>1586</v>
      </c>
      <c r="Q70" s="1887">
        <f ca="1">C13</f>
        <v>3239</v>
      </c>
      <c r="R70" s="1887" t="s">
        <v>1530</v>
      </c>
    </row>
    <row r="71" spans="1:18" s="1843" customFormat="1" ht="13.5" thickBot="1">
      <c r="A71" s="1192" t="s">
        <v>1033</v>
      </c>
      <c r="B71" s="1193" t="s">
        <v>1488</v>
      </c>
      <c r="C71" s="381">
        <f ca="1">ROUND(C68*10000/F71,0)</f>
        <v>-1429</v>
      </c>
      <c r="D71" s="1194" t="s">
        <v>1489</v>
      </c>
      <c r="E71" s="1195" t="s">
        <v>1490</v>
      </c>
      <c r="F71" s="384">
        <f ca="1">F43</f>
        <v>9413</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275</v>
      </c>
      <c r="D75" s="1843"/>
      <c r="E75" s="1843"/>
      <c r="F75" s="1843"/>
      <c r="K75" s="1869"/>
      <c r="L75" s="1843"/>
      <c r="O75" s="1885" t="s">
        <v>1046</v>
      </c>
      <c r="P75" s="1886" t="s">
        <v>1550</v>
      </c>
      <c r="Q75" s="1887">
        <f ca="1">Q65+Q66</f>
        <v>5030</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-0.33499999999999996</v>
      </c>
    </row>
    <row r="80" spans="1:18">
      <c r="B80" s="385" t="s">
        <v>1512</v>
      </c>
      <c r="C80" s="317">
        <f ca="1">ROUND(C75/C39,3)</f>
        <v>1.335</v>
      </c>
    </row>
    <row r="81" spans="2:3">
      <c r="B81" s="313" t="s">
        <v>1513</v>
      </c>
      <c r="C81" s="281"/>
    </row>
    <row r="82" spans="2:3">
      <c r="B82" s="316" t="s">
        <v>1514</v>
      </c>
      <c r="C82" s="318">
        <f ca="1">1-C83</f>
        <v>0.35599999999999998</v>
      </c>
    </row>
    <row r="83" spans="2:3">
      <c r="B83" s="316" t="s">
        <v>1515</v>
      </c>
      <c r="C83" s="317">
        <f ca="1">ROUND(C13/C40,3)</f>
        <v>0.64400000000000002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4">
        <f ca="1">C6+C10+C12</f>
        <v>0</v>
      </c>
      <c r="D5" s="1823" t="s">
        <v>1602</v>
      </c>
      <c r="E5" s="1295"/>
      <c r="F5" s="1296"/>
      <c r="G5" s="1852"/>
      <c r="H5" s="343">
        <v>1</v>
      </c>
      <c r="I5" s="344" t="s">
        <v>1601</v>
      </c>
      <c r="J5" s="1294">
        <f ca="1">J6+J10+J12</f>
        <v>0</v>
      </c>
      <c r="K5" s="1823" t="s">
        <v>1602</v>
      </c>
      <c r="L5" s="1295"/>
      <c r="M5" s="1296"/>
    </row>
    <row r="6" spans="1:37" ht="18" customHeight="1">
      <c r="A6" s="1293" t="s">
        <v>1035</v>
      </c>
      <c r="B6" s="3166" t="s">
        <v>1403</v>
      </c>
      <c r="C6" s="1298">
        <f ca="1">ROUND(F6*F8*F7*(1-F9),0)</f>
        <v>0</v>
      </c>
      <c r="D6" s="163" t="s">
        <v>3025</v>
      </c>
      <c r="E6" s="346" t="s">
        <v>1405</v>
      </c>
      <c r="F6" s="347">
        <f ca="1">INDIRECT("'数据-取费表'!u"&amp;$G$1)</f>
        <v>0</v>
      </c>
      <c r="G6" s="1852"/>
      <c r="H6" s="1293" t="s">
        <v>1035</v>
      </c>
      <c r="I6" s="3166" t="s">
        <v>1403</v>
      </c>
      <c r="J6" s="345">
        <f ca="1">ROUND(M6*M8*M7*(1-M9),0)</f>
        <v>0</v>
      </c>
      <c r="K6" s="1835" t="s">
        <v>3028</v>
      </c>
      <c r="L6" s="346" t="s">
        <v>1405</v>
      </c>
      <c r="M6" s="347">
        <f ca="1">INDIRECT("'数据-取费表'!z"&amp;$G$1)</f>
        <v>0</v>
      </c>
    </row>
    <row r="7" spans="1:37" ht="18" customHeight="1">
      <c r="A7" s="1297"/>
      <c r="B7" s="3167"/>
      <c r="C7" s="1299"/>
      <c r="D7" s="351"/>
      <c r="E7" s="1300" t="s">
        <v>1406</v>
      </c>
      <c r="F7" s="347">
        <f ca="1">IF(INDIRECT("'数据-取费表'!ah"&amp;$G$1)="",INDIRECT("'数据-取费表'!k"&amp;$G$1),INDIRECT("'数据-取费表'!ah"&amp;$G$1))</f>
        <v>0</v>
      </c>
      <c r="G7" s="1852"/>
      <c r="H7" s="348"/>
      <c r="I7" s="3167"/>
      <c r="J7" s="350"/>
      <c r="K7" s="351"/>
      <c r="L7" s="346" t="s">
        <v>1406</v>
      </c>
      <c r="M7" s="347">
        <f ca="1">F7</f>
        <v>0</v>
      </c>
    </row>
    <row r="8" spans="1:37" ht="18" customHeight="1">
      <c r="A8" s="348"/>
      <c r="B8" s="3167"/>
      <c r="C8" s="350"/>
      <c r="D8" s="351"/>
      <c r="E8" s="346" t="s">
        <v>1407</v>
      </c>
      <c r="F8" s="347">
        <f ca="1">INDIRECT("'数据-取费表'!ai"&amp;$G$1)</f>
        <v>0</v>
      </c>
      <c r="G8" s="1852"/>
      <c r="H8" s="348"/>
      <c r="I8" s="3167"/>
      <c r="J8" s="350"/>
      <c r="K8" s="351"/>
      <c r="L8" s="346" t="s">
        <v>1407</v>
      </c>
      <c r="M8" s="347">
        <f ca="1">INDIRECT("'数据-取费表'!ai"&amp;$G$1)</f>
        <v>0</v>
      </c>
    </row>
    <row r="9" spans="1:37" ht="18" customHeight="1">
      <c r="A9" s="348"/>
      <c r="B9" s="3168"/>
      <c r="C9" s="350"/>
      <c r="D9" s="351"/>
      <c r="E9" s="346" t="s">
        <v>1408</v>
      </c>
      <c r="F9" s="356">
        <f ca="1">INDIRECT("'数据-取费表'!w"&amp;$G$1)</f>
        <v>0</v>
      </c>
      <c r="G9" s="1852"/>
      <c r="H9" s="348"/>
      <c r="I9" s="3168"/>
      <c r="J9" s="350"/>
      <c r="K9" s="351"/>
      <c r="L9" s="357" t="s">
        <v>1408</v>
      </c>
      <c r="M9" s="358">
        <f ca="1">INDIRECT("'数据-取费表'!ab"&amp;$G$1)</f>
        <v>0</v>
      </c>
    </row>
    <row r="10" spans="1:37" ht="18" customHeight="1">
      <c r="A10" s="1293" t="s">
        <v>1039</v>
      </c>
      <c r="B10" s="1824" t="s">
        <v>1409</v>
      </c>
      <c r="C10" s="360">
        <f ca="1">ROUND(IF(F10="押一",F6*F8*F7/12*F11,IF(F10="押二",F6*F8*F7/12*2*F11,IF(F10="押三",F6*F8*F7/12*3*F11,C11*F11))),0)</f>
        <v>0</v>
      </c>
      <c r="D10" s="1825" t="s">
        <v>3026</v>
      </c>
      <c r="E10" s="357" t="s">
        <v>1411</v>
      </c>
      <c r="F10" s="1368"/>
      <c r="G10" s="1852"/>
      <c r="H10" s="1293" t="s">
        <v>1039</v>
      </c>
      <c r="I10" s="1824" t="s">
        <v>1409</v>
      </c>
      <c r="J10" s="345">
        <f ca="1">ROUND(IF(M10="押一",M6*M8*M7/12*M11,IF(M10="押二",M6*M8*M7/12*2*M11,IF(M10="押三",M6*M8*M7/12*3*M11,J11*M11))),0)</f>
        <v>0</v>
      </c>
      <c r="K10" s="1836" t="s">
        <v>3027</v>
      </c>
      <c r="L10" s="357" t="s">
        <v>1411</v>
      </c>
      <c r="M10" s="1368"/>
    </row>
    <row r="11" spans="1:37" ht="18" customHeight="1">
      <c r="A11" s="352"/>
      <c r="B11" s="1826" t="s">
        <v>1603</v>
      </c>
      <c r="C11" s="1180"/>
      <c r="D11" s="351"/>
      <c r="E11" s="357" t="s">
        <v>1413</v>
      </c>
      <c r="F11" s="358">
        <f ca="1">'数据-取费表'!B39</f>
        <v>1.4999999999999999E-2</v>
      </c>
      <c r="G11" s="1852"/>
      <c r="H11" s="1301"/>
      <c r="I11" s="1826" t="s">
        <v>1604</v>
      </c>
      <c r="J11" s="1180"/>
      <c r="K11" s="747"/>
      <c r="L11" s="357" t="s">
        <v>1413</v>
      </c>
      <c r="M11" s="1058">
        <f ca="1">'数据-取费表'!B39</f>
        <v>1.4999999999999999E-2</v>
      </c>
    </row>
    <row r="12" spans="1:37" ht="18" customHeight="1" thickBot="1">
      <c r="A12" s="1335" t="s">
        <v>1075</v>
      </c>
      <c r="B12" s="1828" t="s">
        <v>1414</v>
      </c>
      <c r="C12" s="1336"/>
      <c r="D12" s="1337"/>
      <c r="E12" s="1342"/>
      <c r="F12" s="1338"/>
      <c r="G12" s="1852"/>
      <c r="H12" s="1335" t="s">
        <v>1075</v>
      </c>
      <c r="I12" s="1828" t="s">
        <v>1414</v>
      </c>
      <c r="J12" s="1336"/>
      <c r="K12" s="1350"/>
      <c r="L12" s="1342"/>
      <c r="M12" s="1351"/>
    </row>
    <row r="13" spans="1:37" ht="18" customHeight="1" thickTop="1">
      <c r="A13" s="1331">
        <v>2</v>
      </c>
      <c r="B13" s="1332" t="s">
        <v>1415</v>
      </c>
      <c r="C13" s="354">
        <f ca="1">ROUND(C29*F13,0)</f>
        <v>0</v>
      </c>
      <c r="D13" s="1333" t="s">
        <v>1416</v>
      </c>
      <c r="E13" s="1333" t="s">
        <v>1417</v>
      </c>
      <c r="F13" s="1334">
        <f ca="1">INDIRECT("'数据-取费表'!y"&amp;$G$1)</f>
        <v>0</v>
      </c>
      <c r="G13" s="1852"/>
      <c r="H13" s="1331">
        <v>2</v>
      </c>
      <c r="I13" s="1332" t="s">
        <v>1415</v>
      </c>
      <c r="J13" s="1292">
        <f ca="1">ROUND(J14*J15,0)</f>
        <v>0</v>
      </c>
      <c r="K13" s="1339" t="s">
        <v>1416</v>
      </c>
      <c r="L13" s="1853"/>
      <c r="M13" s="1854"/>
    </row>
    <row r="14" spans="1:37" ht="18" customHeight="1">
      <c r="A14" s="1203" t="s">
        <v>1034</v>
      </c>
      <c r="B14" s="346" t="s">
        <v>1418</v>
      </c>
      <c r="C14" s="362">
        <f ca="1">ROUND(INDIRECT("'数据-取费表'!l"&amp;$G$1)*F43+'数据-取费表'!L14*INDIRECT("'数据-取费表'!S"&amp;$G$1),0)</f>
        <v>0</v>
      </c>
      <c r="D14" s="1801" t="s">
        <v>1419</v>
      </c>
      <c r="E14" s="1795"/>
      <c r="F14" s="363"/>
      <c r="G14" s="1852"/>
      <c r="H14" s="1203" t="s">
        <v>1035</v>
      </c>
      <c r="I14" s="346" t="s">
        <v>1420</v>
      </c>
      <c r="J14" s="24">
        <f ca="1">C29</f>
        <v>0</v>
      </c>
      <c r="K14" s="15"/>
      <c r="L14" s="981"/>
      <c r="M14" s="982"/>
    </row>
    <row r="15" spans="1:37" s="1859" customFormat="1" ht="18" customHeight="1" thickBot="1">
      <c r="A15" s="1203" t="s">
        <v>1036</v>
      </c>
      <c r="B15" s="346" t="s">
        <v>1421</v>
      </c>
      <c r="C15" s="24">
        <f ca="1">ROUND(C14*F15,0)</f>
        <v>0</v>
      </c>
      <c r="D15" s="364" t="s">
        <v>1422</v>
      </c>
      <c r="E15" s="364" t="s">
        <v>1423</v>
      </c>
      <c r="F15" s="365">
        <f>'数据-取费表'!B33</f>
        <v>0.03</v>
      </c>
      <c r="G15" s="1855"/>
      <c r="H15" s="1341" t="s">
        <v>1039</v>
      </c>
      <c r="I15" s="1342" t="s">
        <v>1417</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ROUND(INDIRECT("'数据-取费表'!l"&amp;$G$1)*F43*F16,0)</f>
        <v>0</v>
      </c>
      <c r="D16" s="346" t="s">
        <v>1422</v>
      </c>
      <c r="E16" s="346" t="s">
        <v>1423</v>
      </c>
      <c r="F16" s="366">
        <f ca="1">IF(INDIRECT("'数据-取费表'!c"&amp;$G$1)="住宅",'数据-取费表'!B34,0)</f>
        <v>0</v>
      </c>
      <c r="G16" s="1852"/>
      <c r="H16" s="1331" t="s">
        <v>1030</v>
      </c>
      <c r="I16" s="1332" t="s">
        <v>1425</v>
      </c>
      <c r="J16" s="354">
        <f ca="1">ROUND(J17+J22+J23+J24,0)</f>
        <v>0</v>
      </c>
      <c r="K16" s="1339" t="s">
        <v>1426</v>
      </c>
      <c r="L16" s="1340"/>
      <c r="M16" s="1296"/>
    </row>
    <row r="17" spans="1:37" s="1859" customFormat="1" ht="18" customHeight="1">
      <c r="A17" s="1203" t="s">
        <v>1390</v>
      </c>
      <c r="B17" s="346" t="s">
        <v>1427</v>
      </c>
      <c r="C17" s="24">
        <f ca="1">ROUND(F17*(F43+INDIRECT("'数据-取费表'!S"&amp;$G$1)),0)</f>
        <v>0</v>
      </c>
      <c r="D17" s="346" t="s">
        <v>1428</v>
      </c>
      <c r="E17" s="346" t="s">
        <v>1429</v>
      </c>
      <c r="F17" s="26">
        <f>'数据-取费表'!B35</f>
        <v>200</v>
      </c>
      <c r="G17" s="1855"/>
      <c r="H17" s="1203" t="s">
        <v>1035</v>
      </c>
      <c r="I17" s="346" t="s">
        <v>1430</v>
      </c>
      <c r="J17" s="24">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0</v>
      </c>
      <c r="D18" s="346" t="s">
        <v>1422</v>
      </c>
      <c r="E18" s="346" t="s">
        <v>1423</v>
      </c>
      <c r="F18" s="366">
        <f>'数据-取费表'!B36</f>
        <v>1.4999999999999999E-2</v>
      </c>
      <c r="G18" s="1855"/>
      <c r="H18" s="1203"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0</v>
      </c>
      <c r="D19" s="139" t="s">
        <v>1437</v>
      </c>
      <c r="E19" s="1819"/>
      <c r="F19" s="26"/>
      <c r="G19" s="1852"/>
      <c r="H19" s="1203"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3" t="s">
        <v>1039</v>
      </c>
      <c r="B20" s="346" t="s">
        <v>1440</v>
      </c>
      <c r="C20" s="24">
        <f ca="1">ROUND(C19*F20,0)</f>
        <v>0</v>
      </c>
      <c r="D20" s="368" t="s">
        <v>1441</v>
      </c>
      <c r="E20" s="346" t="s">
        <v>1423</v>
      </c>
      <c r="F20" s="366">
        <f>'数据-取费表'!B37</f>
        <v>1.4999999999999999E-2</v>
      </c>
      <c r="G20" s="1855"/>
      <c r="H20" s="1203" t="s">
        <v>1389</v>
      </c>
      <c r="I20" s="163" t="s">
        <v>1442</v>
      </c>
      <c r="J20" s="25">
        <f ca="1">ROUND(M20*M21,0)</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v>
      </c>
      <c r="D21" s="368" t="s">
        <v>1446</v>
      </c>
      <c r="E21" s="346" t="s">
        <v>1447</v>
      </c>
      <c r="F21" s="366">
        <f>'数据-取费表'!B38</f>
        <v>1.4999999999999999E-2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19"/>
      <c r="F22" s="26"/>
      <c r="G22" s="1852"/>
      <c r="H22" s="1203" t="s">
        <v>1039</v>
      </c>
      <c r="I22" s="346" t="s">
        <v>1450</v>
      </c>
      <c r="J22" s="24">
        <f ca="1">ROUND(J14*M22,0)</f>
        <v>0</v>
      </c>
      <c r="K22" s="1799" t="s">
        <v>1451</v>
      </c>
      <c r="L22" s="346" t="s">
        <v>1423</v>
      </c>
      <c r="M22" s="373">
        <f ca="1">INDIRECT("'数据-取费表'!Ak"&amp;$G$1)</f>
        <v>0</v>
      </c>
    </row>
    <row r="23" spans="1:37" s="1859"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5"/>
      <c r="H23" s="1203"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5"/>
      <c r="H24" s="1341" t="s">
        <v>1393</v>
      </c>
      <c r="I24" s="1342" t="s">
        <v>1440</v>
      </c>
      <c r="J24" s="1343">
        <f ca="1">ROUND(J5*M24,0)</f>
        <v>0</v>
      </c>
      <c r="K24" s="1344" t="s">
        <v>1460</v>
      </c>
      <c r="L24" s="1342" t="s">
        <v>1456</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6" t="s">
        <v>1462</v>
      </c>
      <c r="C25" s="24"/>
      <c r="D25" s="139" t="s">
        <v>1463</v>
      </c>
      <c r="E25" s="1819"/>
      <c r="F25" s="26"/>
      <c r="G25" s="1852"/>
      <c r="H25" s="1331" t="s">
        <v>1031</v>
      </c>
      <c r="I25" s="1346" t="s">
        <v>1464</v>
      </c>
      <c r="J25" s="354">
        <f ca="1">J5-J16</f>
        <v>0</v>
      </c>
      <c r="K25" s="1347" t="s">
        <v>1465</v>
      </c>
      <c r="L25" s="1348"/>
      <c r="M25" s="1349"/>
    </row>
    <row r="26" spans="1:37" ht="18" customHeight="1">
      <c r="A26" s="1203"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1479</v>
      </c>
      <c r="C29" s="1343">
        <f ca="1">ROUND((C19+C20+C23+C26)/(1-F21-C24-C27-C28),0)</f>
        <v>0</v>
      </c>
      <c r="D29" s="1344"/>
      <c r="E29" s="1342"/>
      <c r="F29" s="1345"/>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1425</v>
      </c>
      <c r="C30" s="354">
        <f ca="1">ROUND(C31+C36+C37+C38,0)</f>
        <v>0</v>
      </c>
      <c r="D30" s="1339" t="s">
        <v>1426</v>
      </c>
      <c r="E30" s="1340"/>
      <c r="F30" s="1296"/>
      <c r="G30" s="1852"/>
      <c r="H30" s="744"/>
      <c r="I30" s="745"/>
      <c r="J30" s="746"/>
      <c r="K30" s="747"/>
      <c r="L30" s="748"/>
      <c r="M30" s="749"/>
    </row>
    <row r="31" spans="1:37" ht="18" customHeight="1">
      <c r="A31" s="1203" t="s">
        <v>1035</v>
      </c>
      <c r="B31" s="346" t="s">
        <v>1430</v>
      </c>
      <c r="C31" s="24">
        <f ca="1">ROUND(IF(项目基本情况!B11="自然人",C5*F31,C32+C33+C34),0)</f>
        <v>0</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3"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3" t="s">
        <v>1389</v>
      </c>
      <c r="B34" s="163" t="s">
        <v>1442</v>
      </c>
      <c r="C34" s="25">
        <f ca="1">IF(项目基本情况!B11="自然人","——",ROUND(F34*F35,))</f>
        <v>0</v>
      </c>
      <c r="D34" s="369" t="s">
        <v>1443</v>
      </c>
      <c r="E34" s="346" t="s">
        <v>1444</v>
      </c>
      <c r="F34" s="370">
        <f>'数据-取费表'!B52</f>
        <v>1.5</v>
      </c>
      <c r="G34" s="1852"/>
      <c r="H34" s="744"/>
      <c r="I34" s="1861"/>
      <c r="J34" s="1862"/>
      <c r="K34" s="1864"/>
      <c r="L34" s="1865"/>
      <c r="M34" s="1865"/>
    </row>
    <row r="35" spans="1:18" ht="18" customHeight="1">
      <c r="A35" s="1355"/>
      <c r="B35" s="1353"/>
      <c r="C35" s="29"/>
      <c r="D35" s="372"/>
      <c r="E35" s="346" t="s">
        <v>1448</v>
      </c>
      <c r="F35" s="347">
        <f ca="1">INDIRECT("'数据-取费表'!r"&amp;$G$1)</f>
        <v>0</v>
      </c>
      <c r="G35" s="1852"/>
      <c r="H35" s="744"/>
      <c r="I35" s="1861"/>
      <c r="J35" s="1862"/>
      <c r="K35" s="1863"/>
      <c r="L35" s="1860"/>
      <c r="M35" s="1860"/>
    </row>
    <row r="36" spans="1:18" ht="18" customHeight="1">
      <c r="A36" s="1354"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3"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1" t="s">
        <v>1393</v>
      </c>
      <c r="B38" s="1342" t="s">
        <v>1440</v>
      </c>
      <c r="C38" s="1343">
        <f ca="1">ROUND(C5*F38,1)</f>
        <v>0</v>
      </c>
      <c r="D38" s="1344" t="s">
        <v>1460</v>
      </c>
      <c r="E38" s="1342" t="s">
        <v>1456</v>
      </c>
      <c r="F38" s="1338">
        <f ca="1">INDIRECT("'数据-取费表'!Am"&amp;$G$1)</f>
        <v>0</v>
      </c>
      <c r="G38" s="1852"/>
      <c r="H38" s="1860"/>
      <c r="I38" s="1861"/>
      <c r="J38" s="1862"/>
      <c r="K38" s="1866"/>
      <c r="L38" s="1860"/>
      <c r="M38" s="1860"/>
    </row>
    <row r="39" spans="1:18" ht="24.6" customHeight="1" thickTop="1">
      <c r="A39" s="1331" t="s">
        <v>1031</v>
      </c>
      <c r="B39" s="1346" t="s">
        <v>1484</v>
      </c>
      <c r="C39" s="354">
        <f ca="1">C5-C30</f>
        <v>0</v>
      </c>
      <c r="D39" s="1347" t="s">
        <v>1485</v>
      </c>
      <c r="E39" s="1348"/>
      <c r="F39" s="1349"/>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7" t="s">
        <v>1396</v>
      </c>
      <c r="B47" s="1199" t="s">
        <v>1397</v>
      </c>
      <c r="C47" s="1199" t="s">
        <v>1398</v>
      </c>
      <c r="D47" s="1199" t="s">
        <v>1399</v>
      </c>
      <c r="E47" s="1281" t="s">
        <v>1400</v>
      </c>
      <c r="F47" s="1282"/>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2" t="s">
        <v>1135</v>
      </c>
      <c r="B48" s="344" t="s">
        <v>1401</v>
      </c>
      <c r="C48" s="1818">
        <f ca="1">C49+C53+C55</f>
        <v>0</v>
      </c>
      <c r="D48" s="1364"/>
      <c r="E48" s="1365"/>
      <c r="F48" s="1183"/>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6" t="s">
        <v>1136</v>
      </c>
      <c r="B49" s="1830" t="s">
        <v>1491</v>
      </c>
      <c r="C49" s="1366">
        <f ca="1">ROUND(F49*F51*F50*(1-F52),0)</f>
        <v>0</v>
      </c>
      <c r="D49" s="1278" t="s">
        <v>1404</v>
      </c>
      <c r="E49" s="1831" t="s">
        <v>1492</v>
      </c>
      <c r="F49" s="1283"/>
      <c r="G49" s="1892"/>
      <c r="H49" s="792"/>
      <c r="I49" s="1888" t="s">
        <v>1535</v>
      </c>
      <c r="J49" s="1893"/>
      <c r="K49" s="1890" t="s">
        <v>1536</v>
      </c>
      <c r="L49" s="1894"/>
      <c r="O49" s="1895" t="s">
        <v>1042</v>
      </c>
      <c r="P49" s="1886" t="s">
        <v>1537</v>
      </c>
      <c r="Q49" s="1887">
        <f ca="1">C29</f>
        <v>0</v>
      </c>
      <c r="R49" s="1887" t="s">
        <v>1530</v>
      </c>
    </row>
    <row r="50" spans="1:18" s="1843" customFormat="1" ht="13.5" thickBot="1">
      <c r="A50" s="1197"/>
      <c r="B50" s="1200"/>
      <c r="C50" s="1201"/>
      <c r="D50" s="1174"/>
      <c r="E50" s="1279" t="s">
        <v>1406</v>
      </c>
      <c r="F50" s="1280">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8"/>
      <c r="B51" s="1200"/>
      <c r="C51" s="1201"/>
      <c r="D51" s="1174"/>
      <c r="E51" s="1202"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8"/>
      <c r="B52" s="1200"/>
      <c r="C52" s="1201"/>
      <c r="D52" s="1174"/>
      <c r="E52" s="1202" t="s">
        <v>1408</v>
      </c>
      <c r="F52" s="1277"/>
      <c r="I52" s="1904" t="s">
        <v>1544</v>
      </c>
      <c r="J52" s="1905"/>
      <c r="K52" s="1904" t="s">
        <v>1545</v>
      </c>
      <c r="L52" s="1905"/>
      <c r="O52" s="1895" t="s">
        <v>1045</v>
      </c>
      <c r="P52" s="1886" t="s">
        <v>1546</v>
      </c>
      <c r="Q52" s="1887" t="b">
        <f>J53</f>
        <v>0</v>
      </c>
      <c r="R52" s="1887" t="s">
        <v>1547</v>
      </c>
    </row>
    <row r="53" spans="1:18" s="1843" customFormat="1" ht="30.75" customHeight="1" thickBot="1">
      <c r="A53" s="1363" t="s">
        <v>1137</v>
      </c>
      <c r="B53" s="368" t="s">
        <v>1409</v>
      </c>
      <c r="C53" s="360">
        <f ca="1">ROUND(IF(F53="押一",F49*F51*F50/12*F11,IF(F53="押二",F49*F51*F50/12*2*F11,IF(F53="押三",F49*F51*F50/12*3*F11,C54*F11))),0)</f>
        <v>0</v>
      </c>
      <c r="D53" s="1825" t="s">
        <v>1410</v>
      </c>
      <c r="E53" s="357" t="s">
        <v>1411</v>
      </c>
      <c r="F53" s="1368"/>
      <c r="I53" s="1906" t="s">
        <v>1548</v>
      </c>
      <c r="J53" s="1907" t="b">
        <f>IF(M47="住宅",J51,IF(D1="——",MIN(J51,L48),IF(D1="在建（套用方法）",MIN(J51,L48-'数据-取费表'!B24),IF(D1="土地（套用方法）",MIN(J51,L48-'数据-取费表'!B20)))))</f>
        <v>0</v>
      </c>
      <c r="K53" s="3164" t="s">
        <v>1549</v>
      </c>
      <c r="L53" s="3165"/>
      <c r="O53" s="1885" t="s">
        <v>1046</v>
      </c>
      <c r="P53" s="1886" t="s">
        <v>1550</v>
      </c>
      <c r="Q53" s="1887" t="e">
        <f ca="1">Q47+Q48</f>
        <v>#DIV/0!</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5" t="s">
        <v>1075</v>
      </c>
      <c r="B55" s="1828" t="s">
        <v>1414</v>
      </c>
      <c r="C55" s="1336"/>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8">
        <v>2</v>
      </c>
      <c r="B56" s="1179"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1"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9" t="s">
        <v>1425</v>
      </c>
      <c r="C58" s="360">
        <f ca="1">ROUND(C59+C64+C65+C66,0)</f>
        <v>0</v>
      </c>
      <c r="D58" s="1181" t="s">
        <v>1426</v>
      </c>
      <c r="E58" s="1182"/>
      <c r="F58" s="1183"/>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0</v>
      </c>
      <c r="D59" s="1184" t="s">
        <v>1431</v>
      </c>
      <c r="E59" s="1185" t="s">
        <v>1432</v>
      </c>
      <c r="F59" s="367"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0</v>
      </c>
      <c r="D61" s="1829" t="s">
        <v>1439</v>
      </c>
      <c r="E61" s="1171"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IF(项目基本情况!B11="自然人","——",ROUND(F62*F63,0))</f>
        <v>0</v>
      </c>
      <c r="D62" s="1186" t="s">
        <v>1498</v>
      </c>
      <c r="E62" s="1171" t="s">
        <v>1499</v>
      </c>
      <c r="F62" s="370">
        <f t="shared" si="0"/>
        <v>1.5</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7"/>
      <c r="C63" s="29"/>
      <c r="D63" s="1187"/>
      <c r="E63" s="1171"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0</v>
      </c>
      <c r="D64" s="1185" t="s">
        <v>1503</v>
      </c>
      <c r="E64" s="1171"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0</v>
      </c>
      <c r="D65" s="1185" t="s">
        <v>1455</v>
      </c>
      <c r="E65" s="1171"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3" t="s">
        <v>1505</v>
      </c>
      <c r="B66" s="1171" t="s">
        <v>1440</v>
      </c>
      <c r="C66" s="24">
        <f ca="1">ROUND(C48*F66,0)</f>
        <v>0</v>
      </c>
      <c r="D66" s="1185" t="s">
        <v>1506</v>
      </c>
      <c r="E66" s="1171" t="s">
        <v>1423</v>
      </c>
      <c r="F66" s="356">
        <f t="shared" ca="1" si="0"/>
        <v>0</v>
      </c>
      <c r="O66" s="1885" t="s">
        <v>1041</v>
      </c>
      <c r="P66" s="1886" t="s">
        <v>1559</v>
      </c>
      <c r="Q66" s="1887" t="e">
        <f ca="1">L60</f>
        <v>#DIV/0!</v>
      </c>
      <c r="R66" s="1887" t="s">
        <v>1582</v>
      </c>
    </row>
    <row r="67" spans="1:18" s="1843" customFormat="1" ht="16.5" thickBot="1">
      <c r="A67" s="1178" t="s">
        <v>1031</v>
      </c>
      <c r="B67" s="1188" t="s">
        <v>1464</v>
      </c>
      <c r="C67" s="360">
        <f ca="1">C48-C58</f>
        <v>0</v>
      </c>
      <c r="D67" s="1184" t="s">
        <v>1465</v>
      </c>
      <c r="E67" s="1189"/>
      <c r="F67" s="1190"/>
      <c r="O67" s="1895" t="s">
        <v>1042</v>
      </c>
      <c r="P67" s="1886" t="s">
        <v>1563</v>
      </c>
      <c r="Q67" s="1934">
        <f ca="1">L51</f>
        <v>0</v>
      </c>
      <c r="R67" s="1887" t="s">
        <v>1583</v>
      </c>
    </row>
    <row r="68" spans="1:18" s="1843" customFormat="1" ht="16.5" thickBot="1">
      <c r="A68" s="1168" t="s">
        <v>1032</v>
      </c>
      <c r="B68" s="1169" t="s">
        <v>1486</v>
      </c>
      <c r="C68" s="345" t="e">
        <f ca="1">ROUND(C67*(1-((1+F70)/(1+F68))^F69)/(F68-F70),0)</f>
        <v>#DIV/0!</v>
      </c>
      <c r="D68" s="1186" t="s">
        <v>1470</v>
      </c>
      <c r="E68" s="1171" t="s">
        <v>1471</v>
      </c>
      <c r="F68" s="356">
        <f ca="1">F40</f>
        <v>0</v>
      </c>
      <c r="O68" s="1895" t="s">
        <v>1043</v>
      </c>
      <c r="P68" s="1935" t="s">
        <v>1584</v>
      </c>
      <c r="Q68" s="1887">
        <f ca="1">ROUND(Q69-Q70*Q71,0)</f>
        <v>0</v>
      </c>
      <c r="R68" s="1887" t="s">
        <v>1051</v>
      </c>
    </row>
    <row r="69" spans="1:18" s="1843" customFormat="1" ht="13.5" thickBot="1">
      <c r="A69" s="1172"/>
      <c r="B69" s="1173"/>
      <c r="C69" s="350"/>
      <c r="D69" s="1191" t="s">
        <v>1474</v>
      </c>
      <c r="E69" s="1171" t="s">
        <v>1475</v>
      </c>
      <c r="F69" s="378">
        <f ca="1">F41</f>
        <v>0</v>
      </c>
      <c r="O69" s="1895" t="s">
        <v>1048</v>
      </c>
      <c r="P69" s="1935" t="s">
        <v>1585</v>
      </c>
      <c r="Q69" s="1887">
        <f ca="1">C39</f>
        <v>0</v>
      </c>
      <c r="R69" s="1887" t="s">
        <v>1530</v>
      </c>
    </row>
    <row r="70" spans="1:18" s="1843" customFormat="1" ht="13.5" thickBot="1">
      <c r="A70" s="1175"/>
      <c r="B70" s="1176"/>
      <c r="C70" s="354"/>
      <c r="D70" s="1187"/>
      <c r="E70" s="1171" t="s">
        <v>1478</v>
      </c>
      <c r="F70" s="1277">
        <f ca="1">F42</f>
        <v>0</v>
      </c>
      <c r="O70" s="1895" t="s">
        <v>1049</v>
      </c>
      <c r="P70" s="1935" t="s">
        <v>1586</v>
      </c>
      <c r="Q70" s="1887">
        <f ca="1">C13</f>
        <v>0</v>
      </c>
      <c r="R70" s="1887" t="s">
        <v>1530</v>
      </c>
    </row>
    <row r="71" spans="1:18" s="1843" customFormat="1" ht="13.5" thickBot="1">
      <c r="A71" s="1192" t="s">
        <v>1033</v>
      </c>
      <c r="B71" s="1193" t="s">
        <v>1488</v>
      </c>
      <c r="C71" s="381" t="e">
        <f ca="1">ROUND(C68/F71,0)</f>
        <v>#DIV/0!</v>
      </c>
      <c r="D71" s="1194" t="s">
        <v>1489</v>
      </c>
      <c r="E71" s="1195"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2521</v>
      </c>
      <c r="B1" s="2563"/>
      <c r="C1" s="2563"/>
      <c r="D1" s="2563"/>
      <c r="E1" s="2564"/>
    </row>
    <row r="2" spans="1:6" ht="15.75">
      <c r="A2" s="2565" t="s">
        <v>2325</v>
      </c>
      <c r="B2" s="2566">
        <f ca="1">SUMIF(B6:B13,"&lt;&gt;#ref!",B6:B13)</f>
        <v>5030</v>
      </c>
      <c r="C2" s="2567" t="s">
        <v>2514</v>
      </c>
      <c r="D2" s="2568" t="s">
        <v>2515</v>
      </c>
      <c r="E2" s="2569">
        <f>SUM(E6:E13)</f>
        <v>9413</v>
      </c>
    </row>
    <row r="3" spans="1:6" ht="15.75">
      <c r="A3" s="2565" t="s">
        <v>1395</v>
      </c>
      <c r="B3" s="2566">
        <f ca="1">ROUND(B2*10000/E2,0)</f>
        <v>5344</v>
      </c>
      <c r="C3" s="2567" t="s">
        <v>2522</v>
      </c>
      <c r="D3" s="2570"/>
      <c r="E3" s="2571"/>
    </row>
    <row r="4" spans="1:6" ht="15.75">
      <c r="A4" s="2572"/>
      <c r="B4" s="2570"/>
      <c r="C4" s="2570"/>
      <c r="D4" s="2570"/>
      <c r="E4" s="2571"/>
    </row>
    <row r="5" spans="1:6" ht="15">
      <c r="A5" s="2573" t="s">
        <v>2516</v>
      </c>
      <c r="B5" s="3169" t="s">
        <v>2517</v>
      </c>
      <c r="C5" s="3169"/>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收益法（车库）</v>
      </c>
      <c r="B7" s="2576">
        <f ca="1">IF(F7="是",'数据-取费表'!AO7,0)</f>
        <v>5030</v>
      </c>
      <c r="C7" s="2567" t="s">
        <v>2514</v>
      </c>
      <c r="D7" s="2570"/>
      <c r="E7" s="2578">
        <f>IF(OR(A7=0,F7="否"),0,'数据-取费表'!K7+'数据-取费表'!S7)</f>
        <v>9413</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1076</v>
      </c>
      <c r="B1" s="3187"/>
      <c r="C1" s="3188"/>
      <c r="D1" s="3189">
        <f>SUM(I10,I15,I20,I21,I23)</f>
        <v>0</v>
      </c>
      <c r="E1" s="3189"/>
      <c r="F1" s="3189"/>
      <c r="G1" s="3189"/>
      <c r="H1" s="3189"/>
      <c r="I1" s="3190"/>
    </row>
    <row r="2" spans="1:9">
      <c r="A2" s="3176" t="s">
        <v>1077</v>
      </c>
      <c r="B2" s="3177" t="s">
        <v>1078</v>
      </c>
      <c r="C2" s="3177"/>
      <c r="D2" s="1303" t="s">
        <v>1079</v>
      </c>
      <c r="E2" s="1303" t="s">
        <v>1080</v>
      </c>
      <c r="F2" s="1303" t="s">
        <v>1081</v>
      </c>
      <c r="G2" s="1303" t="s">
        <v>1082</v>
      </c>
      <c r="H2" s="1303" t="s">
        <v>1083</v>
      </c>
      <c r="I2" s="1304" t="s">
        <v>1084</v>
      </c>
    </row>
    <row r="3" spans="1:9">
      <c r="A3" s="3176"/>
      <c r="B3" s="3177" t="s">
        <v>1085</v>
      </c>
      <c r="C3" s="3177"/>
      <c r="D3" s="1305"/>
      <c r="E3" s="1303"/>
      <c r="F3" s="1306"/>
      <c r="G3" s="1306"/>
      <c r="H3" s="1307"/>
      <c r="I3" s="1308">
        <f>ROUND(D3*E3*F3*G3*H3/10000,0)</f>
        <v>0</v>
      </c>
    </row>
    <row r="4" spans="1:9">
      <c r="A4" s="3176"/>
      <c r="B4" s="3177" t="s">
        <v>1086</v>
      </c>
      <c r="C4" s="3177"/>
      <c r="D4" s="1305"/>
      <c r="E4" s="1303"/>
      <c r="F4" s="1306"/>
      <c r="G4" s="1306"/>
      <c r="H4" s="1307"/>
      <c r="I4" s="1308">
        <f t="shared" ref="I4:I9" si="0">ROUND(D4*E4*F4*G4*H4/10000,0)</f>
        <v>0</v>
      </c>
    </row>
    <row r="5" spans="1:9">
      <c r="A5" s="3176"/>
      <c r="B5" s="3177" t="s">
        <v>1087</v>
      </c>
      <c r="C5" s="3177"/>
      <c r="D5" s="1305"/>
      <c r="E5" s="1303"/>
      <c r="F5" s="1306"/>
      <c r="G5" s="1306"/>
      <c r="H5" s="1307"/>
      <c r="I5" s="1308">
        <f t="shared" si="0"/>
        <v>0</v>
      </c>
    </row>
    <row r="6" spans="1:9">
      <c r="A6" s="3176"/>
      <c r="B6" s="3177" t="s">
        <v>1088</v>
      </c>
      <c r="C6" s="3177"/>
      <c r="D6" s="1305"/>
      <c r="E6" s="1303"/>
      <c r="F6" s="1306"/>
      <c r="G6" s="1306"/>
      <c r="H6" s="1307"/>
      <c r="I6" s="1308">
        <f t="shared" si="0"/>
        <v>0</v>
      </c>
    </row>
    <row r="7" spans="1:9">
      <c r="A7" s="3176"/>
      <c r="B7" s="3177" t="s">
        <v>1089</v>
      </c>
      <c r="C7" s="3177"/>
      <c r="D7" s="1305"/>
      <c r="E7" s="1303"/>
      <c r="F7" s="1306"/>
      <c r="G7" s="1306"/>
      <c r="H7" s="1307"/>
      <c r="I7" s="1308">
        <f t="shared" si="0"/>
        <v>0</v>
      </c>
    </row>
    <row r="8" spans="1:9">
      <c r="A8" s="3176"/>
      <c r="B8" s="3177" t="s">
        <v>1090</v>
      </c>
      <c r="C8" s="3177"/>
      <c r="D8" s="1305"/>
      <c r="E8" s="1303"/>
      <c r="F8" s="1306"/>
      <c r="G8" s="1306"/>
      <c r="H8" s="1307"/>
      <c r="I8" s="1308">
        <f t="shared" si="0"/>
        <v>0</v>
      </c>
    </row>
    <row r="9" spans="1:9">
      <c r="A9" s="3176"/>
      <c r="B9" s="3177" t="s">
        <v>1091</v>
      </c>
      <c r="C9" s="3177"/>
      <c r="D9" s="1305"/>
      <c r="E9" s="1303"/>
      <c r="F9" s="1306"/>
      <c r="G9" s="1306"/>
      <c r="H9" s="1307"/>
      <c r="I9" s="1308">
        <f t="shared" si="0"/>
        <v>0</v>
      </c>
    </row>
    <row r="10" spans="1:9">
      <c r="A10" s="3176"/>
      <c r="B10" s="3178" t="s">
        <v>1092</v>
      </c>
      <c r="C10" s="3178"/>
      <c r="D10" s="1309"/>
      <c r="E10" s="1309" t="e">
        <f>ROUND(D1*10000/D10/H9,0)</f>
        <v>#DIV/0!</v>
      </c>
      <c r="F10" s="1310"/>
      <c r="G10" s="1310"/>
      <c r="H10" s="1311"/>
      <c r="I10" s="1312">
        <f>SUM(I3:I9)</f>
        <v>0</v>
      </c>
    </row>
    <row r="11" spans="1:9" ht="14.25">
      <c r="A11" s="3176" t="s">
        <v>1093</v>
      </c>
      <c r="B11" s="3177" t="s">
        <v>1094</v>
      </c>
      <c r="C11" s="3177"/>
      <c r="D11" s="1305" t="s">
        <v>1095</v>
      </c>
      <c r="E11" s="1305" t="s">
        <v>1096</v>
      </c>
      <c r="F11" s="1306" t="s">
        <v>1097</v>
      </c>
      <c r="G11" s="1306" t="s">
        <v>1083</v>
      </c>
      <c r="H11" s="1313" t="s">
        <v>1098</v>
      </c>
      <c r="I11" s="1304" t="s">
        <v>1084</v>
      </c>
    </row>
    <row r="12" spans="1:9">
      <c r="A12" s="3176"/>
      <c r="B12" s="3177" t="s">
        <v>1099</v>
      </c>
      <c r="C12" s="3177"/>
      <c r="D12" s="1305"/>
      <c r="E12" s="1305"/>
      <c r="F12" s="1306"/>
      <c r="G12" s="1307"/>
      <c r="H12" s="1314"/>
      <c r="I12" s="1304">
        <f>ROUND(D12*E12*F12*G12/10000,0)</f>
        <v>0</v>
      </c>
    </row>
    <row r="13" spans="1:9">
      <c r="A13" s="3176"/>
      <c r="B13" s="3177" t="s">
        <v>1100</v>
      </c>
      <c r="C13" s="3177"/>
      <c r="D13" s="1305"/>
      <c r="E13" s="1305"/>
      <c r="F13" s="1306"/>
      <c r="G13" s="1307"/>
      <c r="H13" s="1314"/>
      <c r="I13" s="1304">
        <f>ROUND(D13*E13*F13*G13/10000,0)</f>
        <v>0</v>
      </c>
    </row>
    <row r="14" spans="1:9">
      <c r="A14" s="3176"/>
      <c r="B14" s="3177" t="s">
        <v>1101</v>
      </c>
      <c r="C14" s="3177"/>
      <c r="D14" s="1305"/>
      <c r="E14" s="1305"/>
      <c r="F14" s="1306"/>
      <c r="G14" s="1307"/>
      <c r="H14" s="1314"/>
      <c r="I14" s="1304">
        <f>ROUND(D14*E14*F14*G14/10000,0)</f>
        <v>0</v>
      </c>
    </row>
    <row r="15" spans="1:9">
      <c r="A15" s="3176"/>
      <c r="B15" s="3178" t="s">
        <v>1092</v>
      </c>
      <c r="C15" s="3178"/>
      <c r="D15" s="1309"/>
      <c r="E15" s="1309">
        <f>SUM(E12:E14)</f>
        <v>0</v>
      </c>
      <c r="F15" s="1310"/>
      <c r="G15" s="1307"/>
      <c r="H15" s="1314"/>
      <c r="I15" s="1315">
        <f>SUM(I12:I14)</f>
        <v>0</v>
      </c>
    </row>
    <row r="16" spans="1:9" ht="24">
      <c r="A16" s="3176" t="s">
        <v>1102</v>
      </c>
      <c r="B16" s="3177" t="s">
        <v>1103</v>
      </c>
      <c r="C16" s="3177"/>
      <c r="D16" s="1305" t="s">
        <v>1079</v>
      </c>
      <c r="E16" s="1316" t="s">
        <v>1104</v>
      </c>
      <c r="F16" s="1306" t="s">
        <v>1105</v>
      </c>
      <c r="G16" s="1307" t="s">
        <v>1083</v>
      </c>
      <c r="H16" s="1313" t="s">
        <v>1098</v>
      </c>
      <c r="I16" s="1304" t="s">
        <v>1084</v>
      </c>
    </row>
    <row r="17" spans="1:9" ht="14.25">
      <c r="A17" s="3176"/>
      <c r="B17" s="3177" t="s">
        <v>1106</v>
      </c>
      <c r="C17" s="3177"/>
      <c r="D17" s="1305"/>
      <c r="E17" s="1305"/>
      <c r="F17" s="1306"/>
      <c r="G17" s="1307"/>
      <c r="H17" s="1317"/>
      <c r="I17" s="1318">
        <f>ROUND(D17*E17*F17*G17/10000,0)</f>
        <v>0</v>
      </c>
    </row>
    <row r="18" spans="1:9" ht="14.25">
      <c r="A18" s="3176"/>
      <c r="B18" s="3177" t="s">
        <v>1107</v>
      </c>
      <c r="C18" s="3177"/>
      <c r="D18" s="1305"/>
      <c r="E18" s="1305"/>
      <c r="F18" s="1306"/>
      <c r="G18" s="1307"/>
      <c r="H18" s="1317"/>
      <c r="I18" s="1318">
        <f>ROUND(D18*E18*F18*G18/10000,0)</f>
        <v>0</v>
      </c>
    </row>
    <row r="19" spans="1:9" ht="14.25">
      <c r="A19" s="3176"/>
      <c r="B19" s="3177" t="s">
        <v>1108</v>
      </c>
      <c r="C19" s="3177"/>
      <c r="D19" s="1305"/>
      <c r="E19" s="1305"/>
      <c r="F19" s="1306"/>
      <c r="G19" s="1307"/>
      <c r="H19" s="1317"/>
      <c r="I19" s="1318">
        <f>ROUND(D19*E19*F19*G19/10000,0)</f>
        <v>0</v>
      </c>
    </row>
    <row r="20" spans="1:9">
      <c r="A20" s="3176"/>
      <c r="B20" s="3178" t="s">
        <v>1092</v>
      </c>
      <c r="C20" s="3178"/>
      <c r="D20" s="1309">
        <f>SUM(D17:D19)</f>
        <v>0</v>
      </c>
      <c r="E20" s="1309"/>
      <c r="F20" s="1310"/>
      <c r="G20" s="1307"/>
      <c r="H20" s="1314"/>
      <c r="I20" s="1315">
        <f>SUM(I17:I19)</f>
        <v>0</v>
      </c>
    </row>
    <row r="21" spans="1:9">
      <c r="A21" s="3176" t="s">
        <v>1109</v>
      </c>
      <c r="B21" s="3179"/>
      <c r="C21" s="3179"/>
      <c r="D21" s="3179"/>
      <c r="E21" s="3179"/>
      <c r="F21" s="3179"/>
      <c r="G21" s="3179"/>
      <c r="H21" s="1766">
        <v>0.1</v>
      </c>
      <c r="I21" s="1312">
        <f>ROUND(I10*H21,0)</f>
        <v>0</v>
      </c>
    </row>
    <row r="22" spans="1:9" ht="14.25">
      <c r="A22" s="3180" t="s">
        <v>1110</v>
      </c>
      <c r="B22" s="3181"/>
      <c r="C22" s="3182"/>
      <c r="D22" s="1319" t="s">
        <v>1111</v>
      </c>
      <c r="E22" s="1319" t="s">
        <v>1112</v>
      </c>
      <c r="F22" s="1320" t="s">
        <v>1113</v>
      </c>
      <c r="G22" s="1320" t="s">
        <v>1114</v>
      </c>
      <c r="H22" s="1313" t="s">
        <v>1115</v>
      </c>
      <c r="I22" s="1304" t="s">
        <v>1116</v>
      </c>
    </row>
    <row r="23" spans="1:9" ht="14.25" thickBot="1">
      <c r="A23" s="3183"/>
      <c r="B23" s="3184"/>
      <c r="C23" s="3185"/>
      <c r="D23" s="1321"/>
      <c r="E23" s="1321"/>
      <c r="F23" s="1321"/>
      <c r="G23" s="1322"/>
      <c r="H23" s="1323"/>
      <c r="I23" s="1324">
        <f>ROUND(E23*D23*F23*(1-G23)/10000,0)</f>
        <v>0</v>
      </c>
    </row>
    <row r="26" spans="1:9">
      <c r="A26" s="1325" t="s">
        <v>1117</v>
      </c>
      <c r="B26" s="1325"/>
      <c r="C26" s="1325"/>
      <c r="D26" s="1325"/>
      <c r="E26" s="3173">
        <f>C27-C30-C31-C32</f>
        <v>0</v>
      </c>
      <c r="F26" s="3173"/>
      <c r="G26" s="3173"/>
      <c r="H26" s="1738" t="s">
        <v>1340</v>
      </c>
    </row>
    <row r="27" spans="1:9">
      <c r="A27" s="1326">
        <v>1</v>
      </c>
      <c r="B27" s="1327" t="s">
        <v>1118</v>
      </c>
      <c r="C27" s="1327">
        <f>C28+C29</f>
        <v>0</v>
      </c>
      <c r="D27" s="1327"/>
      <c r="E27" s="3174"/>
      <c r="F27" s="3174"/>
      <c r="G27" s="3174"/>
    </row>
    <row r="28" spans="1:9">
      <c r="A28" s="1328" t="s">
        <v>1119</v>
      </c>
      <c r="B28" s="1327" t="s">
        <v>1120</v>
      </c>
      <c r="C28" s="1327"/>
      <c r="D28" s="1327"/>
      <c r="E28" s="3174"/>
      <c r="F28" s="3174"/>
      <c r="G28" s="317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5"/>
      <c r="F32" s="3175"/>
      <c r="G32" s="3175"/>
    </row>
    <row r="33" spans="1:7" hidden="1">
      <c r="A33" s="3170" t="s">
        <v>1129</v>
      </c>
      <c r="B33" s="3171"/>
      <c r="C33" s="3171"/>
      <c r="D33" s="3172"/>
      <c r="E33" s="3173"/>
      <c r="F33" s="3173"/>
      <c r="G33" s="3173"/>
    </row>
    <row r="34" spans="1:7" hidden="1">
      <c r="A34" s="1330">
        <v>1</v>
      </c>
      <c r="B34" s="1327" t="s">
        <v>1130</v>
      </c>
      <c r="C34" s="1327"/>
      <c r="D34" s="1327"/>
      <c r="E34" s="3174"/>
      <c r="F34" s="3174"/>
      <c r="G34" s="3174"/>
    </row>
    <row r="35" spans="1:7" hidden="1">
      <c r="A35" s="1330">
        <v>2</v>
      </c>
      <c r="B35" s="1327" t="s">
        <v>1131</v>
      </c>
      <c r="C35" s="1327"/>
      <c r="D35" s="1327"/>
      <c r="E35" s="3174"/>
      <c r="F35" s="3174"/>
      <c r="G35" s="3174"/>
    </row>
    <row r="36" spans="1:7" hidden="1">
      <c r="A36" s="1330">
        <v>3</v>
      </c>
      <c r="B36" s="1327" t="s">
        <v>1132</v>
      </c>
      <c r="C36" s="1327"/>
      <c r="D36" s="1327"/>
      <c r="E36" s="3174"/>
      <c r="F36" s="3174"/>
      <c r="G36" s="3174"/>
    </row>
    <row r="37" spans="1:7" hidden="1">
      <c r="A37" s="1330">
        <v>4</v>
      </c>
      <c r="B37" s="1327" t="s">
        <v>1133</v>
      </c>
      <c r="C37" s="1327"/>
      <c r="D37" s="1327"/>
      <c r="E37" s="3174"/>
      <c r="F37" s="3174"/>
      <c r="G37" s="3174"/>
    </row>
    <row r="38" spans="1:7" hidden="1">
      <c r="A38" s="3170" t="s">
        <v>1134</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I48" sqref="I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583" t="s">
        <v>2524</v>
      </c>
      <c r="C1" s="1635" t="s">
        <v>2525</v>
      </c>
      <c r="D1" s="1622" t="s">
        <v>3053</v>
      </c>
      <c r="E1" s="2584"/>
      <c r="F1" s="2585" t="s">
        <v>2526</v>
      </c>
      <c r="G1" s="1632" t="s">
        <v>2527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1394</v>
      </c>
      <c r="B2" s="1419">
        <f>IF(C2="——",ROUND(C49*D3/10000,0),ROUND(C49*D3/10000,0)-D2)</f>
        <v>20701</v>
      </c>
      <c r="C2" s="2587" t="s">
        <v>70</v>
      </c>
      <c r="D2" s="1367" t="e">
        <f ca="1">SUMIF(INDIRECT("'"&amp;F2&amp;"'"&amp;"!A:A"),"承租人权益价值",INDIRECT("'"&amp;F2&amp;"'"&amp;"!c:c"))</f>
        <v>#REF!</v>
      </c>
      <c r="E2" s="2588" t="s">
        <v>2528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f>IF(C2="——",C49,ROUND(B2*10000/D3,0))</f>
        <v>64758</v>
      </c>
      <c r="C3" s="399" t="s">
        <v>2529</v>
      </c>
      <c r="D3" s="398">
        <f>IF(D1="",'数据-汇总表'!E3,SUMIF('数据-汇总表'!$C19:$C33,D1,'数据-汇总表'!$E19:$E33))</f>
        <v>3196.74</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2530</v>
      </c>
      <c r="B4" s="401"/>
      <c r="C4" s="3209" t="s">
        <v>2531</v>
      </c>
      <c r="D4" s="3210"/>
      <c r="E4" s="3211" t="s">
        <v>2532</v>
      </c>
      <c r="F4" s="3212"/>
      <c r="G4" s="3209" t="s">
        <v>2533</v>
      </c>
      <c r="H4" s="3210"/>
      <c r="I4" s="3209" t="s">
        <v>2534</v>
      </c>
      <c r="J4" s="3210"/>
      <c r="K4" s="2597" t="s">
        <v>2535</v>
      </c>
      <c r="L4" s="1132"/>
      <c r="M4" s="1133"/>
      <c r="N4" s="1133"/>
      <c r="O4" s="1133"/>
      <c r="P4" s="3213" t="s">
        <v>2536</v>
      </c>
      <c r="Q4" s="3214"/>
      <c r="R4" s="3219" t="s">
        <v>2532</v>
      </c>
      <c r="S4" s="3220"/>
      <c r="T4" s="3219" t="s">
        <v>2533</v>
      </c>
      <c r="U4" s="3220"/>
      <c r="V4" s="3225" t="s">
        <v>2534</v>
      </c>
      <c r="W4" s="3225"/>
      <c r="X4" s="1814"/>
      <c r="Y4" s="3219" t="s">
        <v>2536</v>
      </c>
      <c r="Z4" s="3220"/>
      <c r="AA4" s="3206" t="s">
        <v>2532</v>
      </c>
      <c r="AB4" s="3206" t="s">
        <v>2533</v>
      </c>
      <c r="AC4" s="3206" t="s">
        <v>2534</v>
      </c>
    </row>
    <row r="5" spans="1:29" ht="15" customHeight="1">
      <c r="A5" s="403"/>
      <c r="B5" s="404"/>
      <c r="C5" s="3228" t="s">
        <v>3269</v>
      </c>
      <c r="D5" s="3229"/>
      <c r="E5" s="3238" t="s">
        <v>3316</v>
      </c>
      <c r="F5" s="3239"/>
      <c r="G5" s="3228" t="s">
        <v>3317</v>
      </c>
      <c r="H5" s="3229"/>
      <c r="I5" s="3228" t="s">
        <v>3318</v>
      </c>
      <c r="J5" s="3229"/>
      <c r="K5" s="2598"/>
      <c r="L5" s="1132"/>
      <c r="M5" s="1133"/>
      <c r="N5" s="1133"/>
      <c r="O5" s="1133"/>
      <c r="P5" s="3215"/>
      <c r="Q5" s="3216"/>
      <c r="R5" s="3221"/>
      <c r="S5" s="3222"/>
      <c r="T5" s="3221"/>
      <c r="U5" s="3222"/>
      <c r="V5" s="3225"/>
      <c r="W5" s="3225"/>
      <c r="X5" s="1814"/>
      <c r="Y5" s="3221"/>
      <c r="Z5" s="3222"/>
      <c r="AA5" s="3207"/>
      <c r="AB5" s="3207"/>
      <c r="AC5" s="3207"/>
    </row>
    <row r="6" spans="1:29" ht="44.25" customHeight="1" thickBot="1">
      <c r="A6" s="405"/>
      <c r="B6" s="406"/>
      <c r="C6" s="3233" t="s">
        <v>2541</v>
      </c>
      <c r="D6" s="3227"/>
      <c r="E6" s="3234" t="s">
        <v>3319</v>
      </c>
      <c r="F6" s="3235"/>
      <c r="G6" s="3236" t="s">
        <v>3320</v>
      </c>
      <c r="H6" s="3237"/>
      <c r="I6" s="3226" t="s">
        <v>3321</v>
      </c>
      <c r="J6" s="3227"/>
      <c r="K6" s="2598" t="s">
        <v>2542</v>
      </c>
      <c r="L6" s="1132"/>
      <c r="M6" s="1133"/>
      <c r="N6" s="1133"/>
      <c r="O6" s="1133"/>
      <c r="P6" s="3217"/>
      <c r="Q6" s="3218"/>
      <c r="R6" s="3221"/>
      <c r="S6" s="3222"/>
      <c r="T6" s="3223"/>
      <c r="U6" s="3224"/>
      <c r="V6" s="3225"/>
      <c r="W6" s="3225"/>
      <c r="X6" s="1814"/>
      <c r="Y6" s="3223"/>
      <c r="Z6" s="3224"/>
      <c r="AA6" s="3208"/>
      <c r="AB6" s="3208"/>
      <c r="AC6" s="3208"/>
    </row>
    <row r="7" spans="1:29" s="116" customFormat="1" ht="15.75" thickBot="1">
      <c r="A7" s="407" t="s">
        <v>2543</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30" t="s">
        <v>2544</v>
      </c>
      <c r="Q7" s="3232"/>
      <c r="R7" s="769" t="s">
        <v>23</v>
      </c>
      <c r="S7" s="770">
        <f t="shared" ref="S7:S15" si="0">F7</f>
        <v>100</v>
      </c>
      <c r="T7" s="769" t="s">
        <v>23</v>
      </c>
      <c r="U7" s="770">
        <f t="shared" ref="U7:U15" si="1">H7</f>
        <v>100</v>
      </c>
      <c r="V7" s="769" t="s">
        <v>23</v>
      </c>
      <c r="W7" s="770">
        <f t="shared" ref="W7:W15" si="2">J7</f>
        <v>100</v>
      </c>
      <c r="X7" s="771"/>
      <c r="Y7" s="3230" t="s">
        <v>2544</v>
      </c>
      <c r="Z7" s="3231"/>
      <c r="AA7" s="772">
        <f>D7/F7</f>
        <v>1</v>
      </c>
      <c r="AB7" s="772">
        <f>D7/H7</f>
        <v>1</v>
      </c>
      <c r="AC7" s="772">
        <f>D7/J7</f>
        <v>1</v>
      </c>
    </row>
    <row r="8" spans="1:29" s="116" customFormat="1" ht="15.75" thickBot="1">
      <c r="A8" s="407" t="s">
        <v>2545</v>
      </c>
      <c r="B8" s="408"/>
      <c r="C8" s="413" t="s">
        <v>2546</v>
      </c>
      <c r="D8" s="410">
        <v>100</v>
      </c>
      <c r="E8" s="2600" t="s">
        <v>3270</v>
      </c>
      <c r="F8" s="412">
        <f>SUMIF(61:61,E8,62:62)-SUMIF(61:61,C8,62:62)+100</f>
        <v>100</v>
      </c>
      <c r="G8" s="2600" t="s">
        <v>3270</v>
      </c>
      <c r="H8" s="410">
        <f>SUMIF(61:61,G8,62:62)-SUMIF(61:61,C8,62:62)+100</f>
        <v>100</v>
      </c>
      <c r="I8" s="2600" t="s">
        <v>3270</v>
      </c>
      <c r="J8" s="410">
        <f>SUMIF(61:61,I8,62:62)-SUMIF(61:61,C8,62:62)+100</f>
        <v>100</v>
      </c>
      <c r="K8" s="2599"/>
      <c r="L8" s="1134"/>
      <c r="M8" s="1135"/>
      <c r="N8" s="1135"/>
      <c r="O8" s="1135"/>
      <c r="P8" s="3230" t="s">
        <v>2547</v>
      </c>
      <c r="Q8" s="3231"/>
      <c r="R8" s="769" t="s">
        <v>23</v>
      </c>
      <c r="S8" s="770">
        <f t="shared" si="0"/>
        <v>100</v>
      </c>
      <c r="T8" s="769" t="s">
        <v>23</v>
      </c>
      <c r="U8" s="770">
        <f t="shared" si="1"/>
        <v>100</v>
      </c>
      <c r="V8" s="769" t="s">
        <v>23</v>
      </c>
      <c r="W8" s="770">
        <f t="shared" si="2"/>
        <v>100</v>
      </c>
      <c r="X8" s="771"/>
      <c r="Y8" s="3230" t="s">
        <v>2547</v>
      </c>
      <c r="Z8" s="3231"/>
      <c r="AA8" s="772">
        <f t="shared" ref="AA8:AA19" si="3">D8/F8</f>
        <v>1</v>
      </c>
      <c r="AB8" s="772">
        <f t="shared" ref="AB8:AB19" si="4">D8/H8</f>
        <v>1</v>
      </c>
      <c r="AC8" s="772">
        <f t="shared" ref="AC8:AC19" si="5">D8/J8</f>
        <v>1</v>
      </c>
    </row>
    <row r="9" spans="1:29" s="116" customFormat="1">
      <c r="A9" s="414" t="s">
        <v>2548</v>
      </c>
      <c r="B9" s="71" t="s">
        <v>2549</v>
      </c>
      <c r="C9" s="2958" t="s">
        <v>3271</v>
      </c>
      <c r="D9" s="134">
        <v>100</v>
      </c>
      <c r="E9" s="416" t="s">
        <v>3052</v>
      </c>
      <c r="F9" s="417">
        <f>SUMIF(63:63,E9,64:64)-SUMIF(63:63,C9,64:64)+100</f>
        <v>100</v>
      </c>
      <c r="G9" s="416" t="s">
        <v>3052</v>
      </c>
      <c r="H9" s="134">
        <f>SUMIF(63:63,G9,64:64)-SUMIF(63:63,C9,64:64)+100</f>
        <v>100</v>
      </c>
      <c r="I9" s="416" t="s">
        <v>3052</v>
      </c>
      <c r="J9" s="134">
        <f>SUMIF(63:63,I9,64:64)-SUMIF(63:63,C9,64:64)+100</f>
        <v>100</v>
      </c>
      <c r="K9" s="2599"/>
      <c r="L9" s="1134"/>
      <c r="M9" s="1135"/>
      <c r="N9" s="1135"/>
      <c r="O9" s="1135"/>
      <c r="P9" s="3205" t="s">
        <v>2550</v>
      </c>
      <c r="Q9" s="1796" t="str">
        <f t="shared" ref="Q9:Q15" si="6">B9</f>
        <v>用途</v>
      </c>
      <c r="R9" s="769" t="s">
        <v>17</v>
      </c>
      <c r="S9" s="770">
        <f t="shared" si="0"/>
        <v>100</v>
      </c>
      <c r="T9" s="769" t="s">
        <v>17</v>
      </c>
      <c r="U9" s="770">
        <f t="shared" si="1"/>
        <v>100</v>
      </c>
      <c r="V9" s="769" t="s">
        <v>17</v>
      </c>
      <c r="W9" s="770">
        <f t="shared" si="2"/>
        <v>100</v>
      </c>
      <c r="X9" s="771"/>
      <c r="Y9" s="3019" t="s">
        <v>2551</v>
      </c>
      <c r="Z9" s="55" t="str">
        <f t="shared" ref="Z9:Z15" si="7">Q9</f>
        <v>用途</v>
      </c>
      <c r="AA9" s="772">
        <f t="shared" si="3"/>
        <v>1</v>
      </c>
      <c r="AB9" s="772">
        <f t="shared" si="4"/>
        <v>1</v>
      </c>
      <c r="AC9" s="772">
        <f t="shared" si="5"/>
        <v>1</v>
      </c>
    </row>
    <row r="10" spans="1:29" s="426" customFormat="1" ht="27">
      <c r="A10" s="420"/>
      <c r="B10" s="421" t="s">
        <v>2552</v>
      </c>
      <c r="C10" s="422" t="s">
        <v>3272</v>
      </c>
      <c r="D10" s="135">
        <v>100</v>
      </c>
      <c r="E10" s="423" t="s">
        <v>3272</v>
      </c>
      <c r="F10" s="424">
        <f>SUMIF(65:65,E10,66:66)-SUMIF(65:65,C10,66:66)+100</f>
        <v>100</v>
      </c>
      <c r="G10" s="423" t="s">
        <v>3272</v>
      </c>
      <c r="H10" s="135">
        <f>SUMIF(65:65,G10,66:66)-SUMIF(65:65,C10,66:66)+100</f>
        <v>100</v>
      </c>
      <c r="I10" s="423" t="s">
        <v>3272</v>
      </c>
      <c r="J10" s="135">
        <f>SUMIF(65:65,I10,66:66)-SUMIF(65:65,C10,66:66)+100</f>
        <v>100</v>
      </c>
      <c r="K10" s="425"/>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2553</v>
      </c>
      <c r="C11" s="2964">
        <v>2.5</v>
      </c>
      <c r="D11" s="135">
        <v>100</v>
      </c>
      <c r="E11" s="429">
        <v>0.72</v>
      </c>
      <c r="F11" s="424">
        <f>LOOKUP(E11,68:68,69:69)-LOOKUP(C11,68:68,69:69)+100</f>
        <v>102</v>
      </c>
      <c r="G11" s="428">
        <v>1.3</v>
      </c>
      <c r="H11" s="135">
        <f>LOOKUP(G11,68:68,69:69)-LOOKUP(C11,68:68,69:69)+100</f>
        <v>101</v>
      </c>
      <c r="I11" s="428">
        <v>1.3</v>
      </c>
      <c r="J11" s="135">
        <f>LOOKUP(I11,68:68,69:69)-LOOKUP(C11,68:68,69:69)+100</f>
        <v>101</v>
      </c>
      <c r="K11" s="425">
        <v>1</v>
      </c>
      <c r="L11" s="1140"/>
      <c r="M11" s="1133"/>
      <c r="N11" s="1133"/>
      <c r="O11" s="1133"/>
      <c r="P11" s="3205"/>
      <c r="Q11" s="1796" t="str">
        <f t="shared" si="6"/>
        <v>容积率</v>
      </c>
      <c r="R11" s="769" t="s">
        <v>21</v>
      </c>
      <c r="S11" s="770">
        <f t="shared" si="0"/>
        <v>102</v>
      </c>
      <c r="T11" s="769" t="s">
        <v>21</v>
      </c>
      <c r="U11" s="770">
        <f t="shared" si="1"/>
        <v>101</v>
      </c>
      <c r="V11" s="769" t="s">
        <v>21</v>
      </c>
      <c r="W11" s="770">
        <f t="shared" si="2"/>
        <v>101</v>
      </c>
      <c r="X11" s="771"/>
      <c r="Y11" s="3019"/>
      <c r="Z11" s="55" t="str">
        <f t="shared" si="7"/>
        <v>容积率</v>
      </c>
      <c r="AA11" s="772">
        <f t="shared" si="3"/>
        <v>0.98039215686274506</v>
      </c>
      <c r="AB11" s="772">
        <f t="shared" si="4"/>
        <v>0.99009900990099009</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05"/>
      <c r="Q12" s="1796">
        <f t="shared" si="6"/>
        <v>111</v>
      </c>
      <c r="R12" s="769" t="s">
        <v>21</v>
      </c>
      <c r="S12" s="770">
        <f t="shared" si="0"/>
        <v>100</v>
      </c>
      <c r="T12" s="769" t="s">
        <v>21</v>
      </c>
      <c r="U12" s="770">
        <f t="shared" si="1"/>
        <v>100</v>
      </c>
      <c r="V12" s="769" t="s">
        <v>21</v>
      </c>
      <c r="W12" s="770">
        <f t="shared" si="2"/>
        <v>100</v>
      </c>
      <c r="X12" s="771"/>
      <c r="Y12" s="3019"/>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05"/>
      <c r="Q13" s="1796">
        <f t="shared" si="6"/>
        <v>111</v>
      </c>
      <c r="R13" s="769" t="s">
        <v>21</v>
      </c>
      <c r="S13" s="770">
        <f t="shared" si="0"/>
        <v>100</v>
      </c>
      <c r="T13" s="769" t="s">
        <v>21</v>
      </c>
      <c r="U13" s="770">
        <f t="shared" si="1"/>
        <v>100</v>
      </c>
      <c r="V13" s="769" t="s">
        <v>21</v>
      </c>
      <c r="W13" s="770">
        <f t="shared" si="2"/>
        <v>100</v>
      </c>
      <c r="X13" s="771"/>
      <c r="Y13" s="3019"/>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05"/>
      <c r="Q14" s="1796">
        <f t="shared" si="6"/>
        <v>111</v>
      </c>
      <c r="R14" s="769" t="s">
        <v>21</v>
      </c>
      <c r="S14" s="770">
        <f t="shared" si="0"/>
        <v>100</v>
      </c>
      <c r="T14" s="769" t="s">
        <v>21</v>
      </c>
      <c r="U14" s="770">
        <f t="shared" si="1"/>
        <v>100</v>
      </c>
      <c r="V14" s="769" t="s">
        <v>21</v>
      </c>
      <c r="W14" s="770">
        <f t="shared" si="2"/>
        <v>100</v>
      </c>
      <c r="X14" s="771"/>
      <c r="Y14" s="3019"/>
      <c r="Z14" s="55">
        <f t="shared" si="7"/>
        <v>111</v>
      </c>
      <c r="AA14" s="772">
        <f t="shared" si="3"/>
        <v>1</v>
      </c>
      <c r="AB14" s="772">
        <f t="shared" si="4"/>
        <v>1</v>
      </c>
      <c r="AC14" s="772">
        <f t="shared" si="5"/>
        <v>1</v>
      </c>
    </row>
    <row r="15" spans="1:29" ht="99.75">
      <c r="A15" s="439" t="s">
        <v>2554</v>
      </c>
      <c r="B15" s="69" t="s">
        <v>2084</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102</v>
      </c>
      <c r="I15" s="441"/>
      <c r="J15" s="440">
        <f>SUMIF(76:76,I16,77:77)-SUMIF(76:76,C16,77:77)+100</f>
        <v>102</v>
      </c>
      <c r="K15" s="444">
        <v>2</v>
      </c>
      <c r="L15" s="1142"/>
      <c r="M15" s="1133"/>
      <c r="N15" s="1133"/>
      <c r="O15" s="1133"/>
      <c r="P15" s="3203" t="s">
        <v>2555</v>
      </c>
      <c r="Q15" s="1811" t="str">
        <f t="shared" si="6"/>
        <v>居住社区成熟度</v>
      </c>
      <c r="R15" s="773" t="s">
        <v>21</v>
      </c>
      <c r="S15" s="774">
        <f t="shared" si="0"/>
        <v>100</v>
      </c>
      <c r="T15" s="773" t="s">
        <v>21</v>
      </c>
      <c r="U15" s="774">
        <f t="shared" si="1"/>
        <v>102</v>
      </c>
      <c r="V15" s="773" t="s">
        <v>21</v>
      </c>
      <c r="W15" s="774">
        <f t="shared" si="2"/>
        <v>102</v>
      </c>
      <c r="X15" s="1814"/>
      <c r="Y15" s="3196" t="s">
        <v>2555</v>
      </c>
      <c r="Z15" s="1815" t="str">
        <f t="shared" si="7"/>
        <v>居住社区成熟度</v>
      </c>
      <c r="AA15" s="1812">
        <f t="shared" si="3"/>
        <v>1</v>
      </c>
      <c r="AB15" s="1812">
        <f t="shared" si="4"/>
        <v>0.98039215686274506</v>
      </c>
      <c r="AC15" s="1812">
        <f t="shared" si="5"/>
        <v>0.98039215686274506</v>
      </c>
    </row>
    <row r="16" spans="1:29" ht="15">
      <c r="A16" s="427"/>
      <c r="B16" s="445"/>
      <c r="C16" s="446" t="s">
        <v>3049</v>
      </c>
      <c r="D16" s="447"/>
      <c r="E16" s="2605" t="s">
        <v>3049</v>
      </c>
      <c r="F16" s="447"/>
      <c r="G16" s="2606" t="s">
        <v>3322</v>
      </c>
      <c r="H16" s="449"/>
      <c r="I16" s="2606" t="s">
        <v>3322</v>
      </c>
      <c r="J16" s="447"/>
      <c r="K16" s="2607"/>
      <c r="L16" s="1142"/>
      <c r="M16" s="1133"/>
      <c r="N16" s="1133"/>
      <c r="O16" s="1133"/>
      <c r="P16" s="3204"/>
      <c r="Q16" s="1811"/>
      <c r="R16" s="773"/>
      <c r="S16" s="774"/>
      <c r="T16" s="773"/>
      <c r="U16" s="774"/>
      <c r="V16" s="773"/>
      <c r="W16" s="774"/>
      <c r="X16" s="1814"/>
      <c r="Y16" s="3197"/>
      <c r="Z16" s="1815"/>
      <c r="AA16" s="1812">
        <v>1</v>
      </c>
      <c r="AB16" s="1812">
        <v>1</v>
      </c>
      <c r="AC16" s="1812">
        <v>1</v>
      </c>
    </row>
    <row r="17" spans="1:29" ht="85.5">
      <c r="A17" s="427"/>
      <c r="B17" s="450" t="s">
        <v>2096</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04"/>
      <c r="Q17" s="1811" t="str">
        <f>B17</f>
        <v>交通便捷度</v>
      </c>
      <c r="R17" s="773" t="s">
        <v>21</v>
      </c>
      <c r="S17" s="774">
        <f>F17</f>
        <v>100</v>
      </c>
      <c r="T17" s="773" t="s">
        <v>21</v>
      </c>
      <c r="U17" s="774">
        <f>H17</f>
        <v>100</v>
      </c>
      <c r="V17" s="773" t="s">
        <v>21</v>
      </c>
      <c r="W17" s="774">
        <f>J17</f>
        <v>100</v>
      </c>
      <c r="X17" s="1814"/>
      <c r="Y17" s="3197"/>
      <c r="Z17" s="1815" t="str">
        <f>Q17</f>
        <v>交通便捷度</v>
      </c>
      <c r="AA17" s="1812">
        <f t="shared" si="3"/>
        <v>1</v>
      </c>
      <c r="AB17" s="1812">
        <f t="shared" si="4"/>
        <v>1</v>
      </c>
      <c r="AC17" s="1812">
        <f t="shared" si="5"/>
        <v>1</v>
      </c>
    </row>
    <row r="18" spans="1:29" ht="15">
      <c r="A18" s="427"/>
      <c r="B18" s="455"/>
      <c r="C18" s="2609" t="s">
        <v>3049</v>
      </c>
      <c r="D18" s="449"/>
      <c r="E18" s="2610" t="s">
        <v>3049</v>
      </c>
      <c r="F18" s="449"/>
      <c r="G18" s="2611" t="s">
        <v>3049</v>
      </c>
      <c r="H18" s="447"/>
      <c r="I18" s="2611" t="s">
        <v>3049</v>
      </c>
      <c r="J18" s="447"/>
      <c r="K18" s="2607"/>
      <c r="L18" s="1142"/>
      <c r="M18" s="1133"/>
      <c r="N18" s="1133"/>
      <c r="O18" s="1133"/>
      <c r="P18" s="3204"/>
      <c r="Q18" s="1811"/>
      <c r="R18" s="773"/>
      <c r="S18" s="774"/>
      <c r="T18" s="773"/>
      <c r="U18" s="774"/>
      <c r="V18" s="773"/>
      <c r="W18" s="774"/>
      <c r="X18" s="1814"/>
      <c r="Y18" s="3197"/>
      <c r="Z18" s="1815"/>
      <c r="AA18" s="1812">
        <v>1</v>
      </c>
      <c r="AB18" s="1812">
        <v>1</v>
      </c>
      <c r="AC18" s="1812">
        <v>1</v>
      </c>
    </row>
    <row r="19" spans="1:29" ht="42.75">
      <c r="A19" s="427"/>
      <c r="B19" s="450" t="s">
        <v>2094</v>
      </c>
      <c r="C19" s="2608"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42"/>
      <c r="M19" s="1133"/>
      <c r="N19" s="1133"/>
      <c r="O19" s="1133"/>
      <c r="P19" s="3204"/>
      <c r="Q19" s="1811" t="str">
        <f>B19</f>
        <v>公共配套设施</v>
      </c>
      <c r="R19" s="773" t="s">
        <v>21</v>
      </c>
      <c r="S19" s="774">
        <f>F19</f>
        <v>98</v>
      </c>
      <c r="T19" s="773" t="s">
        <v>21</v>
      </c>
      <c r="U19" s="774">
        <f>H19</f>
        <v>100</v>
      </c>
      <c r="V19" s="773" t="s">
        <v>21</v>
      </c>
      <c r="W19" s="774">
        <f>J19</f>
        <v>100</v>
      </c>
      <c r="X19" s="1814"/>
      <c r="Y19" s="3197"/>
      <c r="Z19" s="1815" t="str">
        <f>Q19</f>
        <v>公共配套设施</v>
      </c>
      <c r="AA19" s="1812">
        <f t="shared" si="3"/>
        <v>1.0204081632653061</v>
      </c>
      <c r="AB19" s="1812">
        <f t="shared" si="4"/>
        <v>1</v>
      </c>
      <c r="AC19" s="1812">
        <f t="shared" si="5"/>
        <v>1</v>
      </c>
    </row>
    <row r="20" spans="1:29" ht="15">
      <c r="A20" s="427"/>
      <c r="B20" s="455"/>
      <c r="C20" s="446" t="s">
        <v>3049</v>
      </c>
      <c r="D20" s="447"/>
      <c r="E20" s="2605" t="s">
        <v>3225</v>
      </c>
      <c r="F20" s="447"/>
      <c r="G20" s="2606" t="s">
        <v>3049</v>
      </c>
      <c r="H20" s="447"/>
      <c r="I20" s="2606" t="s">
        <v>3049</v>
      </c>
      <c r="J20" s="447"/>
      <c r="K20" s="2607"/>
      <c r="L20" s="1142"/>
      <c r="M20" s="1133"/>
      <c r="N20" s="1133"/>
      <c r="O20" s="1133"/>
      <c r="P20" s="3204"/>
      <c r="Q20" s="1811"/>
      <c r="R20" s="773"/>
      <c r="S20" s="774"/>
      <c r="T20" s="773"/>
      <c r="U20" s="774"/>
      <c r="V20" s="773"/>
      <c r="W20" s="774"/>
      <c r="X20" s="1814"/>
      <c r="Y20" s="3197"/>
      <c r="Z20" s="1815"/>
      <c r="AA20" s="1812">
        <v>1</v>
      </c>
      <c r="AB20" s="1812">
        <v>1</v>
      </c>
      <c r="AC20" s="1812">
        <v>1</v>
      </c>
    </row>
    <row r="21" spans="1:29" ht="28.5">
      <c r="A21" s="427"/>
      <c r="B21" s="1386" t="s">
        <v>2097</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04"/>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09" t="s">
        <v>3226</v>
      </c>
      <c r="D22" s="447"/>
      <c r="E22" s="446" t="s">
        <v>3226</v>
      </c>
      <c r="F22" s="447"/>
      <c r="G22" s="2612" t="s">
        <v>3226</v>
      </c>
      <c r="H22" s="447"/>
      <c r="I22" s="446" t="s">
        <v>3226</v>
      </c>
      <c r="J22" s="447"/>
      <c r="K22" s="2613"/>
      <c r="L22" s="1142"/>
      <c r="M22" s="1133"/>
      <c r="N22" s="1133"/>
      <c r="O22" s="1133"/>
      <c r="P22" s="3204"/>
      <c r="Q22" s="1811"/>
      <c r="R22" s="773"/>
      <c r="S22" s="774"/>
      <c r="T22" s="773"/>
      <c r="U22" s="774"/>
      <c r="V22" s="773"/>
      <c r="W22" s="774"/>
      <c r="X22" s="1814"/>
      <c r="Y22" s="3197"/>
      <c r="Z22" s="1815"/>
      <c r="AA22" s="1812">
        <v>1</v>
      </c>
      <c r="AB22" s="1812">
        <v>1</v>
      </c>
      <c r="AC22" s="1812">
        <v>1</v>
      </c>
    </row>
    <row r="23" spans="1:29" ht="57">
      <c r="A23" s="427"/>
      <c r="B23" s="450" t="s">
        <v>2101</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04"/>
      <c r="Q23" s="1811" t="str">
        <f>B23</f>
        <v>自然及人文环境</v>
      </c>
      <c r="R23" s="773" t="s">
        <v>21</v>
      </c>
      <c r="S23" s="774">
        <f>F23</f>
        <v>100</v>
      </c>
      <c r="T23" s="773" t="s">
        <v>21</v>
      </c>
      <c r="U23" s="774">
        <f>H23</f>
        <v>100</v>
      </c>
      <c r="V23" s="773" t="s">
        <v>21</v>
      </c>
      <c r="W23" s="774">
        <f>J23</f>
        <v>100</v>
      </c>
      <c r="X23" s="1814"/>
      <c r="Y23" s="3197"/>
      <c r="Z23" s="1815" t="str">
        <f>Q23</f>
        <v>自然及人文环境</v>
      </c>
      <c r="AA23" s="1812">
        <f>D23/F23</f>
        <v>1</v>
      </c>
      <c r="AB23" s="1812">
        <f>D23/H23</f>
        <v>1</v>
      </c>
      <c r="AC23" s="1812">
        <f>D23/J23</f>
        <v>1</v>
      </c>
    </row>
    <row r="24" spans="1:29" ht="15">
      <c r="A24" s="427"/>
      <c r="B24" s="455"/>
      <c r="C24" s="446" t="s">
        <v>3225</v>
      </c>
      <c r="D24" s="447"/>
      <c r="E24" s="2605" t="s">
        <v>3225</v>
      </c>
      <c r="F24" s="447"/>
      <c r="G24" s="2605" t="s">
        <v>3225</v>
      </c>
      <c r="H24" s="447"/>
      <c r="I24" s="2605" t="s">
        <v>3225</v>
      </c>
      <c r="J24" s="447"/>
      <c r="K24" s="2607"/>
      <c r="L24" s="1142"/>
      <c r="M24" s="1133"/>
      <c r="N24" s="1133"/>
      <c r="O24" s="1133"/>
      <c r="P24" s="3204"/>
      <c r="Q24" s="1811"/>
      <c r="R24" s="773"/>
      <c r="S24" s="774"/>
      <c r="T24" s="773"/>
      <c r="U24" s="774"/>
      <c r="V24" s="773"/>
      <c r="W24" s="774"/>
      <c r="X24" s="1814"/>
      <c r="Y24" s="3197"/>
      <c r="Z24" s="1815"/>
      <c r="AA24" s="1812">
        <v>1</v>
      </c>
      <c r="AB24" s="1812">
        <v>1</v>
      </c>
      <c r="AC24" s="1812">
        <v>1</v>
      </c>
    </row>
    <row r="25" spans="1:29" ht="15">
      <c r="A25" s="427"/>
      <c r="B25" s="421" t="s">
        <v>2556</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0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7"/>
      <c r="Z25" s="1815" t="str">
        <f>Q25</f>
        <v>楼层-1</v>
      </c>
      <c r="AA25" s="1812">
        <f t="shared" ref="AA25:AA46" si="15">D25/F25</f>
        <v>1</v>
      </c>
      <c r="AB25" s="1812">
        <f t="shared" ref="AB25:AB46" si="16">D25/H25</f>
        <v>1</v>
      </c>
      <c r="AC25" s="1812">
        <f t="shared" ref="AC25:AC46" si="17">D25/J25</f>
        <v>1</v>
      </c>
    </row>
    <row r="26" spans="1:29" ht="15">
      <c r="A26" s="427"/>
      <c r="B26" s="421" t="s">
        <v>2557</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04"/>
      <c r="Q26" s="1811" t="str">
        <f t="shared" si="11"/>
        <v>朝向</v>
      </c>
      <c r="R26" s="773" t="s">
        <v>21</v>
      </c>
      <c r="S26" s="774">
        <f t="shared" si="12"/>
        <v>100</v>
      </c>
      <c r="T26" s="773" t="s">
        <v>21</v>
      </c>
      <c r="U26" s="774">
        <f t="shared" si="13"/>
        <v>100</v>
      </c>
      <c r="V26" s="773" t="s">
        <v>21</v>
      </c>
      <c r="W26" s="774">
        <f t="shared" si="14"/>
        <v>100</v>
      </c>
      <c r="X26" s="1814"/>
      <c r="Y26" s="3197"/>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04"/>
      <c r="Q27" s="1796">
        <f t="shared" si="11"/>
        <v>111</v>
      </c>
      <c r="R27" s="769" t="s">
        <v>21</v>
      </c>
      <c r="S27" s="770">
        <f t="shared" si="12"/>
        <v>100</v>
      </c>
      <c r="T27" s="769" t="s">
        <v>21</v>
      </c>
      <c r="U27" s="770">
        <f t="shared" si="13"/>
        <v>100</v>
      </c>
      <c r="V27" s="769" t="s">
        <v>21</v>
      </c>
      <c r="W27" s="770">
        <f t="shared" si="14"/>
        <v>100</v>
      </c>
      <c r="X27" s="771"/>
      <c r="Y27" s="3197"/>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04"/>
      <c r="Q28" s="1811">
        <f t="shared" si="11"/>
        <v>111</v>
      </c>
      <c r="R28" s="773" t="s">
        <v>21</v>
      </c>
      <c r="S28" s="774">
        <f t="shared" si="12"/>
        <v>100</v>
      </c>
      <c r="T28" s="773" t="s">
        <v>21</v>
      </c>
      <c r="U28" s="774">
        <f t="shared" si="13"/>
        <v>100</v>
      </c>
      <c r="V28" s="773" t="s">
        <v>21</v>
      </c>
      <c r="W28" s="774">
        <f t="shared" si="14"/>
        <v>100</v>
      </c>
      <c r="X28" s="1814"/>
      <c r="Y28" s="3197"/>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04"/>
      <c r="Q29" s="1811">
        <f t="shared" si="11"/>
        <v>111</v>
      </c>
      <c r="R29" s="773" t="s">
        <v>21</v>
      </c>
      <c r="S29" s="774">
        <f t="shared" si="12"/>
        <v>100</v>
      </c>
      <c r="T29" s="773" t="s">
        <v>21</v>
      </c>
      <c r="U29" s="774">
        <f t="shared" si="13"/>
        <v>100</v>
      </c>
      <c r="V29" s="773" t="s">
        <v>21</v>
      </c>
      <c r="W29" s="774">
        <f t="shared" si="14"/>
        <v>100</v>
      </c>
      <c r="X29" s="1814"/>
      <c r="Y29" s="3197"/>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04"/>
      <c r="Q30" s="1811">
        <f t="shared" si="11"/>
        <v>111</v>
      </c>
      <c r="R30" s="773" t="s">
        <v>21</v>
      </c>
      <c r="S30" s="774">
        <f t="shared" si="12"/>
        <v>100</v>
      </c>
      <c r="T30" s="773" t="s">
        <v>21</v>
      </c>
      <c r="U30" s="774">
        <f t="shared" si="13"/>
        <v>100</v>
      </c>
      <c r="V30" s="773" t="s">
        <v>21</v>
      </c>
      <c r="W30" s="774">
        <f t="shared" si="14"/>
        <v>100</v>
      </c>
      <c r="X30" s="1814"/>
      <c r="Y30" s="3197"/>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04"/>
      <c r="Q31" s="1811">
        <f t="shared" si="11"/>
        <v>111</v>
      </c>
      <c r="R31" s="773" t="s">
        <v>21</v>
      </c>
      <c r="S31" s="774">
        <f t="shared" si="12"/>
        <v>100</v>
      </c>
      <c r="T31" s="773" t="s">
        <v>21</v>
      </c>
      <c r="U31" s="774">
        <f t="shared" si="13"/>
        <v>100</v>
      </c>
      <c r="V31" s="773" t="s">
        <v>21</v>
      </c>
      <c r="W31" s="774">
        <f t="shared" si="14"/>
        <v>100</v>
      </c>
      <c r="X31" s="1814"/>
      <c r="Y31" s="3197"/>
      <c r="Z31" s="1815">
        <f t="shared" si="18"/>
        <v>111</v>
      </c>
      <c r="AA31" s="1812">
        <f t="shared" si="15"/>
        <v>1</v>
      </c>
      <c r="AB31" s="1812">
        <f t="shared" si="16"/>
        <v>1</v>
      </c>
      <c r="AC31" s="1812">
        <f t="shared" si="17"/>
        <v>1</v>
      </c>
    </row>
    <row r="32" spans="1:29" ht="15">
      <c r="A32" s="439" t="s">
        <v>2558</v>
      </c>
      <c r="B32" s="71" t="s">
        <v>2559</v>
      </c>
      <c r="C32" s="2618" t="s">
        <v>3053</v>
      </c>
      <c r="D32" s="466">
        <v>100</v>
      </c>
      <c r="E32" s="2619" t="s">
        <v>3328</v>
      </c>
      <c r="F32" s="460">
        <f>SUMIF(100:100,E32,101:101)-SUMIF(100:100,C32,101:101)+100</f>
        <v>103</v>
      </c>
      <c r="G32" s="2618" t="s">
        <v>3053</v>
      </c>
      <c r="H32" s="466">
        <f>SUMIF(100:100,G32,101:101)-SUMIF(100:100,C32,101:101)+100</f>
        <v>100</v>
      </c>
      <c r="I32" s="2619" t="s">
        <v>3329</v>
      </c>
      <c r="J32" s="434">
        <f>SUMIF(100:100,I32,101:101)-SUMIF(100:100,C32,101:101)+100</f>
        <v>104</v>
      </c>
      <c r="K32" s="425">
        <v>1</v>
      </c>
      <c r="L32" s="1142"/>
      <c r="M32" s="1133"/>
      <c r="N32" s="1133"/>
      <c r="O32" s="1133"/>
      <c r="P32" s="3198" t="s">
        <v>2560</v>
      </c>
      <c r="Q32" s="1811" t="str">
        <f t="shared" si="11"/>
        <v>建筑类型</v>
      </c>
      <c r="R32" s="773" t="s">
        <v>21</v>
      </c>
      <c r="S32" s="774">
        <f t="shared" si="12"/>
        <v>103</v>
      </c>
      <c r="T32" s="773" t="s">
        <v>21</v>
      </c>
      <c r="U32" s="774">
        <f t="shared" si="13"/>
        <v>100</v>
      </c>
      <c r="V32" s="773" t="s">
        <v>21</v>
      </c>
      <c r="W32" s="774">
        <f t="shared" si="14"/>
        <v>104</v>
      </c>
      <c r="X32" s="1814"/>
      <c r="Y32" s="3201" t="s">
        <v>2560</v>
      </c>
      <c r="Z32" s="1815" t="str">
        <f t="shared" si="18"/>
        <v>建筑类型</v>
      </c>
      <c r="AA32" s="1812">
        <f t="shared" si="15"/>
        <v>0.970873786407767</v>
      </c>
      <c r="AB32" s="1812">
        <f t="shared" si="16"/>
        <v>1</v>
      </c>
      <c r="AC32" s="1812">
        <f t="shared" si="17"/>
        <v>0.96153846153846156</v>
      </c>
    </row>
    <row r="33" spans="1:29" s="470" customFormat="1" ht="15">
      <c r="A33" s="467"/>
      <c r="B33" s="421" t="s">
        <v>2561</v>
      </c>
      <c r="C33" s="2970">
        <v>375000</v>
      </c>
      <c r="D33" s="135">
        <v>100</v>
      </c>
      <c r="E33" s="429">
        <v>150000</v>
      </c>
      <c r="F33" s="424">
        <f>LOOKUP(E33,103:103,104:104)-LOOKUP(C33,103:103,104:104)+100</f>
        <v>96</v>
      </c>
      <c r="G33" s="428">
        <v>55000</v>
      </c>
      <c r="H33" s="135">
        <f>LOOKUP(G33,103:103,104:104)-LOOKUP(C33,103:103,104:104)+100</f>
        <v>95</v>
      </c>
      <c r="I33" s="429">
        <v>246000</v>
      </c>
      <c r="J33" s="135">
        <f>LOOKUP(I33,103:103,104:104)-LOOKUP(C33,103:103,104:104)+100</f>
        <v>96</v>
      </c>
      <c r="K33" s="2602"/>
      <c r="L33" s="1140"/>
      <c r="M33" s="1143"/>
      <c r="N33" s="1143"/>
      <c r="O33" s="1143"/>
      <c r="P33" s="3199"/>
      <c r="Q33" s="775" t="str">
        <f t="shared" si="11"/>
        <v>项目建筑规模</v>
      </c>
      <c r="R33" s="776" t="s">
        <v>21</v>
      </c>
      <c r="S33" s="777">
        <f t="shared" si="12"/>
        <v>96</v>
      </c>
      <c r="T33" s="776" t="s">
        <v>21</v>
      </c>
      <c r="U33" s="777">
        <f t="shared" si="13"/>
        <v>95</v>
      </c>
      <c r="V33" s="776" t="s">
        <v>21</v>
      </c>
      <c r="W33" s="777">
        <f t="shared" si="14"/>
        <v>96</v>
      </c>
      <c r="X33" s="778"/>
      <c r="Y33" s="3201"/>
      <c r="Z33" s="779" t="str">
        <f t="shared" si="18"/>
        <v>项目建筑规模</v>
      </c>
      <c r="AA33" s="1812">
        <f t="shared" si="15"/>
        <v>1.0416666666666667</v>
      </c>
      <c r="AB33" s="1812">
        <f t="shared" si="16"/>
        <v>1.0526315789473684</v>
      </c>
      <c r="AC33" s="1812">
        <f t="shared" si="17"/>
        <v>1.0416666666666667</v>
      </c>
    </row>
    <row r="34" spans="1:29" ht="15">
      <c r="A34" s="471"/>
      <c r="B34" s="421" t="s">
        <v>2562</v>
      </c>
      <c r="C34" s="2620" t="s">
        <v>3267</v>
      </c>
      <c r="D34" s="434">
        <v>100</v>
      </c>
      <c r="E34" s="2620" t="s">
        <v>3267</v>
      </c>
      <c r="F34" s="460">
        <f>SUMIF(105:105,E34,106:106)-SUMIF(105:105,C34,106:106)+100</f>
        <v>100</v>
      </c>
      <c r="G34" s="2620" t="s">
        <v>3267</v>
      </c>
      <c r="H34" s="434">
        <f>SUMIF(105:105,G34,106:106)-SUMIF(105:105,C34,106:106)+100</f>
        <v>100</v>
      </c>
      <c r="I34" s="2620" t="s">
        <v>3267</v>
      </c>
      <c r="J34" s="434">
        <f>SUMIF(105:105,I34,106:106)-SUMIF(105:105,C34,106:106)+100</f>
        <v>100</v>
      </c>
      <c r="K34" s="425">
        <v>2</v>
      </c>
      <c r="L34" s="1142"/>
      <c r="M34" s="1133"/>
      <c r="N34" s="1133"/>
      <c r="O34" s="1133"/>
      <c r="P34" s="3199"/>
      <c r="Q34" s="1811" t="str">
        <f t="shared" si="11"/>
        <v>建筑结构</v>
      </c>
      <c r="R34" s="773" t="s">
        <v>21</v>
      </c>
      <c r="S34" s="774">
        <f t="shared" si="12"/>
        <v>100</v>
      </c>
      <c r="T34" s="773" t="s">
        <v>21</v>
      </c>
      <c r="U34" s="774">
        <f t="shared" si="13"/>
        <v>100</v>
      </c>
      <c r="V34" s="773" t="s">
        <v>21</v>
      </c>
      <c r="W34" s="774">
        <f t="shared" si="14"/>
        <v>100</v>
      </c>
      <c r="X34" s="1814"/>
      <c r="Y34" s="3201"/>
      <c r="Z34" s="1815" t="str">
        <f t="shared" si="18"/>
        <v>建筑结构</v>
      </c>
      <c r="AA34" s="1812">
        <f t="shared" si="15"/>
        <v>1</v>
      </c>
      <c r="AB34" s="1812">
        <f t="shared" si="16"/>
        <v>1</v>
      </c>
      <c r="AC34" s="1812">
        <f t="shared" si="17"/>
        <v>1</v>
      </c>
    </row>
    <row r="35" spans="1:29" ht="15">
      <c r="A35" s="471"/>
      <c r="B35" s="421" t="s">
        <v>2563</v>
      </c>
      <c r="C35" s="2614" t="s">
        <v>3292</v>
      </c>
      <c r="D35" s="434">
        <v>100</v>
      </c>
      <c r="E35" s="2614" t="s">
        <v>3292</v>
      </c>
      <c r="F35" s="460">
        <f>SUMIF(107:107,E35,108:108)-SUMIF(107:107,C35,108:108)+100</f>
        <v>100</v>
      </c>
      <c r="G35" s="2614" t="s">
        <v>3292</v>
      </c>
      <c r="H35" s="434">
        <f>SUMIF(107:107,G35,108:108)-SUMIF(107:107,C35,108:108)+100</f>
        <v>100</v>
      </c>
      <c r="I35" s="2614" t="s">
        <v>3292</v>
      </c>
      <c r="J35" s="434">
        <f>SUMIF(107:107,I35,108:108)-SUMIF(107:107,C35,108:108)+100</f>
        <v>100</v>
      </c>
      <c r="K35" s="425">
        <v>2</v>
      </c>
      <c r="L35" s="1142"/>
      <c r="M35" s="1133"/>
      <c r="N35" s="1133"/>
      <c r="O35" s="1133"/>
      <c r="P35" s="3199"/>
      <c r="Q35" s="1811" t="str">
        <f t="shared" si="11"/>
        <v>建筑品质</v>
      </c>
      <c r="R35" s="773" t="s">
        <v>21</v>
      </c>
      <c r="S35" s="774">
        <f t="shared" si="12"/>
        <v>100</v>
      </c>
      <c r="T35" s="773" t="s">
        <v>21</v>
      </c>
      <c r="U35" s="774">
        <f t="shared" si="13"/>
        <v>100</v>
      </c>
      <c r="V35" s="773" t="s">
        <v>21</v>
      </c>
      <c r="W35" s="774">
        <f t="shared" si="14"/>
        <v>100</v>
      </c>
      <c r="X35" s="1814"/>
      <c r="Y35" s="3201"/>
      <c r="Z35" s="1815" t="str">
        <f t="shared" si="18"/>
        <v>建筑品质</v>
      </c>
      <c r="AA35" s="1812">
        <f t="shared" si="15"/>
        <v>1</v>
      </c>
      <c r="AB35" s="1812">
        <f t="shared" si="16"/>
        <v>1</v>
      </c>
      <c r="AC35" s="1812">
        <f t="shared" si="17"/>
        <v>1</v>
      </c>
    </row>
    <row r="36" spans="1:29" ht="15">
      <c r="A36" s="471"/>
      <c r="B36" s="421" t="s">
        <v>2564</v>
      </c>
      <c r="C36" s="2614" t="s">
        <v>3291</v>
      </c>
      <c r="D36" s="434">
        <v>100</v>
      </c>
      <c r="E36" s="2614" t="s">
        <v>3291</v>
      </c>
      <c r="F36" s="460">
        <f>SUMIF(109:109,E36,110:110)-SUMIF(109:109,C36,110:110)+100</f>
        <v>100</v>
      </c>
      <c r="G36" s="2614" t="s">
        <v>3291</v>
      </c>
      <c r="H36" s="434">
        <f>SUMIF(109:109,G36,110:110)-SUMIF(109:109,C36,110:110)+100</f>
        <v>100</v>
      </c>
      <c r="I36" s="2614" t="s">
        <v>3291</v>
      </c>
      <c r="J36" s="434">
        <f>SUMIF(109:109,I36,110:110)-SUMIF(109:109,C36,110:110)+100</f>
        <v>100</v>
      </c>
      <c r="K36" s="425">
        <v>2</v>
      </c>
      <c r="L36" s="1142"/>
      <c r="M36" s="1133"/>
      <c r="N36" s="1133"/>
      <c r="O36" s="1133"/>
      <c r="P36" s="3199"/>
      <c r="Q36" s="1811" t="str">
        <f t="shared" si="11"/>
        <v>公共部分装修</v>
      </c>
      <c r="R36" s="773" t="s">
        <v>21</v>
      </c>
      <c r="S36" s="774">
        <f t="shared" si="12"/>
        <v>100</v>
      </c>
      <c r="T36" s="773" t="s">
        <v>21</v>
      </c>
      <c r="U36" s="774">
        <f t="shared" si="13"/>
        <v>100</v>
      </c>
      <c r="V36" s="773" t="s">
        <v>21</v>
      </c>
      <c r="W36" s="774">
        <f t="shared" si="14"/>
        <v>100</v>
      </c>
      <c r="X36" s="1814"/>
      <c r="Y36" s="3201"/>
      <c r="Z36" s="1815" t="str">
        <f t="shared" si="18"/>
        <v>公共部分装修</v>
      </c>
      <c r="AA36" s="1812">
        <f t="shared" si="15"/>
        <v>1</v>
      </c>
      <c r="AB36" s="1812">
        <f t="shared" si="16"/>
        <v>1</v>
      </c>
      <c r="AC36" s="1812">
        <f t="shared" si="17"/>
        <v>1</v>
      </c>
    </row>
    <row r="37" spans="1:29" s="116" customFormat="1" ht="15">
      <c r="A37" s="472"/>
      <c r="B37" s="421"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199"/>
      <c r="Q37" s="1796" t="str">
        <f t="shared" si="11"/>
        <v>成新度</v>
      </c>
      <c r="R37" s="769" t="s">
        <v>21</v>
      </c>
      <c r="S37" s="770">
        <f t="shared" si="12"/>
        <v>100</v>
      </c>
      <c r="T37" s="769" t="s">
        <v>21</v>
      </c>
      <c r="U37" s="770">
        <f t="shared" si="13"/>
        <v>100</v>
      </c>
      <c r="V37" s="769" t="s">
        <v>21</v>
      </c>
      <c r="W37" s="770">
        <f t="shared" si="14"/>
        <v>100</v>
      </c>
      <c r="X37" s="771"/>
      <c r="Y37" s="3201"/>
      <c r="Z37" s="55" t="str">
        <f t="shared" si="18"/>
        <v>成新度</v>
      </c>
      <c r="AA37" s="772">
        <f t="shared" si="15"/>
        <v>1</v>
      </c>
      <c r="AB37" s="772">
        <f t="shared" si="16"/>
        <v>1</v>
      </c>
      <c r="AC37" s="772">
        <f t="shared" si="17"/>
        <v>1</v>
      </c>
    </row>
    <row r="38" spans="1:29" ht="15">
      <c r="A38" s="471"/>
      <c r="B38" s="421" t="s">
        <v>2566</v>
      </c>
      <c r="C38" s="2614" t="s">
        <v>3293</v>
      </c>
      <c r="D38" s="434">
        <v>100</v>
      </c>
      <c r="E38" s="2614" t="s">
        <v>3293</v>
      </c>
      <c r="F38" s="460">
        <f>SUMIF(114:114,E38,115:115)-SUMIF(114:114,C38,115:115)+100</f>
        <v>100</v>
      </c>
      <c r="G38" s="2614" t="s">
        <v>3293</v>
      </c>
      <c r="H38" s="434">
        <f>SUMIF(114:114,G38,115:115)-SUMIF(114:114,C38,115:115)+100</f>
        <v>100</v>
      </c>
      <c r="I38" s="2614" t="s">
        <v>3293</v>
      </c>
      <c r="J38" s="434">
        <f>SUMIF(114:114,I38,115:115)-SUMIF(114:114,C38,115:115)+100</f>
        <v>100</v>
      </c>
      <c r="K38" s="425"/>
      <c r="L38" s="1142"/>
      <c r="M38" s="1133"/>
      <c r="N38" s="1133"/>
      <c r="O38" s="1133"/>
      <c r="P38" s="3199" t="s">
        <v>2560</v>
      </c>
      <c r="Q38" s="1811" t="str">
        <f t="shared" si="11"/>
        <v>物业管理</v>
      </c>
      <c r="R38" s="773" t="s">
        <v>21</v>
      </c>
      <c r="S38" s="774">
        <f t="shared" si="12"/>
        <v>100</v>
      </c>
      <c r="T38" s="773" t="s">
        <v>21</v>
      </c>
      <c r="U38" s="774">
        <f t="shared" si="13"/>
        <v>100</v>
      </c>
      <c r="V38" s="773" t="s">
        <v>21</v>
      </c>
      <c r="W38" s="774">
        <f t="shared" si="14"/>
        <v>100</v>
      </c>
      <c r="X38" s="1814"/>
      <c r="Y38" s="3201" t="s">
        <v>2560</v>
      </c>
      <c r="Z38" s="1815" t="str">
        <f t="shared" si="18"/>
        <v>物业管理</v>
      </c>
      <c r="AA38" s="1812">
        <f t="shared" si="15"/>
        <v>1</v>
      </c>
      <c r="AB38" s="1812">
        <f t="shared" si="16"/>
        <v>1</v>
      </c>
      <c r="AC38" s="1812">
        <f t="shared" si="17"/>
        <v>1</v>
      </c>
    </row>
    <row r="39" spans="1:29" ht="15">
      <c r="A39" s="471"/>
      <c r="B39" s="421" t="s">
        <v>2567</v>
      </c>
      <c r="C39" s="2614" t="s">
        <v>3226</v>
      </c>
      <c r="D39" s="434">
        <v>100</v>
      </c>
      <c r="E39" s="2614" t="s">
        <v>3226</v>
      </c>
      <c r="F39" s="460">
        <f>SUMIF(116:116,E39,117:117)-SUMIF(116:116,C39,117:117)+100</f>
        <v>100</v>
      </c>
      <c r="G39" s="2614" t="s">
        <v>3226</v>
      </c>
      <c r="H39" s="434">
        <f>SUMIF(116:116,G39,117:117)-SUMIF(116:116,C39,117:117)+100</f>
        <v>100</v>
      </c>
      <c r="I39" s="2614" t="s">
        <v>3226</v>
      </c>
      <c r="J39" s="434">
        <f>SUMIF(116:116,I39,117:117)-SUMIF(116:116,C39,117:117)+100</f>
        <v>100</v>
      </c>
      <c r="K39" s="425"/>
      <c r="L39" s="1142"/>
      <c r="M39" s="1133"/>
      <c r="N39" s="1133"/>
      <c r="O39" s="1133"/>
      <c r="P39" s="3199"/>
      <c r="Q39" s="1811" t="str">
        <f t="shared" si="11"/>
        <v>市政基础设施</v>
      </c>
      <c r="R39" s="773" t="s">
        <v>21</v>
      </c>
      <c r="S39" s="774">
        <f t="shared" si="12"/>
        <v>100</v>
      </c>
      <c r="T39" s="773" t="s">
        <v>21</v>
      </c>
      <c r="U39" s="774">
        <f t="shared" si="13"/>
        <v>100</v>
      </c>
      <c r="V39" s="773" t="s">
        <v>21</v>
      </c>
      <c r="W39" s="774">
        <f t="shared" si="14"/>
        <v>100</v>
      </c>
      <c r="X39" s="1814"/>
      <c r="Y39" s="3201"/>
      <c r="Z39" s="1815" t="str">
        <f t="shared" si="18"/>
        <v>市政基础设施</v>
      </c>
      <c r="AA39" s="1812">
        <f t="shared" si="15"/>
        <v>1</v>
      </c>
      <c r="AB39" s="1812">
        <f t="shared" si="16"/>
        <v>1</v>
      </c>
      <c r="AC39" s="1812">
        <f t="shared" si="17"/>
        <v>1</v>
      </c>
    </row>
    <row r="40" spans="1:29" ht="15">
      <c r="A40" s="471"/>
      <c r="B40" s="421" t="s">
        <v>2568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v>5</v>
      </c>
      <c r="L40" s="1142"/>
      <c r="M40" s="1133"/>
      <c r="N40" s="1133"/>
      <c r="O40" s="1133"/>
      <c r="P40" s="3199"/>
      <c r="Q40" s="1811" t="str">
        <f t="shared" si="11"/>
        <v>房型</v>
      </c>
      <c r="R40" s="773" t="s">
        <v>21</v>
      </c>
      <c r="S40" s="774">
        <f t="shared" si="12"/>
        <v>100</v>
      </c>
      <c r="T40" s="773" t="s">
        <v>21</v>
      </c>
      <c r="U40" s="774">
        <f t="shared" si="13"/>
        <v>100</v>
      </c>
      <c r="V40" s="773" t="s">
        <v>21</v>
      </c>
      <c r="W40" s="774">
        <f t="shared" si="14"/>
        <v>100</v>
      </c>
      <c r="X40" s="1814"/>
      <c r="Y40" s="3201"/>
      <c r="Z40" s="1815" t="str">
        <f t="shared" si="18"/>
        <v>房型</v>
      </c>
      <c r="AA40" s="1812">
        <f t="shared" si="15"/>
        <v>1</v>
      </c>
      <c r="AB40" s="1812">
        <f t="shared" si="16"/>
        <v>1</v>
      </c>
      <c r="AC40" s="1812">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199"/>
      <c r="Q41" s="775" t="str">
        <f t="shared" si="11"/>
        <v>单套/主力户型建筑面积</v>
      </c>
      <c r="R41" s="776" t="s">
        <v>21</v>
      </c>
      <c r="S41" s="777">
        <f t="shared" si="12"/>
        <v>100</v>
      </c>
      <c r="T41" s="776" t="s">
        <v>21</v>
      </c>
      <c r="U41" s="777">
        <f t="shared" si="13"/>
        <v>100</v>
      </c>
      <c r="V41" s="776" t="s">
        <v>21</v>
      </c>
      <c r="W41" s="777">
        <f t="shared" si="14"/>
        <v>100</v>
      </c>
      <c r="X41" s="778"/>
      <c r="Y41" s="3201"/>
      <c r="Z41" s="779" t="str">
        <f t="shared" si="18"/>
        <v>单套/主力户型建筑面积</v>
      </c>
      <c r="AA41" s="1812">
        <f t="shared" si="15"/>
        <v>1</v>
      </c>
      <c r="AB41" s="1812">
        <f t="shared" si="16"/>
        <v>1</v>
      </c>
      <c r="AC41" s="1812">
        <f t="shared" si="17"/>
        <v>1</v>
      </c>
    </row>
    <row r="42" spans="1:29" ht="15">
      <c r="A42" s="471"/>
      <c r="B42" s="421" t="s">
        <v>2570</v>
      </c>
      <c r="C42" s="2614" t="s">
        <v>3291</v>
      </c>
      <c r="D42" s="434">
        <v>100</v>
      </c>
      <c r="E42" s="2614" t="s">
        <v>3291</v>
      </c>
      <c r="F42" s="460">
        <f>SUMIF(122:122,E42,123:123)-SUMIF(122:122,C42,123:123)+100</f>
        <v>100</v>
      </c>
      <c r="G42" s="2614" t="s">
        <v>3291</v>
      </c>
      <c r="H42" s="434">
        <f>SUMIF(122:122,G42,123:123)-SUMIF(122:122,C42,123:123)+100</f>
        <v>100</v>
      </c>
      <c r="I42" s="2614" t="s">
        <v>3291</v>
      </c>
      <c r="J42" s="434">
        <f>SUMIF(122:122,I42,123:123)-SUMIF(122:122,C42,123:123)+100</f>
        <v>100</v>
      </c>
      <c r="K42" s="425">
        <v>2</v>
      </c>
      <c r="L42" s="1142"/>
      <c r="M42" s="1133"/>
      <c r="N42" s="1133"/>
      <c r="O42" s="1133"/>
      <c r="P42" s="3199"/>
      <c r="Q42" s="1811" t="str">
        <f t="shared" si="11"/>
        <v>内部装修</v>
      </c>
      <c r="R42" s="773" t="s">
        <v>21</v>
      </c>
      <c r="S42" s="774">
        <f t="shared" si="12"/>
        <v>100</v>
      </c>
      <c r="T42" s="773" t="s">
        <v>21</v>
      </c>
      <c r="U42" s="774">
        <f t="shared" si="13"/>
        <v>100</v>
      </c>
      <c r="V42" s="773" t="s">
        <v>21</v>
      </c>
      <c r="W42" s="774">
        <f t="shared" si="14"/>
        <v>100</v>
      </c>
      <c r="X42" s="1814"/>
      <c r="Y42" s="3201"/>
      <c r="Z42" s="1815" t="str">
        <f t="shared" si="18"/>
        <v>内部装修</v>
      </c>
      <c r="AA42" s="1812">
        <f t="shared" si="15"/>
        <v>1</v>
      </c>
      <c r="AB42" s="1812">
        <f t="shared" si="16"/>
        <v>1</v>
      </c>
      <c r="AC42" s="1812">
        <f t="shared" si="17"/>
        <v>1</v>
      </c>
    </row>
    <row r="43" spans="1:29" ht="15">
      <c r="A43" s="471"/>
      <c r="B43" s="421" t="s">
        <v>2571</v>
      </c>
      <c r="C43" s="2614" t="s">
        <v>3049</v>
      </c>
      <c r="D43" s="434">
        <v>100</v>
      </c>
      <c r="E43" s="2614" t="s">
        <v>3049</v>
      </c>
      <c r="F43" s="460">
        <f>SUMIF(124:124,E43,125:125)-SUMIF(124:124,C43,125:125)+100</f>
        <v>100</v>
      </c>
      <c r="G43" s="2614" t="s">
        <v>3049</v>
      </c>
      <c r="H43" s="434">
        <f>SUMIF(124:124,G43,125:125)-SUMIF(124:124,C43,125:125)+100</f>
        <v>100</v>
      </c>
      <c r="I43" s="2614" t="s">
        <v>3049</v>
      </c>
      <c r="J43" s="434">
        <f>SUMIF(124:124,I43,125:125)-SUMIF(124:124,C43,125:125)+100</f>
        <v>100</v>
      </c>
      <c r="K43" s="425">
        <v>2</v>
      </c>
      <c r="L43" s="1142"/>
      <c r="M43" s="1133"/>
      <c r="N43" s="1133"/>
      <c r="O43" s="1133"/>
      <c r="P43" s="3199"/>
      <c r="Q43" s="1811" t="str">
        <f t="shared" si="11"/>
        <v>内部装修维护情况</v>
      </c>
      <c r="R43" s="773" t="s">
        <v>21</v>
      </c>
      <c r="S43" s="774">
        <f t="shared" si="12"/>
        <v>100</v>
      </c>
      <c r="T43" s="773" t="s">
        <v>21</v>
      </c>
      <c r="U43" s="774">
        <f t="shared" si="13"/>
        <v>100</v>
      </c>
      <c r="V43" s="773" t="s">
        <v>21</v>
      </c>
      <c r="W43" s="774">
        <f t="shared" si="14"/>
        <v>100</v>
      </c>
      <c r="X43" s="1814"/>
      <c r="Y43" s="3201"/>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199"/>
      <c r="Q44" s="1796">
        <f t="shared" si="11"/>
        <v>111</v>
      </c>
      <c r="R44" s="769" t="s">
        <v>21</v>
      </c>
      <c r="S44" s="770">
        <f t="shared" si="12"/>
        <v>100</v>
      </c>
      <c r="T44" s="769" t="s">
        <v>21</v>
      </c>
      <c r="U44" s="770">
        <f t="shared" si="13"/>
        <v>100</v>
      </c>
      <c r="V44" s="769" t="s">
        <v>21</v>
      </c>
      <c r="W44" s="770">
        <f t="shared" si="14"/>
        <v>100</v>
      </c>
      <c r="X44" s="771"/>
      <c r="Y44" s="320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199"/>
      <c r="Q45" s="1811">
        <f t="shared" si="11"/>
        <v>111</v>
      </c>
      <c r="R45" s="773" t="s">
        <v>21</v>
      </c>
      <c r="S45" s="774">
        <f t="shared" si="12"/>
        <v>100</v>
      </c>
      <c r="T45" s="773" t="s">
        <v>21</v>
      </c>
      <c r="U45" s="774">
        <f t="shared" si="13"/>
        <v>100</v>
      </c>
      <c r="V45" s="773" t="s">
        <v>21</v>
      </c>
      <c r="W45" s="774">
        <f t="shared" si="14"/>
        <v>100</v>
      </c>
      <c r="X45" s="1814"/>
      <c r="Y45" s="3201"/>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00"/>
      <c r="Q46" s="1811">
        <f t="shared" si="11"/>
        <v>111</v>
      </c>
      <c r="R46" s="773" t="s">
        <v>20</v>
      </c>
      <c r="S46" s="774">
        <f t="shared" si="12"/>
        <v>100</v>
      </c>
      <c r="T46" s="773" t="s">
        <v>20</v>
      </c>
      <c r="U46" s="774">
        <f t="shared" si="13"/>
        <v>100</v>
      </c>
      <c r="V46" s="773" t="s">
        <v>20</v>
      </c>
      <c r="W46" s="774">
        <f t="shared" si="14"/>
        <v>100</v>
      </c>
      <c r="X46" s="1814"/>
      <c r="Y46" s="3202"/>
      <c r="Z46" s="1815">
        <f t="shared" si="18"/>
        <v>111</v>
      </c>
      <c r="AA46" s="1812">
        <f t="shared" si="15"/>
        <v>1</v>
      </c>
      <c r="AB46" s="1812">
        <f t="shared" si="16"/>
        <v>1</v>
      </c>
      <c r="AC46" s="1812">
        <f t="shared" si="17"/>
        <v>1</v>
      </c>
    </row>
    <row r="47" spans="1:29" ht="15">
      <c r="A47" s="478" t="s">
        <v>2572</v>
      </c>
      <c r="B47" s="479"/>
      <c r="C47" s="1408" t="s">
        <v>19</v>
      </c>
      <c r="D47" s="1409"/>
      <c r="E47" s="1410">
        <v>68376</v>
      </c>
      <c r="F47" s="1411"/>
      <c r="G47" s="1412">
        <v>60465</v>
      </c>
      <c r="H47" s="1413"/>
      <c r="I47" s="1410">
        <v>65123</v>
      </c>
      <c r="J47" s="1413"/>
      <c r="K47" s="2621"/>
      <c r="L47" s="1145"/>
      <c r="M47" s="1146"/>
      <c r="N47" s="1133"/>
      <c r="O47" s="1146"/>
      <c r="P47" s="3194" t="str">
        <f>A47</f>
        <v>成交单价（元/平方米）</v>
      </c>
      <c r="Q47" s="3194"/>
      <c r="R47" s="3195">
        <f>E47</f>
        <v>68376</v>
      </c>
      <c r="S47" s="3195"/>
      <c r="T47" s="3195">
        <f>G47</f>
        <v>60465</v>
      </c>
      <c r="U47" s="3195"/>
      <c r="V47" s="3195">
        <f>I47</f>
        <v>65123</v>
      </c>
      <c r="W47" s="3195"/>
      <c r="X47" s="758"/>
      <c r="Y47" s="780"/>
      <c r="Z47" s="758"/>
      <c r="AA47" s="758"/>
      <c r="AB47" s="758"/>
      <c r="AC47" s="758"/>
    </row>
    <row r="48" spans="1:29" ht="15.75" thickBot="1">
      <c r="A48" s="485" t="s">
        <v>2573</v>
      </c>
      <c r="B48" s="486"/>
      <c r="C48" s="1414">
        <f>R49</f>
        <v>64758</v>
      </c>
      <c r="D48" s="1415"/>
      <c r="E48" s="1416">
        <f>R48</f>
        <v>69178</v>
      </c>
      <c r="F48" s="1416"/>
      <c r="G48" s="1414">
        <f>T48</f>
        <v>61782</v>
      </c>
      <c r="H48" s="1415"/>
      <c r="I48" s="1416">
        <f>V48</f>
        <v>63315</v>
      </c>
      <c r="J48" s="1415"/>
      <c r="K48" s="2622"/>
      <c r="L48" s="1145"/>
      <c r="M48" s="1146"/>
      <c r="N48" s="1146"/>
      <c r="O48" s="1146"/>
      <c r="P48" s="3194" t="str">
        <f>A48</f>
        <v>比较价值（元/平方米）</v>
      </c>
      <c r="Q48" s="3194"/>
      <c r="R48" s="3195">
        <f>IF(F1="售价",ROUND(PRODUCT(R47,AA7:AA46),0),ROUND(PRODUCT(R47,AA7:AA46),1))</f>
        <v>69178</v>
      </c>
      <c r="S48" s="3195"/>
      <c r="T48" s="3195">
        <f>IF(F1="售价",ROUND(PRODUCT(T47,AB7:AB46),0),ROUND(PRODUCT(T47,AB7:AB46),1))</f>
        <v>61782</v>
      </c>
      <c r="U48" s="3195"/>
      <c r="V48" s="3195">
        <f>IF(F1="售价",ROUND(PRODUCT(V47,AC7:AC46),0),ROUND(PRODUCT(V47,AC7:AC46),1))</f>
        <v>63315</v>
      </c>
      <c r="W48" s="3195"/>
      <c r="X48" s="758"/>
      <c r="Y48" s="758"/>
      <c r="Z48" s="758"/>
      <c r="AA48" s="758"/>
      <c r="AB48" s="758"/>
      <c r="AC48" s="758"/>
    </row>
    <row r="49" spans="1:29" ht="15.75" thickBot="1">
      <c r="A49" s="491" t="s">
        <v>2574</v>
      </c>
      <c r="B49" s="492"/>
      <c r="C49" s="1417">
        <f>R49</f>
        <v>64758</v>
      </c>
      <c r="D49" s="1418"/>
      <c r="E49" s="1418"/>
      <c r="F49" s="1418"/>
      <c r="G49" s="1418"/>
      <c r="H49" s="1418"/>
      <c r="I49" s="1418"/>
      <c r="J49" s="1418"/>
      <c r="K49" s="2623"/>
      <c r="L49" s="1145"/>
      <c r="M49" s="1146"/>
      <c r="N49" s="1146"/>
      <c r="O49" s="1146"/>
      <c r="P49" s="3191" t="str">
        <f>A49</f>
        <v>估价对象XX用房的比较价值（楼面单价，元/平方米）</v>
      </c>
      <c r="Q49" s="3192"/>
      <c r="R49" s="3193">
        <f>IF(F1="售价",ROUND(AVERAGE(R48:V48),0),ROUND(AVERAGE(R48:V48),1))</f>
        <v>64758</v>
      </c>
      <c r="S49" s="3193"/>
      <c r="T49" s="3193"/>
      <c r="U49" s="3193"/>
      <c r="V49" s="3193"/>
      <c r="W49" s="319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2575</v>
      </c>
      <c r="D52" s="497"/>
      <c r="E52" s="498">
        <f>IF(E47&lt;E48,E48/E47-1,E47/E48-1)</f>
        <v>1.1729261729261697E-2</v>
      </c>
      <c r="F52" s="499" t="str">
        <f>IF(OR(E52&gt;=0.3,E52&lt;=-0.3),"超过30%","")</f>
        <v/>
      </c>
      <c r="G52" s="498">
        <f>IF(G47&lt;G48,G48/G47-1,G47/G48-1)</f>
        <v>2.1781195733068692E-2</v>
      </c>
      <c r="H52" s="499" t="str">
        <f>IF(OR(G52&gt;=0.3,G52&lt;=-0.3),"超过30%","")</f>
        <v/>
      </c>
      <c r="I52" s="498">
        <f>IF(I47&lt;I48,I48/I47-1,I47/I48-1)</f>
        <v>2.8555634525783802E-2</v>
      </c>
      <c r="J52" s="499" t="str">
        <f>IF(OR(I52&gt;=0.3,I52&lt;=-0.3),"超过30%","")</f>
        <v/>
      </c>
      <c r="K52" s="1107"/>
      <c r="L52" s="1108"/>
      <c r="M52" s="1146"/>
      <c r="N52" s="1146"/>
      <c r="O52" s="1146"/>
    </row>
    <row r="53" spans="1:29" ht="13.5" customHeight="1">
      <c r="A53" s="1146"/>
      <c r="B53" s="1146"/>
      <c r="C53" s="496" t="s">
        <v>2576</v>
      </c>
      <c r="D53" s="500"/>
      <c r="E53" s="498">
        <f>IF(E48&lt;G48,G48/E48-1,E48/G48-1)</f>
        <v>0.1197112427567899</v>
      </c>
      <c r="F53" s="499" t="str">
        <f>IF(OR(E53&gt;=0.2,E53&lt;=-0.2),"超过20%","")</f>
        <v/>
      </c>
      <c r="G53" s="498">
        <f>IF(G48&lt;I48,I48/G48-1,G48/I48-1)</f>
        <v>2.4813052345343367E-2</v>
      </c>
      <c r="H53" s="499" t="str">
        <f>IF(OR(G53&gt;=0.2,G53&lt;=-0.2),"超过20%","")</f>
        <v/>
      </c>
      <c r="I53" s="498">
        <f>IF(I48&lt;E48,E48/I48-1,I48/E48-1)</f>
        <v>9.2600489615414894E-2</v>
      </c>
      <c r="J53" s="499" t="str">
        <f>IF(OR(I53&gt;=0.2,I53&lt;=-0.2),"超过20%","")</f>
        <v/>
      </c>
      <c r="K53" s="1107"/>
      <c r="L53" s="1108"/>
      <c r="M53" s="1146"/>
      <c r="N53" s="1146"/>
      <c r="O53" s="1146"/>
    </row>
    <row r="54" spans="1:29" s="501" customFormat="1" ht="13.5" customHeight="1">
      <c r="A54" s="1147"/>
      <c r="B54" s="1147"/>
      <c r="C54" s="496" t="s">
        <v>2577</v>
      </c>
      <c r="D54" s="500"/>
      <c r="E54" s="498">
        <f>IF(E47&lt;G47,G47/E47-1,E47/G47-1)</f>
        <v>0.13083602083850154</v>
      </c>
      <c r="F54" s="499" t="str">
        <f>IF(OR(E54&gt;=0.3,E54&lt;=-0.3),"超过30%","")</f>
        <v/>
      </c>
      <c r="G54" s="498">
        <f>IF(G47&lt;I47,I47/G47-1,G47/I47-1)</f>
        <v>7.7036301992888356E-2</v>
      </c>
      <c r="H54" s="499" t="str">
        <f>IF(OR(G54&gt;=0.3,G54&lt;=-0.3),"超过30%","")</f>
        <v/>
      </c>
      <c r="I54" s="498">
        <f>IF(I47&lt;E47,E47/I47-1,I47/E47-1)</f>
        <v>4.9951629992475821E-2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2578</v>
      </c>
      <c r="B57" s="758"/>
      <c r="C57" s="763"/>
      <c r="D57" s="763"/>
      <c r="E57" s="763"/>
      <c r="F57" s="764"/>
      <c r="G57" s="764"/>
      <c r="H57" s="763"/>
      <c r="I57" s="763"/>
      <c r="J57" s="763"/>
      <c r="K57" s="1162"/>
      <c r="L57" s="1163"/>
      <c r="M57" s="1161"/>
      <c r="N57" s="1161"/>
      <c r="O57" s="1161"/>
      <c r="P57" s="2626"/>
      <c r="Q57" s="503"/>
    </row>
    <row r="58" spans="1:29" s="507" customFormat="1" ht="15">
      <c r="A58" s="504" t="s">
        <v>2579</v>
      </c>
      <c r="B58" s="505"/>
      <c r="C58" s="1577" t="str">
        <f>YEAR(C7)&amp;"-"&amp;MONTH(C7)</f>
        <v>2018-3</v>
      </c>
      <c r="D58" s="1576">
        <f>EDATE(C58,-1)</f>
        <v>43132</v>
      </c>
      <c r="E58" s="1576">
        <f>EDATE(D58,-1)</f>
        <v>43101</v>
      </c>
      <c r="F58" s="1576">
        <f t="shared" ref="F58:O58" si="19">EDATE(E58,-1)</f>
        <v>43070</v>
      </c>
      <c r="G58" s="1576">
        <f t="shared" si="19"/>
        <v>43040</v>
      </c>
      <c r="H58" s="1576">
        <f t="shared" si="19"/>
        <v>43009</v>
      </c>
      <c r="I58" s="1576">
        <f t="shared" si="19"/>
        <v>42979</v>
      </c>
      <c r="J58" s="1576">
        <f t="shared" si="19"/>
        <v>42948</v>
      </c>
      <c r="K58" s="1576">
        <f t="shared" si="19"/>
        <v>42917</v>
      </c>
      <c r="L58" s="1576">
        <f t="shared" si="19"/>
        <v>42887</v>
      </c>
      <c r="M58" s="1576">
        <f t="shared" si="19"/>
        <v>42856</v>
      </c>
      <c r="N58" s="1576">
        <f t="shared" si="19"/>
        <v>42826</v>
      </c>
      <c r="O58" s="1576">
        <f t="shared" si="19"/>
        <v>42795</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2580</v>
      </c>
      <c r="B60" s="515"/>
      <c r="C60" s="516"/>
      <c r="D60" s="517"/>
      <c r="E60" s="517"/>
      <c r="F60" s="517"/>
      <c r="G60" s="517"/>
      <c r="H60" s="517"/>
      <c r="I60" s="517"/>
      <c r="J60" s="517"/>
      <c r="K60" s="517"/>
      <c r="L60" s="517"/>
      <c r="M60" s="518"/>
      <c r="N60" s="517"/>
      <c r="O60" s="518"/>
      <c r="P60" s="2628"/>
      <c r="Q60" s="503"/>
    </row>
    <row r="61" spans="1:29" s="116" customFormat="1" ht="15">
      <c r="A61" s="520" t="s">
        <v>2581</v>
      </c>
      <c r="B61" s="509"/>
      <c r="C61" s="521" t="s">
        <v>2582</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2583</v>
      </c>
      <c r="B63" s="527" t="s">
        <v>2549</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2097</v>
      </c>
      <c r="C82" s="538" t="s">
        <v>2599</v>
      </c>
      <c r="D82" s="538" t="s">
        <v>2600</v>
      </c>
      <c r="E82" s="538" t="s">
        <v>2601</v>
      </c>
      <c r="F82" s="538" t="s">
        <v>2602</v>
      </c>
      <c r="G82" s="538" t="s">
        <v>2603</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6" customFormat="1" ht="15.75" thickTop="1">
      <c r="A86" s="578"/>
      <c r="B86" s="537" t="s">
        <v>2605</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2606</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2558</v>
      </c>
      <c r="B100" s="527" t="s">
        <v>2607</v>
      </c>
      <c r="C100" s="2948" t="s">
        <v>3323</v>
      </c>
      <c r="D100" s="2948" t="s">
        <v>3324</v>
      </c>
      <c r="E100" s="2948" t="s">
        <v>3325</v>
      </c>
      <c r="F100" s="2948" t="s">
        <v>3326</v>
      </c>
      <c r="G100" s="2948" t="s">
        <v>3327</v>
      </c>
      <c r="H100" s="529"/>
      <c r="I100" s="529"/>
      <c r="J100" s="529"/>
      <c r="K100" s="530"/>
      <c r="L100" s="531"/>
      <c r="M100" s="532"/>
      <c r="N100" s="1154"/>
      <c r="O100" s="1154"/>
      <c r="P100" s="2630"/>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5"/>
      <c r="O101" s="1155"/>
      <c r="P101" s="2630"/>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59">
        <v>0</v>
      </c>
      <c r="D103" s="2959">
        <v>50000</v>
      </c>
      <c r="E103" s="2959">
        <v>100000</v>
      </c>
      <c r="F103" s="2959">
        <v>1500000</v>
      </c>
      <c r="G103" s="2959">
        <v>200000</v>
      </c>
      <c r="H103" s="594">
        <v>250000</v>
      </c>
      <c r="I103" s="594">
        <v>300000</v>
      </c>
      <c r="J103" s="595"/>
      <c r="K103" s="595"/>
      <c r="L103" s="596"/>
      <c r="M103" s="597"/>
      <c r="N103" s="1156"/>
      <c r="O103" s="1156"/>
      <c r="P103" s="2631"/>
      <c r="Q103" s="558"/>
    </row>
    <row r="104" spans="1:17" s="470" customFormat="1" ht="15.75" thickBot="1">
      <c r="A104" s="552"/>
      <c r="B104" s="542"/>
      <c r="C104" s="2960">
        <v>100</v>
      </c>
      <c r="D104" s="2961">
        <v>101</v>
      </c>
      <c r="E104" s="2961">
        <v>102</v>
      </c>
      <c r="F104" s="2961">
        <v>103</v>
      </c>
      <c r="G104" s="2961">
        <v>104</v>
      </c>
      <c r="H104" s="535">
        <v>105</v>
      </c>
      <c r="I104" s="535">
        <v>106</v>
      </c>
      <c r="J104" s="535"/>
      <c r="K104" s="535"/>
      <c r="L104" s="535"/>
      <c r="M104" s="535"/>
      <c r="N104" s="1155"/>
      <c r="O104" s="1155"/>
      <c r="P104" s="2631"/>
      <c r="Q104" s="558"/>
    </row>
    <row r="105" spans="1:17" ht="15" thickTop="1">
      <c r="A105" s="598"/>
      <c r="B105" s="537" t="s">
        <v>2609</v>
      </c>
      <c r="C105" s="553" t="s">
        <v>3273</v>
      </c>
      <c r="D105" s="553" t="s">
        <v>3274</v>
      </c>
      <c r="E105" s="582" t="s">
        <v>3275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2610</v>
      </c>
      <c r="C107" s="582" t="s">
        <v>3276</v>
      </c>
      <c r="D107" s="582" t="s">
        <v>3277</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2611</v>
      </c>
      <c r="C109" s="553" t="s">
        <v>3278</v>
      </c>
      <c r="D109" s="553" t="s">
        <v>3279</v>
      </c>
      <c r="E109" s="553" t="s">
        <v>3280</v>
      </c>
      <c r="F109" s="582" t="s">
        <v>3281</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2612</v>
      </c>
      <c r="C114" s="553" t="s">
        <v>3282</v>
      </c>
      <c r="D114" s="553" t="s">
        <v>3283</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2613</v>
      </c>
      <c r="C116" s="553" t="s">
        <v>3284</v>
      </c>
      <c r="D116" s="553" t="s">
        <v>3285</v>
      </c>
      <c r="E116" s="553" t="s">
        <v>3286</v>
      </c>
      <c r="F116" s="553" t="s">
        <v>3287</v>
      </c>
      <c r="G116" s="553" t="s">
        <v>3288</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2614</v>
      </c>
      <c r="C118" s="2955" t="s">
        <v>3289</v>
      </c>
      <c r="D118" s="582" t="s">
        <v>3290</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2569</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2615</v>
      </c>
      <c r="C122" s="553" t="s">
        <v>3278</v>
      </c>
      <c r="D122" s="553" t="s">
        <v>3279</v>
      </c>
      <c r="E122" s="553" t="s">
        <v>3280</v>
      </c>
      <c r="F122" s="582" t="s">
        <v>3281</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5" t="s">
        <v>2620</v>
      </c>
      <c r="D138" s="145" t="s">
        <v>2621</v>
      </c>
      <c r="E138" s="2645" t="s">
        <v>2622</v>
      </c>
      <c r="F138" s="2646" t="s">
        <v>2623</v>
      </c>
      <c r="G138" s="145" t="s">
        <v>2621</v>
      </c>
      <c r="H138" s="146" t="s">
        <v>2622</v>
      </c>
      <c r="I138" s="2647"/>
      <c r="J138" s="145" t="s">
        <v>2624</v>
      </c>
      <c r="K138" s="146" t="s">
        <v>2625</v>
      </c>
    </row>
    <row r="139" spans="1:17" ht="15">
      <c r="B139" s="1086">
        <v>6</v>
      </c>
      <c r="C139" s="1087">
        <v>96</v>
      </c>
      <c r="D139" s="2648" t="s">
        <v>2626</v>
      </c>
      <c r="E139" s="1088">
        <v>100</v>
      </c>
      <c r="F139" s="1089">
        <v>102.5</v>
      </c>
      <c r="G139" s="2648" t="s">
        <v>2626</v>
      </c>
      <c r="H139" s="1090">
        <v>105</v>
      </c>
      <c r="I139" s="2649" t="s">
        <v>2627</v>
      </c>
      <c r="J139" s="1087">
        <v>20</v>
      </c>
      <c r="K139" s="1091">
        <f>C145/(J139-2)</f>
        <v>4.0555555555555553E-3</v>
      </c>
    </row>
    <row r="140" spans="1:17" ht="15">
      <c r="B140" s="1092">
        <v>5</v>
      </c>
      <c r="C140" s="1093">
        <v>100</v>
      </c>
      <c r="D140" s="1093"/>
      <c r="E140" s="1094"/>
      <c r="F140" s="1095">
        <v>102</v>
      </c>
      <c r="G140" s="1093"/>
      <c r="H140" s="1096"/>
      <c r="I140" s="2650" t="s">
        <v>2628</v>
      </c>
      <c r="J140" s="314">
        <f>ROUNDUP((J139-1)/2,0)</f>
        <v>10</v>
      </c>
      <c r="K140" s="1097">
        <v>100</v>
      </c>
    </row>
    <row r="141" spans="1:17" ht="15">
      <c r="B141" s="1092">
        <v>4</v>
      </c>
      <c r="C141" s="1093">
        <v>102</v>
      </c>
      <c r="D141" s="1093"/>
      <c r="E141" s="1094"/>
      <c r="F141" s="1095">
        <v>101.5</v>
      </c>
      <c r="G141" s="1093"/>
      <c r="H141" s="1096"/>
      <c r="I141" s="2650" t="s">
        <v>2629</v>
      </c>
      <c r="J141" s="314">
        <v>1</v>
      </c>
      <c r="K141" s="1098">
        <f>ROUND(100+(J141-J140)*K139*100,1)</f>
        <v>96.4</v>
      </c>
    </row>
    <row r="142" spans="1:17" ht="15">
      <c r="B142" s="1092">
        <v>3</v>
      </c>
      <c r="C142" s="1093">
        <v>103</v>
      </c>
      <c r="D142" s="1093"/>
      <c r="E142" s="1094"/>
      <c r="F142" s="1095">
        <v>101</v>
      </c>
      <c r="G142" s="1093"/>
      <c r="H142" s="1096"/>
      <c r="I142" s="2650" t="s">
        <v>2630</v>
      </c>
      <c r="J142" s="314">
        <f>J139</f>
        <v>20</v>
      </c>
      <c r="K142" s="1099">
        <v>95</v>
      </c>
    </row>
    <row r="143" spans="1:17" ht="15">
      <c r="B143" s="1092">
        <v>2</v>
      </c>
      <c r="C143" s="1093">
        <v>100</v>
      </c>
      <c r="D143" s="1093"/>
      <c r="E143" s="1094"/>
      <c r="F143" s="1095">
        <v>100.5</v>
      </c>
      <c r="G143" s="1093"/>
      <c r="H143" s="1096"/>
      <c r="I143" s="2650" t="s">
        <v>2631</v>
      </c>
      <c r="J143" s="1093">
        <v>15</v>
      </c>
      <c r="K143" s="1098">
        <f>ROUND(100+(J143-J140)*K139*100,1)</f>
        <v>102</v>
      </c>
    </row>
    <row r="144" spans="1:17" ht="15">
      <c r="B144" s="1092">
        <v>1</v>
      </c>
      <c r="C144" s="1093">
        <v>98</v>
      </c>
      <c r="D144" s="2651" t="s">
        <v>2632</v>
      </c>
      <c r="E144" s="1094">
        <v>102</v>
      </c>
      <c r="F144" s="1100">
        <v>100</v>
      </c>
      <c r="G144" s="2651" t="s">
        <v>2632</v>
      </c>
      <c r="H144" s="1096">
        <v>105</v>
      </c>
      <c r="I144" s="2650" t="s">
        <v>2631</v>
      </c>
      <c r="J144" s="1093">
        <v>18</v>
      </c>
      <c r="K144" s="1098">
        <f>ROUND(100+(J144-J140)*K139*100,1)</f>
        <v>103.2</v>
      </c>
    </row>
    <row r="145" spans="2:11" ht="15.75" thickBot="1">
      <c r="B145" s="2652" t="s">
        <v>2633</v>
      </c>
      <c r="C145" s="1101">
        <f>ROUND(MAX(C139:C144)/MIN(C139:C144)-1,3)</f>
        <v>7.2999999999999995E-2</v>
      </c>
      <c r="D145" s="1102"/>
      <c r="E145" s="1102"/>
      <c r="F145" s="2653" t="s">
        <v>2634</v>
      </c>
      <c r="G145" s="2654"/>
      <c r="H145" s="2655"/>
      <c r="I145" s="2656" t="s">
        <v>2631</v>
      </c>
      <c r="J145" s="1103">
        <v>8</v>
      </c>
      <c r="K145" s="1104">
        <f>ROUND(100+(J145-J140)*K139*100,1)</f>
        <v>99.2</v>
      </c>
    </row>
    <row r="147" spans="2:11">
      <c r="B147" s="2637" t="s">
        <v>2635</v>
      </c>
    </row>
    <row r="148" spans="2:11">
      <c r="B148" s="263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583" t="s">
        <v>2637</v>
      </c>
      <c r="C1" s="1635" t="s">
        <v>2525</v>
      </c>
      <c r="D1" s="1622"/>
      <c r="E1" s="2657"/>
      <c r="F1" s="2585"/>
      <c r="G1" s="1632" t="s">
        <v>2638</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2325</v>
      </c>
      <c r="B2" s="1419"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2327</v>
      </c>
      <c r="B3" s="608" t="e">
        <f ca="1">IF(C2="——",C49,ROUND(B2*10000/D3,0))</f>
        <v>#DIV/0!</v>
      </c>
      <c r="C3" s="399" t="s">
        <v>2639</v>
      </c>
      <c r="D3" s="398">
        <f>IF(D1="",'数据-汇总表'!E3,SUMIF('数据-汇总表'!$C19:$C33,D1,'数据-汇总表'!$E19:$E33))</f>
        <v>12609.74</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25" t="s">
        <v>2643</v>
      </c>
      <c r="AC4" s="3206" t="s">
        <v>2644</v>
      </c>
    </row>
    <row r="5" spans="1:29" ht="15">
      <c r="A5" s="403"/>
      <c r="B5" s="404"/>
      <c r="C5" s="3240" t="s">
        <v>2537</v>
      </c>
      <c r="D5" s="3229"/>
      <c r="E5" s="3242" t="s">
        <v>2538</v>
      </c>
      <c r="F5" s="3239"/>
      <c r="G5" s="3240" t="s">
        <v>2539</v>
      </c>
      <c r="H5" s="3229"/>
      <c r="I5" s="3240" t="s">
        <v>2540</v>
      </c>
      <c r="J5" s="3229"/>
      <c r="K5" s="609"/>
      <c r="L5" s="1132"/>
      <c r="M5" s="1133"/>
      <c r="N5" s="1133"/>
      <c r="O5" s="1133"/>
      <c r="P5" s="3215"/>
      <c r="Q5" s="3216"/>
      <c r="R5" s="3221"/>
      <c r="S5" s="3222"/>
      <c r="T5" s="3221"/>
      <c r="U5" s="3222"/>
      <c r="V5" s="3225"/>
      <c r="W5" s="3225"/>
      <c r="X5" s="1814"/>
      <c r="Y5" s="3221"/>
      <c r="Z5" s="3222"/>
      <c r="AA5" s="3207"/>
      <c r="AB5" s="3225"/>
      <c r="AC5" s="3207"/>
    </row>
    <row r="6" spans="1:29" ht="15.75" thickBot="1">
      <c r="A6" s="405"/>
      <c r="B6" s="406"/>
      <c r="C6" s="3233" t="s">
        <v>2541</v>
      </c>
      <c r="D6" s="3227"/>
      <c r="E6" s="3241" t="s">
        <v>2541</v>
      </c>
      <c r="F6" s="3235"/>
      <c r="G6" s="3233" t="s">
        <v>2541</v>
      </c>
      <c r="H6" s="3227"/>
      <c r="I6" s="3233" t="s">
        <v>2541</v>
      </c>
      <c r="J6" s="3227"/>
      <c r="K6" s="609" t="s">
        <v>2542</v>
      </c>
      <c r="L6" s="1132"/>
      <c r="M6" s="1133"/>
      <c r="N6" s="1133"/>
      <c r="O6" s="1133"/>
      <c r="P6" s="3217"/>
      <c r="Q6" s="3218"/>
      <c r="R6" s="3221"/>
      <c r="S6" s="3222"/>
      <c r="T6" s="3223"/>
      <c r="U6" s="3224"/>
      <c r="V6" s="3225"/>
      <c r="W6" s="3225"/>
      <c r="X6" s="1814"/>
      <c r="Y6" s="3223"/>
      <c r="Z6" s="3224"/>
      <c r="AA6" s="3208"/>
      <c r="AB6" s="3225"/>
      <c r="AC6" s="3208"/>
    </row>
    <row r="7" spans="1:29" s="116" customFormat="1" ht="15.75" thickBot="1">
      <c r="A7" s="407" t="s">
        <v>2543</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0" t="s">
        <v>2544</v>
      </c>
      <c r="Q7" s="3232"/>
      <c r="R7" s="769" t="s">
        <v>17</v>
      </c>
      <c r="S7" s="770">
        <f t="shared" ref="S7:S15" si="0">F7</f>
        <v>0</v>
      </c>
      <c r="T7" s="769" t="s">
        <v>17</v>
      </c>
      <c r="U7" s="770">
        <f t="shared" ref="U7:U15" si="1">H7</f>
        <v>0</v>
      </c>
      <c r="V7" s="769" t="s">
        <v>17</v>
      </c>
      <c r="W7" s="770">
        <f t="shared" ref="W7:W15" si="2">J7</f>
        <v>0</v>
      </c>
      <c r="X7" s="771"/>
      <c r="Y7" s="3230" t="s">
        <v>2544</v>
      </c>
      <c r="Z7" s="3231"/>
      <c r="AA7" s="772" t="e">
        <f>D7/F7</f>
        <v>#DIV/0!</v>
      </c>
      <c r="AB7" s="772" t="e">
        <f>D7/H7</f>
        <v>#DIV/0!</v>
      </c>
      <c r="AC7" s="772" t="e">
        <f>D7/J7</f>
        <v>#DIV/0!</v>
      </c>
    </row>
    <row r="8" spans="1:29" s="116"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0" t="s">
        <v>2547</v>
      </c>
      <c r="Q8" s="3231"/>
      <c r="R8" s="769" t="s">
        <v>17</v>
      </c>
      <c r="S8" s="770">
        <f t="shared" si="0"/>
        <v>0</v>
      </c>
      <c r="T8" s="769" t="s">
        <v>17</v>
      </c>
      <c r="U8" s="770">
        <f t="shared" si="1"/>
        <v>0</v>
      </c>
      <c r="V8" s="769" t="s">
        <v>17</v>
      </c>
      <c r="W8" s="770">
        <f t="shared" si="2"/>
        <v>0</v>
      </c>
      <c r="X8" s="771"/>
      <c r="Y8" s="3230" t="s">
        <v>2547</v>
      </c>
      <c r="Z8" s="3231"/>
      <c r="AA8" s="772" t="e">
        <f t="shared" ref="AA8:AA46" si="3">D8/F8</f>
        <v>#DIV/0!</v>
      </c>
      <c r="AB8" s="772" t="e">
        <f t="shared" ref="AB8:AB46" si="4">D8/H8</f>
        <v>#DIV/0!</v>
      </c>
      <c r="AC8" s="772" t="e">
        <f t="shared" ref="AC8:AC46" si="5">D8/J8</f>
        <v>#DIV/0!</v>
      </c>
    </row>
    <row r="9" spans="1:29" s="116"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5" t="s">
        <v>2550</v>
      </c>
      <c r="Q9" s="1796" t="str">
        <f t="shared" ref="Q9:Q15" si="6">B9</f>
        <v>用途</v>
      </c>
      <c r="R9" s="769" t="s">
        <v>17</v>
      </c>
      <c r="S9" s="770">
        <f t="shared" si="0"/>
        <v>100</v>
      </c>
      <c r="T9" s="769" t="s">
        <v>17</v>
      </c>
      <c r="U9" s="770">
        <f t="shared" si="1"/>
        <v>100</v>
      </c>
      <c r="V9" s="769" t="s">
        <v>17</v>
      </c>
      <c r="W9" s="770">
        <f t="shared" si="2"/>
        <v>100</v>
      </c>
      <c r="X9" s="771"/>
      <c r="Y9" s="3019"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5"/>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5"/>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5"/>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5"/>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71.25">
      <c r="A15" s="439" t="s">
        <v>2554</v>
      </c>
      <c r="B15" s="69" t="s">
        <v>2648</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3" t="s">
        <v>2555</v>
      </c>
      <c r="Q15" s="1811" t="str">
        <f t="shared" si="6"/>
        <v>商业繁华度</v>
      </c>
      <c r="R15" s="773" t="s">
        <v>17</v>
      </c>
      <c r="S15" s="774">
        <f t="shared" si="0"/>
        <v>100</v>
      </c>
      <c r="T15" s="773" t="s">
        <v>17</v>
      </c>
      <c r="U15" s="774">
        <f t="shared" si="1"/>
        <v>100</v>
      </c>
      <c r="V15" s="773" t="s">
        <v>17</v>
      </c>
      <c r="W15" s="774">
        <f t="shared" si="2"/>
        <v>100</v>
      </c>
      <c r="X15" s="1814"/>
      <c r="Y15" s="3196" t="s">
        <v>2555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04"/>
      <c r="Q16" s="1811"/>
      <c r="R16" s="773"/>
      <c r="S16" s="774"/>
      <c r="T16" s="773"/>
      <c r="U16" s="774"/>
      <c r="V16" s="773"/>
      <c r="W16" s="774"/>
      <c r="X16" s="1814"/>
      <c r="Y16" s="3197"/>
      <c r="Z16" s="1815"/>
      <c r="AA16" s="1812">
        <v>1</v>
      </c>
      <c r="AB16" s="1812">
        <v>1</v>
      </c>
      <c r="AC16" s="1812">
        <v>1</v>
      </c>
    </row>
    <row r="17" spans="1:29" ht="85.5">
      <c r="A17" s="427"/>
      <c r="B17" s="450" t="s">
        <v>2096</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4"/>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33"/>
      <c r="P18" s="3204"/>
      <c r="Q18" s="1811"/>
      <c r="R18" s="773"/>
      <c r="S18" s="774"/>
      <c r="T18" s="773"/>
      <c r="U18" s="774"/>
      <c r="V18" s="773"/>
      <c r="W18" s="774"/>
      <c r="X18" s="1814"/>
      <c r="Y18" s="3197"/>
      <c r="Z18" s="1815"/>
      <c r="AA18" s="1812">
        <v>1</v>
      </c>
      <c r="AB18" s="1812">
        <v>1</v>
      </c>
      <c r="AC18" s="1812">
        <v>1</v>
      </c>
    </row>
    <row r="19" spans="1:29" ht="42.75">
      <c r="A19" s="427"/>
      <c r="B19" s="450" t="s">
        <v>2649</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4"/>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33"/>
      <c r="P20" s="3204"/>
      <c r="Q20" s="1811"/>
      <c r="R20" s="773"/>
      <c r="S20" s="774"/>
      <c r="T20" s="773"/>
      <c r="U20" s="774"/>
      <c r="V20" s="773"/>
      <c r="W20" s="774"/>
      <c r="X20" s="1814"/>
      <c r="Y20" s="3197"/>
      <c r="Z20" s="1815"/>
      <c r="AA20" s="1812">
        <v>1</v>
      </c>
      <c r="AB20" s="1812">
        <v>1</v>
      </c>
      <c r="AC20" s="1812">
        <v>1</v>
      </c>
    </row>
    <row r="21" spans="1:29" ht="28.5">
      <c r="A21" s="427"/>
      <c r="B21" s="1386" t="s">
        <v>2650</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4"/>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33"/>
      <c r="P22" s="3204"/>
      <c r="Q22" s="1811"/>
      <c r="R22" s="773"/>
      <c r="S22" s="774"/>
      <c r="T22" s="773"/>
      <c r="U22" s="774"/>
      <c r="V22" s="773"/>
      <c r="W22" s="774"/>
      <c r="X22" s="1814"/>
      <c r="Y22" s="3197"/>
      <c r="Z22" s="1815"/>
      <c r="AA22" s="1812">
        <v>1</v>
      </c>
      <c r="AB22" s="1812">
        <v>1</v>
      </c>
      <c r="AC22" s="1812">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4"/>
      <c r="Q23" s="1811" t="str">
        <f>B23</f>
        <v>自然及人文环境</v>
      </c>
      <c r="R23" s="773" t="s">
        <v>17</v>
      </c>
      <c r="S23" s="774">
        <f>F23</f>
        <v>100</v>
      </c>
      <c r="T23" s="773" t="s">
        <v>17</v>
      </c>
      <c r="U23" s="774">
        <f>H23</f>
        <v>100</v>
      </c>
      <c r="V23" s="773" t="s">
        <v>17</v>
      </c>
      <c r="W23" s="774">
        <f>J23</f>
        <v>100</v>
      </c>
      <c r="X23" s="1814"/>
      <c r="Y23" s="3197"/>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2"/>
      <c r="M24" s="1133"/>
      <c r="N24" s="1133"/>
      <c r="O24" s="1133"/>
      <c r="P24" s="3204"/>
      <c r="Q24" s="1811"/>
      <c r="R24" s="773"/>
      <c r="S24" s="774"/>
      <c r="T24" s="773"/>
      <c r="U24" s="774"/>
      <c r="V24" s="773"/>
      <c r="W24" s="774"/>
      <c r="X24" s="1814"/>
      <c r="Y24" s="3197"/>
      <c r="Z24" s="1815"/>
      <c r="AA24" s="1812">
        <v>1</v>
      </c>
      <c r="AB24" s="1812">
        <v>1</v>
      </c>
      <c r="AC24" s="1812">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4"/>
      <c r="Q25" s="1811" t="str">
        <f t="shared" ref="Q25:Q46" si="11">B25</f>
        <v>临街状况</v>
      </c>
      <c r="R25" s="773" t="s">
        <v>17</v>
      </c>
      <c r="S25" s="774">
        <f>F25</f>
        <v>100</v>
      </c>
      <c r="T25" s="773" t="s">
        <v>17</v>
      </c>
      <c r="U25" s="774">
        <f>H25</f>
        <v>100</v>
      </c>
      <c r="V25" s="773" t="s">
        <v>17</v>
      </c>
      <c r="W25" s="774">
        <f>J25</f>
        <v>100</v>
      </c>
      <c r="X25" s="1814"/>
      <c r="Y25" s="3197"/>
      <c r="Z25" s="1815" t="str">
        <f>Q25</f>
        <v>临街状况</v>
      </c>
      <c r="AA25" s="1812">
        <f t="shared" si="3"/>
        <v>1</v>
      </c>
      <c r="AB25" s="1812">
        <f t="shared" si="4"/>
        <v>1</v>
      </c>
      <c r="AC25" s="1812">
        <f t="shared" si="5"/>
        <v>1</v>
      </c>
    </row>
    <row r="26" spans="1:29" ht="15">
      <c r="A26" s="427"/>
      <c r="B26" s="1388" t="s">
        <v>2652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4"/>
      <c r="Q26" s="1811" t="str">
        <f t="shared" si="11"/>
        <v>平面位置/可视性</v>
      </c>
      <c r="R26" s="773" t="s">
        <v>17</v>
      </c>
      <c r="S26" s="774">
        <f>F26</f>
        <v>100</v>
      </c>
      <c r="T26" s="773" t="s">
        <v>17</v>
      </c>
      <c r="U26" s="774">
        <f>H26</f>
        <v>100</v>
      </c>
      <c r="V26" s="773" t="s">
        <v>17</v>
      </c>
      <c r="W26" s="774">
        <f>J26</f>
        <v>100</v>
      </c>
      <c r="X26" s="1814"/>
      <c r="Y26" s="3197"/>
      <c r="Z26" s="1815" t="str">
        <f>Q26</f>
        <v>平面位置/可视性</v>
      </c>
      <c r="AA26" s="1812">
        <f t="shared" si="3"/>
        <v>1</v>
      </c>
      <c r="AB26" s="1812">
        <f t="shared" si="4"/>
        <v>1</v>
      </c>
      <c r="AC26" s="1812">
        <f t="shared" si="5"/>
        <v>1</v>
      </c>
    </row>
    <row r="27" spans="1:29" s="116" customFormat="1" ht="15">
      <c r="A27" s="430"/>
      <c r="B27" s="450" t="s">
        <v>2653</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04"/>
      <c r="Q27" s="1796" t="str">
        <f t="shared" si="11"/>
        <v>人流量</v>
      </c>
      <c r="R27" s="769" t="s">
        <v>17</v>
      </c>
      <c r="S27" s="770">
        <f>F27</f>
        <v>100</v>
      </c>
      <c r="T27" s="769" t="s">
        <v>17</v>
      </c>
      <c r="U27" s="770">
        <f>H27</f>
        <v>100</v>
      </c>
      <c r="V27" s="769" t="s">
        <v>17</v>
      </c>
      <c r="W27" s="770">
        <f>J27</f>
        <v>100</v>
      </c>
      <c r="X27" s="771"/>
      <c r="Y27" s="3197"/>
      <c r="Z27" s="55" t="str">
        <f>Q27</f>
        <v>人流量</v>
      </c>
      <c r="AA27" s="1812">
        <f>D27/F27</f>
        <v>1</v>
      </c>
      <c r="AB27" s="1812">
        <f>D27/H27</f>
        <v>1</v>
      </c>
      <c r="AC27" s="1812">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7"/>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4"/>
      <c r="Q29" s="1811">
        <f t="shared" si="11"/>
        <v>111</v>
      </c>
      <c r="R29" s="773" t="s">
        <v>17</v>
      </c>
      <c r="S29" s="774">
        <f t="shared" si="12"/>
        <v>100</v>
      </c>
      <c r="T29" s="773" t="s">
        <v>17</v>
      </c>
      <c r="U29" s="774">
        <f t="shared" si="13"/>
        <v>100</v>
      </c>
      <c r="V29" s="773" t="s">
        <v>17</v>
      </c>
      <c r="W29" s="774">
        <f t="shared" si="14"/>
        <v>100</v>
      </c>
      <c r="X29" s="1814"/>
      <c r="Y29" s="3197"/>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4"/>
      <c r="Q30" s="1811">
        <f t="shared" si="11"/>
        <v>111</v>
      </c>
      <c r="R30" s="773" t="s">
        <v>17</v>
      </c>
      <c r="S30" s="774">
        <f t="shared" si="12"/>
        <v>100</v>
      </c>
      <c r="T30" s="773" t="s">
        <v>17</v>
      </c>
      <c r="U30" s="774">
        <f t="shared" si="13"/>
        <v>100</v>
      </c>
      <c r="V30" s="773" t="s">
        <v>17</v>
      </c>
      <c r="W30" s="774">
        <f t="shared" si="14"/>
        <v>100</v>
      </c>
      <c r="X30" s="1814"/>
      <c r="Y30" s="3197"/>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4"/>
      <c r="Q31" s="1811">
        <f t="shared" si="11"/>
        <v>111</v>
      </c>
      <c r="R31" s="773" t="s">
        <v>17</v>
      </c>
      <c r="S31" s="774">
        <f t="shared" si="12"/>
        <v>100</v>
      </c>
      <c r="T31" s="773" t="s">
        <v>17</v>
      </c>
      <c r="U31" s="774">
        <f t="shared" si="13"/>
        <v>100</v>
      </c>
      <c r="V31" s="773" t="s">
        <v>17</v>
      </c>
      <c r="W31" s="774">
        <f t="shared" si="14"/>
        <v>100</v>
      </c>
      <c r="X31" s="1814"/>
      <c r="Y31" s="3197"/>
      <c r="Z31" s="1815">
        <f t="shared" si="15"/>
        <v>111</v>
      </c>
      <c r="AA31" s="1812">
        <f t="shared" si="3"/>
        <v>1</v>
      </c>
      <c r="AB31" s="1812">
        <f t="shared" si="4"/>
        <v>1</v>
      </c>
      <c r="AC31" s="1812">
        <f t="shared" si="5"/>
        <v>1</v>
      </c>
    </row>
    <row r="32" spans="1:29" ht="15">
      <c r="A32" s="439" t="s">
        <v>2558</v>
      </c>
      <c r="B32" s="71" t="s">
        <v>2655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198" t="s">
        <v>2560</v>
      </c>
      <c r="Q32" s="1811" t="str">
        <f t="shared" si="11"/>
        <v>商业类型</v>
      </c>
      <c r="R32" s="773" t="s">
        <v>17</v>
      </c>
      <c r="S32" s="774">
        <f t="shared" si="12"/>
        <v>100</v>
      </c>
      <c r="T32" s="773" t="s">
        <v>17</v>
      </c>
      <c r="U32" s="774">
        <f t="shared" si="13"/>
        <v>100</v>
      </c>
      <c r="V32" s="773" t="s">
        <v>17</v>
      </c>
      <c r="W32" s="774">
        <f t="shared" si="14"/>
        <v>100</v>
      </c>
      <c r="X32" s="1814"/>
      <c r="Y32" s="3201" t="s">
        <v>2560</v>
      </c>
      <c r="Z32" s="1815" t="str">
        <f t="shared" si="15"/>
        <v>商业类型</v>
      </c>
      <c r="AA32" s="1812">
        <f t="shared" si="3"/>
        <v>1</v>
      </c>
      <c r="AB32" s="1812">
        <f t="shared" si="4"/>
        <v>1</v>
      </c>
      <c r="AC32" s="1812">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99"/>
      <c r="Q33" s="775" t="str">
        <f t="shared" si="11"/>
        <v>项目建筑规模</v>
      </c>
      <c r="R33" s="776" t="s">
        <v>17</v>
      </c>
      <c r="S33" s="777" t="e">
        <f t="shared" si="12"/>
        <v>#N/A</v>
      </c>
      <c r="T33" s="776" t="s">
        <v>17</v>
      </c>
      <c r="U33" s="777" t="e">
        <f t="shared" si="13"/>
        <v>#N/A</v>
      </c>
      <c r="V33" s="776" t="s">
        <v>17</v>
      </c>
      <c r="W33" s="777" t="e">
        <f t="shared" si="14"/>
        <v>#N/A</v>
      </c>
      <c r="X33" s="778"/>
      <c r="Y33" s="3201"/>
      <c r="Z33" s="779" t="str">
        <f t="shared" si="15"/>
        <v>项目建筑规模</v>
      </c>
      <c r="AA33" s="1812" t="e">
        <f t="shared" si="3"/>
        <v>#N/A</v>
      </c>
      <c r="AB33" s="1812" t="e">
        <f t="shared" si="4"/>
        <v>#N/A</v>
      </c>
      <c r="AC33" s="1812" t="e">
        <f t="shared" si="5"/>
        <v>#N/A</v>
      </c>
    </row>
    <row r="34" spans="1:29" ht="15">
      <c r="A34" s="471"/>
      <c r="B34" s="421" t="s">
        <v>2562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199"/>
      <c r="Q34" s="1811" t="str">
        <f t="shared" si="11"/>
        <v>建筑结构</v>
      </c>
      <c r="R34" s="773" t="s">
        <v>17</v>
      </c>
      <c r="S34" s="774">
        <f t="shared" si="12"/>
        <v>100</v>
      </c>
      <c r="T34" s="773" t="s">
        <v>17</v>
      </c>
      <c r="U34" s="774">
        <f t="shared" si="13"/>
        <v>100</v>
      </c>
      <c r="V34" s="773" t="s">
        <v>17</v>
      </c>
      <c r="W34" s="774">
        <f t="shared" si="14"/>
        <v>100</v>
      </c>
      <c r="X34" s="1814"/>
      <c r="Y34" s="3201"/>
      <c r="Z34" s="1815" t="str">
        <f t="shared" si="15"/>
        <v>建筑结构</v>
      </c>
      <c r="AA34" s="1812">
        <f t="shared" si="3"/>
        <v>1</v>
      </c>
      <c r="AB34" s="1812">
        <f t="shared" si="4"/>
        <v>1</v>
      </c>
      <c r="AC34" s="1812">
        <f t="shared" si="5"/>
        <v>1</v>
      </c>
    </row>
    <row r="35" spans="1:29" ht="15">
      <c r="A35" s="471"/>
      <c r="B35" s="421" t="s">
        <v>2656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199"/>
      <c r="Q35" s="1811" t="str">
        <f t="shared" si="11"/>
        <v>公共部分装修</v>
      </c>
      <c r="R35" s="773" t="s">
        <v>17</v>
      </c>
      <c r="S35" s="774">
        <f t="shared" si="12"/>
        <v>100</v>
      </c>
      <c r="T35" s="773" t="s">
        <v>17</v>
      </c>
      <c r="U35" s="774">
        <f t="shared" si="13"/>
        <v>100</v>
      </c>
      <c r="V35" s="773" t="s">
        <v>17</v>
      </c>
      <c r="W35" s="774">
        <f t="shared" si="14"/>
        <v>100</v>
      </c>
      <c r="X35" s="1814"/>
      <c r="Y35" s="3201"/>
      <c r="Z35" s="1815" t="str">
        <f t="shared" si="15"/>
        <v>公共部分装修</v>
      </c>
      <c r="AA35" s="1812">
        <f t="shared" si="3"/>
        <v>1</v>
      </c>
      <c r="AB35" s="1812">
        <f t="shared" si="4"/>
        <v>1</v>
      </c>
      <c r="AC35" s="1812">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9"/>
      <c r="Q36" s="1811" t="str">
        <f t="shared" si="11"/>
        <v>成新度</v>
      </c>
      <c r="R36" s="773" t="s">
        <v>17</v>
      </c>
      <c r="S36" s="774" t="e">
        <f t="shared" si="12"/>
        <v>#N/A</v>
      </c>
      <c r="T36" s="773" t="s">
        <v>17</v>
      </c>
      <c r="U36" s="774" t="e">
        <f t="shared" si="13"/>
        <v>#N/A</v>
      </c>
      <c r="V36" s="773" t="s">
        <v>17</v>
      </c>
      <c r="W36" s="774" t="e">
        <f t="shared" si="14"/>
        <v>#N/A</v>
      </c>
      <c r="X36" s="1814"/>
      <c r="Y36" s="3201"/>
      <c r="Z36" s="1815" t="str">
        <f t="shared" si="15"/>
        <v>成新度</v>
      </c>
      <c r="AA36" s="1812" t="e">
        <f t="shared" si="3"/>
        <v>#N/A</v>
      </c>
      <c r="AB36" s="1812" t="e">
        <f t="shared" si="4"/>
        <v>#N/A</v>
      </c>
      <c r="AC36" s="1812" t="e">
        <f t="shared" si="5"/>
        <v>#N/A</v>
      </c>
    </row>
    <row r="37" spans="1:29" s="116" customFormat="1" ht="15">
      <c r="A37" s="472"/>
      <c r="B37" s="421" t="s">
        <v>2658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199"/>
      <c r="Q37" s="1796" t="str">
        <f t="shared" si="11"/>
        <v>市政基础设施</v>
      </c>
      <c r="R37" s="769" t="s">
        <v>17</v>
      </c>
      <c r="S37" s="770">
        <f t="shared" si="12"/>
        <v>100</v>
      </c>
      <c r="T37" s="769" t="s">
        <v>17</v>
      </c>
      <c r="U37" s="770">
        <f t="shared" si="13"/>
        <v>100</v>
      </c>
      <c r="V37" s="769" t="s">
        <v>17</v>
      </c>
      <c r="W37" s="770">
        <f t="shared" si="14"/>
        <v>100</v>
      </c>
      <c r="X37" s="771"/>
      <c r="Y37" s="3201"/>
      <c r="Z37" s="55" t="str">
        <f t="shared" si="15"/>
        <v>市政基础设施</v>
      </c>
      <c r="AA37" s="772">
        <f t="shared" si="3"/>
        <v>1</v>
      </c>
      <c r="AB37" s="772">
        <f t="shared" si="4"/>
        <v>1</v>
      </c>
      <c r="AC37" s="772">
        <f t="shared" si="5"/>
        <v>1</v>
      </c>
    </row>
    <row r="38" spans="1:29" ht="15">
      <c r="A38" s="471"/>
      <c r="B38" s="421" t="s">
        <v>2659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199" t="s">
        <v>2560</v>
      </c>
      <c r="Q38" s="1811" t="str">
        <f t="shared" si="11"/>
        <v>业态</v>
      </c>
      <c r="R38" s="773" t="s">
        <v>17</v>
      </c>
      <c r="S38" s="774">
        <f t="shared" si="12"/>
        <v>100</v>
      </c>
      <c r="T38" s="773" t="s">
        <v>17</v>
      </c>
      <c r="U38" s="774">
        <f t="shared" si="13"/>
        <v>100</v>
      </c>
      <c r="V38" s="773" t="s">
        <v>17</v>
      </c>
      <c r="W38" s="774">
        <f t="shared" si="14"/>
        <v>100</v>
      </c>
      <c r="X38" s="1814"/>
      <c r="Y38" s="3201" t="s">
        <v>2560</v>
      </c>
      <c r="Z38" s="1815" t="str">
        <f t="shared" si="15"/>
        <v>业态</v>
      </c>
      <c r="AA38" s="1812">
        <f t="shared" si="3"/>
        <v>1</v>
      </c>
      <c r="AB38" s="1812">
        <f t="shared" si="4"/>
        <v>1</v>
      </c>
      <c r="AC38" s="1812">
        <f t="shared" si="5"/>
        <v>1</v>
      </c>
    </row>
    <row r="39" spans="1:29" ht="15">
      <c r="A39" s="471"/>
      <c r="B39" s="421" t="s">
        <v>2660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199"/>
      <c r="Q39" s="1811" t="str">
        <f t="shared" si="11"/>
        <v>层高</v>
      </c>
      <c r="R39" s="773" t="s">
        <v>17</v>
      </c>
      <c r="S39" s="774">
        <f t="shared" si="12"/>
        <v>100</v>
      </c>
      <c r="T39" s="773" t="s">
        <v>17</v>
      </c>
      <c r="U39" s="774">
        <f t="shared" si="13"/>
        <v>100</v>
      </c>
      <c r="V39" s="773" t="s">
        <v>17</v>
      </c>
      <c r="W39" s="774">
        <f t="shared" si="14"/>
        <v>100</v>
      </c>
      <c r="X39" s="1814"/>
      <c r="Y39" s="3201"/>
      <c r="Z39" s="1815" t="str">
        <f t="shared" si="15"/>
        <v>层高</v>
      </c>
      <c r="AA39" s="1812">
        <f t="shared" si="3"/>
        <v>1</v>
      </c>
      <c r="AB39" s="1812">
        <f t="shared" si="4"/>
        <v>1</v>
      </c>
      <c r="AC39" s="1812">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9"/>
      <c r="Q40" s="1811" t="str">
        <f t="shared" si="11"/>
        <v>单套建筑面积</v>
      </c>
      <c r="R40" s="773" t="s">
        <v>17</v>
      </c>
      <c r="S40" s="774">
        <f t="shared" si="12"/>
        <v>100</v>
      </c>
      <c r="T40" s="773" t="s">
        <v>17</v>
      </c>
      <c r="U40" s="774">
        <f t="shared" si="13"/>
        <v>100</v>
      </c>
      <c r="V40" s="773" t="s">
        <v>17</v>
      </c>
      <c r="W40" s="774">
        <f t="shared" si="14"/>
        <v>100</v>
      </c>
      <c r="X40" s="1814"/>
      <c r="Y40" s="3201"/>
      <c r="Z40" s="1815" t="str">
        <f t="shared" si="15"/>
        <v>单套建筑面积</v>
      </c>
      <c r="AA40" s="1812">
        <f t="shared" si="3"/>
        <v>1</v>
      </c>
      <c r="AB40" s="1812">
        <f t="shared" si="4"/>
        <v>1</v>
      </c>
      <c r="AC40" s="1812">
        <f t="shared" si="5"/>
        <v>1</v>
      </c>
    </row>
    <row r="41" spans="1:29" s="470" customFormat="1" ht="15">
      <c r="A41" s="467"/>
      <c r="B41" s="1813"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9"/>
      <c r="Q41" s="775" t="str">
        <f t="shared" si="11"/>
        <v>进深比</v>
      </c>
      <c r="R41" s="776" t="s">
        <v>17</v>
      </c>
      <c r="S41" s="777">
        <f t="shared" si="12"/>
        <v>100</v>
      </c>
      <c r="T41" s="776" t="s">
        <v>17</v>
      </c>
      <c r="U41" s="777">
        <f t="shared" si="13"/>
        <v>100</v>
      </c>
      <c r="V41" s="776" t="s">
        <v>17</v>
      </c>
      <c r="W41" s="777">
        <f t="shared" si="14"/>
        <v>100</v>
      </c>
      <c r="X41" s="778"/>
      <c r="Y41" s="3201"/>
      <c r="Z41" s="779" t="str">
        <f t="shared" si="15"/>
        <v>进深比</v>
      </c>
      <c r="AA41" s="1812">
        <f t="shared" si="3"/>
        <v>1</v>
      </c>
      <c r="AB41" s="1812">
        <f t="shared" si="4"/>
        <v>1</v>
      </c>
      <c r="AC41" s="1812">
        <f t="shared" si="5"/>
        <v>1</v>
      </c>
    </row>
    <row r="42" spans="1:29" ht="15">
      <c r="A42" s="471"/>
      <c r="B42" s="421" t="s">
        <v>2663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199"/>
      <c r="Q42" s="1811" t="str">
        <f t="shared" si="11"/>
        <v>内部装修</v>
      </c>
      <c r="R42" s="773" t="s">
        <v>17</v>
      </c>
      <c r="S42" s="774">
        <f t="shared" si="12"/>
        <v>100</v>
      </c>
      <c r="T42" s="773" t="s">
        <v>17</v>
      </c>
      <c r="U42" s="774">
        <f t="shared" si="13"/>
        <v>100</v>
      </c>
      <c r="V42" s="773" t="s">
        <v>17</v>
      </c>
      <c r="W42" s="774">
        <f t="shared" si="14"/>
        <v>100</v>
      </c>
      <c r="X42" s="1814"/>
      <c r="Y42" s="3201"/>
      <c r="Z42" s="1815" t="str">
        <f t="shared" si="15"/>
        <v>内部装修</v>
      </c>
      <c r="AA42" s="1812">
        <f t="shared" si="3"/>
        <v>1</v>
      </c>
      <c r="AB42" s="1812">
        <f t="shared" si="4"/>
        <v>1</v>
      </c>
      <c r="AC42" s="1812">
        <f t="shared" si="5"/>
        <v>1</v>
      </c>
    </row>
    <row r="43" spans="1:29" ht="15">
      <c r="A43" s="471"/>
      <c r="B43" s="421" t="s">
        <v>2571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199"/>
      <c r="Q43" s="1811" t="str">
        <f t="shared" si="11"/>
        <v>内部装修维护情况</v>
      </c>
      <c r="R43" s="773" t="s">
        <v>17</v>
      </c>
      <c r="S43" s="774">
        <f t="shared" si="12"/>
        <v>100</v>
      </c>
      <c r="T43" s="773" t="s">
        <v>17</v>
      </c>
      <c r="U43" s="774">
        <f t="shared" si="13"/>
        <v>100</v>
      </c>
      <c r="V43" s="773" t="s">
        <v>17</v>
      </c>
      <c r="W43" s="774">
        <f t="shared" si="14"/>
        <v>100</v>
      </c>
      <c r="X43" s="1814"/>
      <c r="Y43" s="3201"/>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99"/>
      <c r="Q44" s="1796">
        <f t="shared" si="11"/>
        <v>111</v>
      </c>
      <c r="R44" s="769" t="s">
        <v>17</v>
      </c>
      <c r="S44" s="770">
        <f t="shared" si="12"/>
        <v>100</v>
      </c>
      <c r="T44" s="769" t="s">
        <v>17</v>
      </c>
      <c r="U44" s="770">
        <f t="shared" si="13"/>
        <v>100</v>
      </c>
      <c r="V44" s="769" t="s">
        <v>17</v>
      </c>
      <c r="W44" s="770">
        <f t="shared" si="14"/>
        <v>100</v>
      </c>
      <c r="X44" s="771"/>
      <c r="Y44" s="320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9"/>
      <c r="Q45" s="1811">
        <f t="shared" si="11"/>
        <v>111</v>
      </c>
      <c r="R45" s="773" t="s">
        <v>17</v>
      </c>
      <c r="S45" s="774">
        <f t="shared" si="12"/>
        <v>100</v>
      </c>
      <c r="T45" s="773" t="s">
        <v>17</v>
      </c>
      <c r="U45" s="774">
        <f t="shared" si="13"/>
        <v>100</v>
      </c>
      <c r="V45" s="773" t="s">
        <v>17</v>
      </c>
      <c r="W45" s="774">
        <f t="shared" si="14"/>
        <v>100</v>
      </c>
      <c r="X45" s="1814"/>
      <c r="Y45" s="3201"/>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0"/>
      <c r="Q46" s="1811">
        <f t="shared" si="11"/>
        <v>111</v>
      </c>
      <c r="R46" s="773" t="s">
        <v>17</v>
      </c>
      <c r="S46" s="774">
        <f t="shared" si="12"/>
        <v>100</v>
      </c>
      <c r="T46" s="773" t="s">
        <v>17</v>
      </c>
      <c r="U46" s="774">
        <f t="shared" si="13"/>
        <v>100</v>
      </c>
      <c r="V46" s="773" t="s">
        <v>17</v>
      </c>
      <c r="W46" s="774">
        <f t="shared" si="14"/>
        <v>100</v>
      </c>
      <c r="X46" s="1814"/>
      <c r="Y46" s="3202"/>
      <c r="Z46" s="1815">
        <f t="shared" si="15"/>
        <v>111</v>
      </c>
      <c r="AA46" s="1812">
        <f t="shared" si="3"/>
        <v>1</v>
      </c>
      <c r="AB46" s="1812">
        <f t="shared" si="4"/>
        <v>1</v>
      </c>
      <c r="AC46" s="1812">
        <f t="shared" si="5"/>
        <v>1</v>
      </c>
    </row>
    <row r="47" spans="1:29" ht="15">
      <c r="A47" s="478" t="s">
        <v>2572</v>
      </c>
      <c r="B47" s="479"/>
      <c r="C47" s="1408" t="s">
        <v>1</v>
      </c>
      <c r="D47" s="1409"/>
      <c r="E47" s="1410"/>
      <c r="F47" s="1411"/>
      <c r="G47" s="1412"/>
      <c r="H47" s="1413"/>
      <c r="I47" s="1410"/>
      <c r="J47" s="1413"/>
      <c r="K47" s="782"/>
      <c r="L47" s="1145"/>
      <c r="M47" s="1146"/>
      <c r="N47" s="1133"/>
      <c r="O47" s="1146"/>
      <c r="P47" s="3194" t="str">
        <f>A47</f>
        <v>成交单价（元/平方米）</v>
      </c>
      <c r="Q47" s="3194"/>
      <c r="R47" s="3225">
        <f>E47</f>
        <v>0</v>
      </c>
      <c r="S47" s="3225"/>
      <c r="T47" s="3225">
        <f>G47</f>
        <v>0</v>
      </c>
      <c r="U47" s="3225"/>
      <c r="V47" s="3225">
        <f>I47</f>
        <v>0</v>
      </c>
      <c r="W47" s="3225"/>
      <c r="X47" s="758"/>
      <c r="Y47" s="780"/>
      <c r="Z47" s="758"/>
      <c r="AA47" s="758"/>
      <c r="AB47" s="758"/>
      <c r="AC47" s="758"/>
    </row>
    <row r="48" spans="1:29" ht="15.75" thickBot="1">
      <c r="A48" s="485" t="s">
        <v>2664</v>
      </c>
      <c r="B48" s="486"/>
      <c r="C48" s="1414" t="e">
        <f>R49</f>
        <v>#DIV/0!</v>
      </c>
      <c r="D48" s="1415"/>
      <c r="E48" s="1416" t="e">
        <f>R48</f>
        <v>#DIV/0!</v>
      </c>
      <c r="F48" s="1416"/>
      <c r="G48" s="1414" t="e">
        <f>T48</f>
        <v>#DIV/0!</v>
      </c>
      <c r="H48" s="1415"/>
      <c r="I48" s="1416" t="e">
        <f>V48</f>
        <v>#DIV/0!</v>
      </c>
      <c r="J48" s="1415"/>
      <c r="K48" s="783"/>
      <c r="L48" s="1145"/>
      <c r="M48" s="1146"/>
      <c r="N48" s="1133"/>
      <c r="O48" s="1146"/>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1" t="s">
        <v>2665</v>
      </c>
      <c r="B49" s="492"/>
      <c r="C49" s="1418" t="e">
        <f>R49</f>
        <v>#DIV/0!</v>
      </c>
      <c r="D49" s="1418"/>
      <c r="E49" s="1418"/>
      <c r="F49" s="1418"/>
      <c r="G49" s="1418"/>
      <c r="H49" s="1418"/>
      <c r="I49" s="1418"/>
      <c r="J49" s="1418"/>
      <c r="K49" s="784"/>
      <c r="L49" s="1145"/>
      <c r="M49" s="1146"/>
      <c r="N49" s="1133"/>
      <c r="O49" s="1146"/>
      <c r="P49" s="3191" t="str">
        <f>A49</f>
        <v>估价对象XX用房的比较价值（楼面单价，元/平方米）</v>
      </c>
      <c r="Q49" s="3192"/>
      <c r="R49" s="3193" t="e">
        <f>IF(F1="售价",ROUND(AVERAGE(R48:V48),0),ROUND(AVERAGE(R48:V48),1))</f>
        <v>#DIV/0!</v>
      </c>
      <c r="S49" s="3193"/>
      <c r="T49" s="3193"/>
      <c r="U49" s="3193"/>
      <c r="V49" s="3193"/>
      <c r="W49" s="319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2543</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6" customFormat="1" ht="15">
      <c r="A59" s="508"/>
      <c r="B59" s="509"/>
      <c r="C59" s="1574">
        <v>100</v>
      </c>
      <c r="D59" s="511"/>
      <c r="E59" s="511"/>
      <c r="F59" s="511"/>
      <c r="G59" s="511"/>
      <c r="H59" s="511"/>
      <c r="I59" s="511"/>
      <c r="J59" s="511"/>
      <c r="K59" s="511"/>
      <c r="L59" s="511"/>
      <c r="M59" s="512"/>
      <c r="N59" s="511"/>
      <c r="O59" s="512"/>
      <c r="P59" s="2628"/>
    </row>
    <row r="60" spans="1:29" s="116" customFormat="1" ht="15.75" thickBot="1">
      <c r="A60" s="514" t="s">
        <v>2580</v>
      </c>
      <c r="B60" s="515"/>
      <c r="C60" s="516"/>
      <c r="D60" s="517"/>
      <c r="E60" s="517"/>
      <c r="F60" s="517"/>
      <c r="G60" s="517"/>
      <c r="H60" s="517"/>
      <c r="I60" s="517"/>
      <c r="J60" s="517"/>
      <c r="K60" s="517"/>
      <c r="L60" s="517"/>
      <c r="M60" s="518"/>
      <c r="N60" s="517"/>
      <c r="O60" s="518"/>
      <c r="P60" s="2628"/>
      <c r="Q60" s="503"/>
    </row>
    <row r="61" spans="1:29" s="116" customFormat="1" ht="15">
      <c r="A61" s="520" t="s">
        <v>2545</v>
      </c>
      <c r="B61" s="509"/>
      <c r="C61" s="521" t="s">
        <v>2647</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2583</v>
      </c>
      <c r="B63" s="527" t="s">
        <v>2549</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2650</v>
      </c>
      <c r="C82" s="659" t="s">
        <v>2670</v>
      </c>
      <c r="D82" s="659" t="s">
        <v>2671</v>
      </c>
      <c r="E82" s="659" t="s">
        <v>2672</v>
      </c>
      <c r="F82" s="659" t="s">
        <v>2673</v>
      </c>
      <c r="G82" s="659" t="s">
        <v>2674</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2675</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6"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2558</v>
      </c>
      <c r="B100" s="527" t="s">
        <v>2676</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2609</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2611</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2613</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2677</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2678</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2679</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2680</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2615</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669" t="s">
        <v>2681</v>
      </c>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12609.74</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49" t="s">
        <v>2646</v>
      </c>
      <c r="Q4" s="3250"/>
      <c r="R4" s="3253" t="s">
        <v>2642</v>
      </c>
      <c r="S4" s="3254"/>
      <c r="T4" s="3253" t="s">
        <v>2643</v>
      </c>
      <c r="U4" s="3254"/>
      <c r="V4" s="3255" t="s">
        <v>2644</v>
      </c>
      <c r="W4" s="3255"/>
      <c r="X4" s="2670"/>
      <c r="Y4" s="3253" t="s">
        <v>2646</v>
      </c>
      <c r="Z4" s="3254"/>
      <c r="AA4" s="3257" t="s">
        <v>2642</v>
      </c>
      <c r="AB4" s="3257" t="s">
        <v>2643</v>
      </c>
      <c r="AC4" s="3246" t="s">
        <v>2644</v>
      </c>
    </row>
    <row r="5" spans="1:29" ht="15">
      <c r="A5" s="403"/>
      <c r="B5" s="404"/>
      <c r="C5" s="3240" t="s">
        <v>2537</v>
      </c>
      <c r="D5" s="3229"/>
      <c r="E5" s="3242" t="s">
        <v>2538</v>
      </c>
      <c r="F5" s="3239"/>
      <c r="G5" s="3240" t="s">
        <v>2539</v>
      </c>
      <c r="H5" s="3229"/>
      <c r="I5" s="3240" t="s">
        <v>2540</v>
      </c>
      <c r="J5" s="3229"/>
      <c r="K5" s="609"/>
      <c r="L5" s="1132"/>
      <c r="M5" s="1133"/>
      <c r="N5" s="1133"/>
      <c r="O5" s="1133"/>
      <c r="P5" s="3251"/>
      <c r="Q5" s="3216"/>
      <c r="R5" s="3221"/>
      <c r="S5" s="3222"/>
      <c r="T5" s="3221"/>
      <c r="U5" s="3222"/>
      <c r="V5" s="3225"/>
      <c r="W5" s="3225"/>
      <c r="X5" s="1814"/>
      <c r="Y5" s="3221"/>
      <c r="Z5" s="3222"/>
      <c r="AA5" s="3207"/>
      <c r="AB5" s="3207"/>
      <c r="AC5" s="3247"/>
    </row>
    <row r="6" spans="1:29" ht="15.75" thickBot="1">
      <c r="A6" s="405"/>
      <c r="B6" s="406"/>
      <c r="C6" s="3233" t="s">
        <v>2541</v>
      </c>
      <c r="D6" s="3227"/>
      <c r="E6" s="3241" t="s">
        <v>2541</v>
      </c>
      <c r="F6" s="3235"/>
      <c r="G6" s="3233" t="s">
        <v>2541</v>
      </c>
      <c r="H6" s="3227"/>
      <c r="I6" s="3233" t="s">
        <v>2541</v>
      </c>
      <c r="J6" s="3227"/>
      <c r="K6" s="609" t="s">
        <v>2542</v>
      </c>
      <c r="L6" s="1132"/>
      <c r="M6" s="1133"/>
      <c r="N6" s="1133"/>
      <c r="O6" s="1133"/>
      <c r="P6" s="3252"/>
      <c r="Q6" s="3218"/>
      <c r="R6" s="3221"/>
      <c r="S6" s="3222"/>
      <c r="T6" s="3223"/>
      <c r="U6" s="3224"/>
      <c r="V6" s="3225"/>
      <c r="W6" s="3225"/>
      <c r="X6" s="1814"/>
      <c r="Y6" s="3223"/>
      <c r="Z6" s="3224"/>
      <c r="AA6" s="3208"/>
      <c r="AB6" s="3208"/>
      <c r="AC6" s="3248"/>
    </row>
    <row r="7" spans="1:29" s="116" customFormat="1" ht="15.75" thickBot="1">
      <c r="A7" s="407" t="s">
        <v>2543</v>
      </c>
      <c r="B7" s="408"/>
      <c r="C7" s="409">
        <f>'数据-取费表'!B2</f>
        <v>43165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6" t="s">
        <v>2544</v>
      </c>
      <c r="Q7" s="3232"/>
      <c r="R7" s="769" t="s">
        <v>17</v>
      </c>
      <c r="S7" s="770">
        <f t="shared" ref="S7:S15" si="0">F7</f>
        <v>0</v>
      </c>
      <c r="T7" s="769" t="s">
        <v>17</v>
      </c>
      <c r="U7" s="770">
        <f t="shared" ref="U7:U15" si="1">H7</f>
        <v>0</v>
      </c>
      <c r="V7" s="769" t="s">
        <v>17</v>
      </c>
      <c r="W7" s="770">
        <f t="shared" ref="W7:W15" si="2">J7</f>
        <v>0</v>
      </c>
      <c r="X7" s="771"/>
      <c r="Y7" s="3230" t="s">
        <v>2544</v>
      </c>
      <c r="Z7" s="3231"/>
      <c r="AA7" s="772" t="e">
        <f>D7/F7</f>
        <v>#DIV/0!</v>
      </c>
      <c r="AB7" s="772" t="e">
        <f>D7/H7</f>
        <v>#DIV/0!</v>
      </c>
      <c r="AC7" s="2671"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6" t="s">
        <v>2547</v>
      </c>
      <c r="Q8" s="3231"/>
      <c r="R8" s="769" t="s">
        <v>17</v>
      </c>
      <c r="S8" s="770">
        <f t="shared" si="0"/>
        <v>0</v>
      </c>
      <c r="T8" s="769" t="s">
        <v>17</v>
      </c>
      <c r="U8" s="770">
        <f t="shared" si="1"/>
        <v>0</v>
      </c>
      <c r="V8" s="769" t="s">
        <v>17</v>
      </c>
      <c r="W8" s="770">
        <f t="shared" si="2"/>
        <v>0</v>
      </c>
      <c r="X8" s="771"/>
      <c r="Y8" s="3230" t="s">
        <v>2547</v>
      </c>
      <c r="Z8" s="3231"/>
      <c r="AA8" s="772" t="e">
        <f t="shared" ref="AA8:AA47" si="3">D8/F8</f>
        <v>#DIV/0!</v>
      </c>
      <c r="AB8" s="772" t="e">
        <f t="shared" ref="AB8:AB47" si="4">D8/H8</f>
        <v>#DIV/0!</v>
      </c>
      <c r="AC8" s="2671"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5" t="s">
        <v>2550</v>
      </c>
      <c r="Q9" s="1796" t="str">
        <f t="shared" ref="Q9:Q15" si="6">B9</f>
        <v>用途</v>
      </c>
      <c r="R9" s="769" t="s">
        <v>17</v>
      </c>
      <c r="S9" s="770">
        <f t="shared" si="0"/>
        <v>100</v>
      </c>
      <c r="T9" s="769" t="s">
        <v>17</v>
      </c>
      <c r="U9" s="770">
        <f t="shared" si="1"/>
        <v>100</v>
      </c>
      <c r="V9" s="769" t="s">
        <v>17</v>
      </c>
      <c r="W9" s="770">
        <f t="shared" si="2"/>
        <v>100</v>
      </c>
      <c r="X9" s="771"/>
      <c r="Y9" s="3019" t="s">
        <v>2551</v>
      </c>
      <c r="Z9" s="55" t="str">
        <f t="shared" ref="Z9:Z15" si="7">Q9</f>
        <v>用途</v>
      </c>
      <c r="AA9" s="772">
        <f t="shared" si="3"/>
        <v>1</v>
      </c>
      <c r="AB9" s="772">
        <f t="shared" si="4"/>
        <v>1</v>
      </c>
      <c r="AC9" s="2671">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5"/>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2671">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5"/>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2671" t="e">
        <f t="shared" si="5"/>
        <v>#N/A</v>
      </c>
    </row>
    <row r="12" spans="1:29" s="116" customFormat="1" ht="15">
      <c r="A12" s="430"/>
      <c r="B12" s="2601">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205"/>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2671">
        <f>D12/J12</f>
        <v>1</v>
      </c>
    </row>
    <row r="13" spans="1:29" ht="15">
      <c r="A13" s="427"/>
      <c r="B13" s="2601">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205"/>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2671">
        <f t="shared" si="5"/>
        <v>1</v>
      </c>
    </row>
    <row r="14" spans="1:29" ht="15.75" thickBot="1">
      <c r="A14" s="435"/>
      <c r="B14" s="2603">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05"/>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2671">
        <f t="shared" si="5"/>
        <v>1</v>
      </c>
    </row>
    <row r="15" spans="1:29" ht="71.25">
      <c r="A15" s="439" t="s">
        <v>2554</v>
      </c>
      <c r="B15" s="628" t="s">
        <v>2682</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3" t="s">
        <v>2555</v>
      </c>
      <c r="Q15" s="1811" t="str">
        <f t="shared" si="6"/>
        <v>办公集聚程度</v>
      </c>
      <c r="R15" s="773" t="s">
        <v>17</v>
      </c>
      <c r="S15" s="774">
        <f t="shared" si="0"/>
        <v>100</v>
      </c>
      <c r="T15" s="773" t="s">
        <v>17</v>
      </c>
      <c r="U15" s="774">
        <f t="shared" si="1"/>
        <v>100</v>
      </c>
      <c r="V15" s="773" t="s">
        <v>17</v>
      </c>
      <c r="W15" s="774">
        <f t="shared" si="2"/>
        <v>100</v>
      </c>
      <c r="X15" s="1814"/>
      <c r="Y15" s="3196" t="s">
        <v>2555</v>
      </c>
      <c r="Z15" s="1815" t="str">
        <f t="shared" si="7"/>
        <v>办公集聚程度</v>
      </c>
      <c r="AA15" s="1812">
        <f t="shared" si="3"/>
        <v>1</v>
      </c>
      <c r="AB15" s="1812">
        <f t="shared" si="4"/>
        <v>1</v>
      </c>
      <c r="AC15" s="2674">
        <f t="shared" si="5"/>
        <v>1</v>
      </c>
    </row>
    <row r="16" spans="1:29" ht="15">
      <c r="A16" s="427"/>
      <c r="B16" s="629"/>
      <c r="C16" s="2612"/>
      <c r="D16" s="447"/>
      <c r="E16" s="446"/>
      <c r="F16" s="447"/>
      <c r="G16" s="2612"/>
      <c r="H16" s="449"/>
      <c r="I16" s="446"/>
      <c r="J16" s="447"/>
      <c r="K16" s="614"/>
      <c r="L16" s="1142"/>
      <c r="M16" s="1133"/>
      <c r="N16" s="1133"/>
      <c r="O16" s="1133"/>
      <c r="P16" s="3204"/>
      <c r="Q16" s="1811"/>
      <c r="R16" s="773"/>
      <c r="S16" s="774"/>
      <c r="T16" s="773"/>
      <c r="U16" s="774"/>
      <c r="V16" s="773"/>
      <c r="W16" s="774"/>
      <c r="X16" s="1814"/>
      <c r="Y16" s="3197"/>
      <c r="Z16" s="1815"/>
      <c r="AA16" s="1812">
        <v>1</v>
      </c>
      <c r="AB16" s="1812">
        <v>1</v>
      </c>
      <c r="AC16" s="2674">
        <v>1</v>
      </c>
    </row>
    <row r="17" spans="1:29" ht="71.25">
      <c r="A17" s="427"/>
      <c r="B17" s="630" t="s">
        <v>2096</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4"/>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2674">
        <f t="shared" si="5"/>
        <v>1</v>
      </c>
    </row>
    <row r="18" spans="1:29" ht="15">
      <c r="A18" s="427"/>
      <c r="B18" s="631"/>
      <c r="C18" s="2676"/>
      <c r="D18" s="449"/>
      <c r="E18" s="2610"/>
      <c r="F18" s="449"/>
      <c r="G18" s="2611"/>
      <c r="H18" s="447"/>
      <c r="I18" s="2611"/>
      <c r="J18" s="447"/>
      <c r="K18" s="614"/>
      <c r="L18" s="1142"/>
      <c r="M18" s="1133"/>
      <c r="N18" s="1133"/>
      <c r="O18" s="1133"/>
      <c r="P18" s="3204"/>
      <c r="Q18" s="1811"/>
      <c r="R18" s="773"/>
      <c r="S18" s="774"/>
      <c r="T18" s="773"/>
      <c r="U18" s="774"/>
      <c r="V18" s="773"/>
      <c r="W18" s="774"/>
      <c r="X18" s="1814"/>
      <c r="Y18" s="3197"/>
      <c r="Z18" s="1815"/>
      <c r="AA18" s="1812">
        <v>1</v>
      </c>
      <c r="AB18" s="1812">
        <v>1</v>
      </c>
      <c r="AC18" s="2674">
        <v>1</v>
      </c>
    </row>
    <row r="19" spans="1:29" ht="42.75">
      <c r="A19" s="427"/>
      <c r="B19" s="630" t="s">
        <v>2683</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4"/>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2674">
        <f t="shared" si="5"/>
        <v>1</v>
      </c>
    </row>
    <row r="20" spans="1:29" ht="15">
      <c r="A20" s="427"/>
      <c r="B20" s="631"/>
      <c r="C20" s="2612"/>
      <c r="D20" s="447"/>
      <c r="E20" s="2605"/>
      <c r="F20" s="447"/>
      <c r="G20" s="2606"/>
      <c r="H20" s="447"/>
      <c r="I20" s="2606"/>
      <c r="J20" s="447"/>
      <c r="K20" s="614"/>
      <c r="L20" s="1142"/>
      <c r="M20" s="1133"/>
      <c r="N20" s="1133"/>
      <c r="O20" s="1133"/>
      <c r="P20" s="3204"/>
      <c r="Q20" s="1811"/>
      <c r="R20" s="773"/>
      <c r="S20" s="774"/>
      <c r="T20" s="773"/>
      <c r="U20" s="774"/>
      <c r="V20" s="773"/>
      <c r="W20" s="774"/>
      <c r="X20" s="1814"/>
      <c r="Y20" s="3197"/>
      <c r="Z20" s="1815"/>
      <c r="AA20" s="1812">
        <v>1</v>
      </c>
      <c r="AB20" s="1812">
        <v>1</v>
      </c>
      <c r="AC20" s="2674">
        <v>1</v>
      </c>
    </row>
    <row r="21" spans="1:29" ht="28.5">
      <c r="A21" s="427"/>
      <c r="B21" s="632" t="s">
        <v>2684</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4"/>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2674">
        <f t="shared" ref="AC21" si="10">D21/J21</f>
        <v>1</v>
      </c>
    </row>
    <row r="22" spans="1:29" ht="15">
      <c r="A22" s="427"/>
      <c r="B22" s="632"/>
      <c r="C22" s="2676"/>
      <c r="D22" s="447"/>
      <c r="E22" s="446"/>
      <c r="F22" s="447"/>
      <c r="G22" s="2612"/>
      <c r="H22" s="447"/>
      <c r="I22" s="2612"/>
      <c r="J22" s="447"/>
      <c r="K22" s="1385"/>
      <c r="L22" s="1142"/>
      <c r="M22" s="1133"/>
      <c r="N22" s="1133"/>
      <c r="O22" s="1133"/>
      <c r="P22" s="3204"/>
      <c r="Q22" s="1811"/>
      <c r="R22" s="773"/>
      <c r="S22" s="774"/>
      <c r="T22" s="773"/>
      <c r="U22" s="774"/>
      <c r="V22" s="773"/>
      <c r="W22" s="774"/>
      <c r="X22" s="1814"/>
      <c r="Y22" s="3197"/>
      <c r="Z22" s="1815"/>
      <c r="AA22" s="1812">
        <v>1</v>
      </c>
      <c r="AB22" s="1812">
        <v>1</v>
      </c>
      <c r="AC22" s="2674">
        <v>1</v>
      </c>
    </row>
    <row r="23" spans="1:29" ht="42.75">
      <c r="A23" s="427"/>
      <c r="B23" s="630" t="s">
        <v>2685</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4"/>
      <c r="Q23" s="1811" t="str">
        <f>B23</f>
        <v>环境质量</v>
      </c>
      <c r="R23" s="773" t="s">
        <v>17</v>
      </c>
      <c r="S23" s="774">
        <f>F23</f>
        <v>100</v>
      </c>
      <c r="T23" s="773" t="s">
        <v>17</v>
      </c>
      <c r="U23" s="774">
        <f>H23</f>
        <v>100</v>
      </c>
      <c r="V23" s="773" t="s">
        <v>17</v>
      </c>
      <c r="W23" s="774">
        <f>J23</f>
        <v>100</v>
      </c>
      <c r="X23" s="1814"/>
      <c r="Y23" s="3197"/>
      <c r="Z23" s="1815" t="str">
        <f>Q23</f>
        <v>环境质量</v>
      </c>
      <c r="AA23" s="1812">
        <f t="shared" si="3"/>
        <v>1</v>
      </c>
      <c r="AB23" s="1812">
        <f t="shared" si="4"/>
        <v>1</v>
      </c>
      <c r="AC23" s="2674">
        <f t="shared" si="5"/>
        <v>1</v>
      </c>
    </row>
    <row r="24" spans="1:29" ht="15">
      <c r="A24" s="427"/>
      <c r="B24" s="632"/>
      <c r="C24" s="2612"/>
      <c r="D24" s="447"/>
      <c r="E24" s="2605"/>
      <c r="F24" s="447"/>
      <c r="G24" s="2606"/>
      <c r="H24" s="447"/>
      <c r="I24" s="2606"/>
      <c r="J24" s="447"/>
      <c r="K24" s="614"/>
      <c r="L24" s="1142"/>
      <c r="M24" s="1133"/>
      <c r="N24" s="1133"/>
      <c r="O24" s="1133"/>
      <c r="P24" s="3204"/>
      <c r="Q24" s="1811"/>
      <c r="R24" s="773"/>
      <c r="S24" s="774"/>
      <c r="T24" s="773"/>
      <c r="U24" s="774"/>
      <c r="V24" s="773"/>
      <c r="W24" s="774"/>
      <c r="X24" s="1814"/>
      <c r="Y24" s="3197"/>
      <c r="Z24" s="1815"/>
      <c r="AA24" s="1812">
        <v>1</v>
      </c>
      <c r="AB24" s="1812">
        <v>1</v>
      </c>
      <c r="AC24" s="2674">
        <v>1</v>
      </c>
    </row>
    <row r="25" spans="1:29" ht="27">
      <c r="A25" s="403"/>
      <c r="B25" s="630" t="s">
        <v>2686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04"/>
      <c r="Q25" s="1811" t="str">
        <f>B25</f>
        <v>毗邻道路的类型与等级</v>
      </c>
      <c r="R25" s="773" t="s">
        <v>17</v>
      </c>
      <c r="S25" s="774">
        <f>F25</f>
        <v>100</v>
      </c>
      <c r="T25" s="773" t="s">
        <v>17</v>
      </c>
      <c r="U25" s="774">
        <f>H25</f>
        <v>100</v>
      </c>
      <c r="V25" s="773" t="s">
        <v>17</v>
      </c>
      <c r="W25" s="774">
        <f>J25</f>
        <v>100</v>
      </c>
      <c r="X25" s="1814"/>
      <c r="Y25" s="3197"/>
      <c r="Z25" s="1815" t="str">
        <f>Q25</f>
        <v>毗邻道路的类型与等级</v>
      </c>
      <c r="AA25" s="1812">
        <f t="shared" si="3"/>
        <v>1</v>
      </c>
      <c r="AB25" s="1812">
        <f t="shared" si="4"/>
        <v>1</v>
      </c>
      <c r="AC25" s="2674">
        <f t="shared" si="5"/>
        <v>1</v>
      </c>
    </row>
    <row r="26" spans="1:29" ht="15">
      <c r="A26" s="403"/>
      <c r="B26" s="631"/>
      <c r="C26" s="633"/>
      <c r="D26" s="434"/>
      <c r="E26" s="615"/>
      <c r="F26" s="434"/>
      <c r="G26" s="633"/>
      <c r="H26" s="434"/>
      <c r="I26" s="615"/>
      <c r="J26" s="434"/>
      <c r="K26" s="614"/>
      <c r="L26" s="1142"/>
      <c r="M26" s="1133"/>
      <c r="N26" s="1133"/>
      <c r="O26" s="1133"/>
      <c r="P26" s="3204"/>
      <c r="Q26" s="1811"/>
      <c r="R26" s="773"/>
      <c r="S26" s="774"/>
      <c r="T26" s="773"/>
      <c r="U26" s="774"/>
      <c r="V26" s="773"/>
      <c r="W26" s="774"/>
      <c r="X26" s="1814"/>
      <c r="Y26" s="3197"/>
      <c r="Z26" s="1815"/>
      <c r="AA26" s="1812">
        <v>1</v>
      </c>
      <c r="AB26" s="1812">
        <v>1</v>
      </c>
      <c r="AC26" s="2674">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4"/>
      <c r="Q27" s="1811" t="str">
        <f t="shared" ref="Q27:Q47" si="11">B27</f>
        <v>楼层</v>
      </c>
      <c r="R27" s="773" t="s">
        <v>17</v>
      </c>
      <c r="S27" s="774">
        <f>F27</f>
        <v>100</v>
      </c>
      <c r="T27" s="773" t="s">
        <v>17</v>
      </c>
      <c r="U27" s="774">
        <f>H27</f>
        <v>100</v>
      </c>
      <c r="V27" s="773" t="s">
        <v>17</v>
      </c>
      <c r="W27" s="774">
        <f>J27</f>
        <v>100</v>
      </c>
      <c r="X27" s="1814"/>
      <c r="Y27" s="3197"/>
      <c r="Z27" s="1815" t="str">
        <f>Q27</f>
        <v>楼层</v>
      </c>
      <c r="AA27" s="1812">
        <f t="shared" si="3"/>
        <v>1</v>
      </c>
      <c r="AB27" s="1812">
        <f t="shared" si="4"/>
        <v>1</v>
      </c>
      <c r="AC27" s="2674">
        <f t="shared" si="5"/>
        <v>1</v>
      </c>
    </row>
    <row r="28" spans="1:29" s="116" customFormat="1" ht="15">
      <c r="A28" s="430"/>
      <c r="B28" s="630" t="s">
        <v>2687</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04"/>
      <c r="Q28" s="1796" t="str">
        <f t="shared" si="11"/>
        <v>朝向</v>
      </c>
      <c r="R28" s="769" t="s">
        <v>17</v>
      </c>
      <c r="S28" s="770">
        <f>F28</f>
        <v>100</v>
      </c>
      <c r="T28" s="769" t="s">
        <v>17</v>
      </c>
      <c r="U28" s="770">
        <f>H28</f>
        <v>100</v>
      </c>
      <c r="V28" s="769" t="s">
        <v>17</v>
      </c>
      <c r="W28" s="770">
        <f>J28</f>
        <v>100</v>
      </c>
      <c r="X28" s="771"/>
      <c r="Y28" s="3197"/>
      <c r="Z28" s="55" t="str">
        <f>Q28</f>
        <v>朝向</v>
      </c>
      <c r="AA28" s="1812">
        <f>D28/F28</f>
        <v>1</v>
      </c>
      <c r="AB28" s="1812">
        <f>D28/H28</f>
        <v>1</v>
      </c>
      <c r="AC28" s="2674">
        <f>D28/J28</f>
        <v>1</v>
      </c>
    </row>
    <row r="29" spans="1:29" ht="15">
      <c r="A29" s="427"/>
      <c r="B29" s="2678">
        <v>111</v>
      </c>
      <c r="C29" s="2616"/>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04"/>
      <c r="Q29" s="1811">
        <f t="shared" si="11"/>
        <v>111</v>
      </c>
      <c r="R29" s="773" t="s">
        <v>17</v>
      </c>
      <c r="S29" s="774">
        <f t="shared" ref="S29:S47" si="12">F29</f>
        <v>100</v>
      </c>
      <c r="T29" s="773" t="s">
        <v>17</v>
      </c>
      <c r="U29" s="774">
        <f t="shared" ref="U29:U47" si="13">H29</f>
        <v>100</v>
      </c>
      <c r="V29" s="773" t="s">
        <v>17</v>
      </c>
      <c r="W29" s="774">
        <f t="shared" ref="W29:W47" si="14">J29</f>
        <v>100</v>
      </c>
      <c r="X29" s="1814"/>
      <c r="Y29" s="3197"/>
      <c r="Z29" s="1815">
        <f t="shared" ref="Z29:Z47" si="15">Q29</f>
        <v>111</v>
      </c>
      <c r="AA29" s="1812">
        <f t="shared" si="3"/>
        <v>1</v>
      </c>
      <c r="AB29" s="1812">
        <f t="shared" si="4"/>
        <v>1</v>
      </c>
      <c r="AC29" s="2674">
        <f t="shared" si="5"/>
        <v>1</v>
      </c>
    </row>
    <row r="30" spans="1:29" ht="15">
      <c r="A30" s="427"/>
      <c r="B30" s="2678">
        <v>111</v>
      </c>
      <c r="C30" s="2616"/>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04"/>
      <c r="Q30" s="1811">
        <f t="shared" si="11"/>
        <v>111</v>
      </c>
      <c r="R30" s="773" t="s">
        <v>17</v>
      </c>
      <c r="S30" s="774">
        <f t="shared" si="12"/>
        <v>100</v>
      </c>
      <c r="T30" s="773" t="s">
        <v>17</v>
      </c>
      <c r="U30" s="774">
        <f t="shared" si="13"/>
        <v>100</v>
      </c>
      <c r="V30" s="773" t="s">
        <v>17</v>
      </c>
      <c r="W30" s="774">
        <f t="shared" si="14"/>
        <v>100</v>
      </c>
      <c r="X30" s="1814"/>
      <c r="Y30" s="3197"/>
      <c r="Z30" s="1815">
        <f t="shared" si="15"/>
        <v>111</v>
      </c>
      <c r="AA30" s="1812">
        <f t="shared" si="3"/>
        <v>1</v>
      </c>
      <c r="AB30" s="1812">
        <f t="shared" si="4"/>
        <v>1</v>
      </c>
      <c r="AC30" s="2674">
        <f t="shared" si="5"/>
        <v>1</v>
      </c>
    </row>
    <row r="31" spans="1:29" ht="15">
      <c r="A31" s="427"/>
      <c r="B31" s="2678">
        <v>111</v>
      </c>
      <c r="C31" s="2616"/>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04"/>
      <c r="Q31" s="1811">
        <f t="shared" si="11"/>
        <v>111</v>
      </c>
      <c r="R31" s="773" t="s">
        <v>17</v>
      </c>
      <c r="S31" s="774">
        <f t="shared" si="12"/>
        <v>100</v>
      </c>
      <c r="T31" s="773" t="s">
        <v>17</v>
      </c>
      <c r="U31" s="774">
        <f t="shared" si="13"/>
        <v>100</v>
      </c>
      <c r="V31" s="773" t="s">
        <v>17</v>
      </c>
      <c r="W31" s="774">
        <f t="shared" si="14"/>
        <v>100</v>
      </c>
      <c r="X31" s="1814"/>
      <c r="Y31" s="3197"/>
      <c r="Z31" s="1815">
        <f t="shared" si="15"/>
        <v>111</v>
      </c>
      <c r="AA31" s="1812">
        <f t="shared" si="3"/>
        <v>1</v>
      </c>
      <c r="AB31" s="1812">
        <f t="shared" si="4"/>
        <v>1</v>
      </c>
      <c r="AC31" s="2674">
        <f t="shared" si="5"/>
        <v>1</v>
      </c>
    </row>
    <row r="32" spans="1:29" ht="15.75" thickBot="1">
      <c r="A32" s="435"/>
      <c r="B32" s="634">
        <v>111</v>
      </c>
      <c r="C32" s="2617"/>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04"/>
      <c r="Q32" s="1811">
        <f t="shared" si="11"/>
        <v>111</v>
      </c>
      <c r="R32" s="773" t="s">
        <v>17</v>
      </c>
      <c r="S32" s="774">
        <f t="shared" si="12"/>
        <v>100</v>
      </c>
      <c r="T32" s="773" t="s">
        <v>17</v>
      </c>
      <c r="U32" s="774">
        <f t="shared" si="13"/>
        <v>100</v>
      </c>
      <c r="V32" s="773" t="s">
        <v>17</v>
      </c>
      <c r="W32" s="774">
        <f t="shared" si="14"/>
        <v>100</v>
      </c>
      <c r="X32" s="1814"/>
      <c r="Y32" s="3197"/>
      <c r="Z32" s="1815">
        <f t="shared" si="15"/>
        <v>111</v>
      </c>
      <c r="AA32" s="1812">
        <f t="shared" si="3"/>
        <v>1</v>
      </c>
      <c r="AB32" s="1812">
        <f t="shared" si="4"/>
        <v>1</v>
      </c>
      <c r="AC32" s="2674">
        <f t="shared" si="5"/>
        <v>1</v>
      </c>
    </row>
    <row r="33" spans="1:29" ht="15">
      <c r="A33" s="439" t="s">
        <v>2558</v>
      </c>
      <c r="B33" s="71" t="s">
        <v>2688</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8" t="s">
        <v>2560</v>
      </c>
      <c r="Q33" s="1811" t="str">
        <f t="shared" si="11"/>
        <v>建筑类型</v>
      </c>
      <c r="R33" s="773" t="s">
        <v>17</v>
      </c>
      <c r="S33" s="774">
        <f t="shared" si="12"/>
        <v>100</v>
      </c>
      <c r="T33" s="773" t="s">
        <v>17</v>
      </c>
      <c r="U33" s="774">
        <f t="shared" si="13"/>
        <v>100</v>
      </c>
      <c r="V33" s="773" t="s">
        <v>17</v>
      </c>
      <c r="W33" s="774">
        <f t="shared" si="14"/>
        <v>100</v>
      </c>
      <c r="X33" s="1814"/>
      <c r="Y33" s="3201" t="s">
        <v>2560</v>
      </c>
      <c r="Z33" s="1815" t="str">
        <f t="shared" si="15"/>
        <v>建筑类型</v>
      </c>
      <c r="AA33" s="1812">
        <f t="shared" si="3"/>
        <v>1</v>
      </c>
      <c r="AB33" s="1812">
        <f t="shared" si="4"/>
        <v>1</v>
      </c>
      <c r="AC33" s="2674">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99"/>
      <c r="Q34" s="775" t="str">
        <f t="shared" si="11"/>
        <v>项目建筑规模</v>
      </c>
      <c r="R34" s="776" t="s">
        <v>17</v>
      </c>
      <c r="S34" s="777" t="e">
        <f t="shared" si="12"/>
        <v>#N/A</v>
      </c>
      <c r="T34" s="776" t="s">
        <v>17</v>
      </c>
      <c r="U34" s="777" t="e">
        <f t="shared" si="13"/>
        <v>#N/A</v>
      </c>
      <c r="V34" s="776" t="s">
        <v>17</v>
      </c>
      <c r="W34" s="777" t="e">
        <f t="shared" si="14"/>
        <v>#N/A</v>
      </c>
      <c r="X34" s="778"/>
      <c r="Y34" s="3201"/>
      <c r="Z34" s="779" t="str">
        <f t="shared" si="15"/>
        <v>项目建筑规模</v>
      </c>
      <c r="AA34" s="1812" t="e">
        <f t="shared" si="3"/>
        <v>#N/A</v>
      </c>
      <c r="AB34" s="1812" t="e">
        <f t="shared" si="4"/>
        <v>#N/A</v>
      </c>
      <c r="AC34" s="2674"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9"/>
      <c r="Q35" s="1811" t="str">
        <f t="shared" si="11"/>
        <v>建筑结构</v>
      </c>
      <c r="R35" s="773" t="s">
        <v>17</v>
      </c>
      <c r="S35" s="774">
        <f t="shared" si="12"/>
        <v>100</v>
      </c>
      <c r="T35" s="773" t="s">
        <v>17</v>
      </c>
      <c r="U35" s="774">
        <f t="shared" si="13"/>
        <v>100</v>
      </c>
      <c r="V35" s="773" t="s">
        <v>17</v>
      </c>
      <c r="W35" s="774">
        <f t="shared" si="14"/>
        <v>100</v>
      </c>
      <c r="X35" s="1814"/>
      <c r="Y35" s="3201"/>
      <c r="Z35" s="1815" t="str">
        <f t="shared" si="15"/>
        <v>建筑结构</v>
      </c>
      <c r="AA35" s="1812">
        <f t="shared" si="3"/>
        <v>1</v>
      </c>
      <c r="AB35" s="1812">
        <f t="shared" si="4"/>
        <v>1</v>
      </c>
      <c r="AC35" s="2674">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9"/>
      <c r="Q36" s="1811" t="str">
        <f t="shared" si="11"/>
        <v>公共部分装修</v>
      </c>
      <c r="R36" s="773" t="s">
        <v>17</v>
      </c>
      <c r="S36" s="774">
        <f t="shared" si="12"/>
        <v>100</v>
      </c>
      <c r="T36" s="773" t="s">
        <v>17</v>
      </c>
      <c r="U36" s="774">
        <f t="shared" si="13"/>
        <v>100</v>
      </c>
      <c r="V36" s="773" t="s">
        <v>17</v>
      </c>
      <c r="W36" s="774">
        <f t="shared" si="14"/>
        <v>100</v>
      </c>
      <c r="X36" s="1814"/>
      <c r="Y36" s="3201"/>
      <c r="Z36" s="1815" t="str">
        <f t="shared" si="15"/>
        <v>公共部分装修</v>
      </c>
      <c r="AA36" s="1812">
        <f t="shared" si="3"/>
        <v>1</v>
      </c>
      <c r="AB36" s="1812">
        <f t="shared" si="4"/>
        <v>1</v>
      </c>
      <c r="AC36" s="2674">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9"/>
      <c r="Q37" s="1811" t="str">
        <f t="shared" si="11"/>
        <v>成新度</v>
      </c>
      <c r="R37" s="773" t="s">
        <v>17</v>
      </c>
      <c r="S37" s="774" t="e">
        <f t="shared" si="12"/>
        <v>#N/A</v>
      </c>
      <c r="T37" s="773" t="s">
        <v>17</v>
      </c>
      <c r="U37" s="774" t="e">
        <f t="shared" si="13"/>
        <v>#N/A</v>
      </c>
      <c r="V37" s="773" t="s">
        <v>17</v>
      </c>
      <c r="W37" s="774" t="e">
        <f t="shared" si="14"/>
        <v>#N/A</v>
      </c>
      <c r="X37" s="1814"/>
      <c r="Y37" s="3201"/>
      <c r="Z37" s="1815" t="str">
        <f t="shared" si="15"/>
        <v>成新度</v>
      </c>
      <c r="AA37" s="1812" t="e">
        <f t="shared" si="3"/>
        <v>#N/A</v>
      </c>
      <c r="AB37" s="1812" t="e">
        <f t="shared" si="4"/>
        <v>#N/A</v>
      </c>
      <c r="AC37" s="2674"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9"/>
      <c r="Q38" s="1796" t="str">
        <f t="shared" si="11"/>
        <v>写字楼等级</v>
      </c>
      <c r="R38" s="769" t="s">
        <v>17</v>
      </c>
      <c r="S38" s="770">
        <f t="shared" si="12"/>
        <v>100</v>
      </c>
      <c r="T38" s="769" t="s">
        <v>17</v>
      </c>
      <c r="U38" s="770">
        <f t="shared" si="13"/>
        <v>100</v>
      </c>
      <c r="V38" s="769" t="s">
        <v>17</v>
      </c>
      <c r="W38" s="770">
        <f t="shared" si="14"/>
        <v>100</v>
      </c>
      <c r="X38" s="771"/>
      <c r="Y38" s="3201"/>
      <c r="Z38" s="55" t="str">
        <f t="shared" si="15"/>
        <v>写字楼等级</v>
      </c>
      <c r="AA38" s="772">
        <f t="shared" si="3"/>
        <v>1</v>
      </c>
      <c r="AB38" s="772">
        <f t="shared" si="4"/>
        <v>1</v>
      </c>
      <c r="AC38" s="2671">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9" t="s">
        <v>2560</v>
      </c>
      <c r="Q39" s="1811" t="str">
        <f t="shared" si="11"/>
        <v>物业管理</v>
      </c>
      <c r="R39" s="773" t="s">
        <v>17</v>
      </c>
      <c r="S39" s="774">
        <f t="shared" si="12"/>
        <v>100</v>
      </c>
      <c r="T39" s="773" t="s">
        <v>17</v>
      </c>
      <c r="U39" s="774">
        <f t="shared" si="13"/>
        <v>100</v>
      </c>
      <c r="V39" s="773" t="s">
        <v>17</v>
      </c>
      <c r="W39" s="774">
        <f t="shared" si="14"/>
        <v>100</v>
      </c>
      <c r="X39" s="1814"/>
      <c r="Y39" s="3201" t="s">
        <v>2560</v>
      </c>
      <c r="Z39" s="1815" t="str">
        <f t="shared" si="15"/>
        <v>物业管理</v>
      </c>
      <c r="AA39" s="1812">
        <f t="shared" si="3"/>
        <v>1</v>
      </c>
      <c r="AB39" s="1812">
        <f t="shared" si="4"/>
        <v>1</v>
      </c>
      <c r="AC39" s="2674">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9"/>
      <c r="Q40" s="1811" t="str">
        <f t="shared" si="11"/>
        <v>市政基础设施</v>
      </c>
      <c r="R40" s="773" t="s">
        <v>17</v>
      </c>
      <c r="S40" s="774">
        <f t="shared" si="12"/>
        <v>100</v>
      </c>
      <c r="T40" s="773" t="s">
        <v>17</v>
      </c>
      <c r="U40" s="774">
        <f t="shared" si="13"/>
        <v>100</v>
      </c>
      <c r="V40" s="773" t="s">
        <v>17</v>
      </c>
      <c r="W40" s="774">
        <f t="shared" si="14"/>
        <v>100</v>
      </c>
      <c r="X40" s="1814"/>
      <c r="Y40" s="3201"/>
      <c r="Z40" s="1815" t="str">
        <f t="shared" si="15"/>
        <v>市政基础设施</v>
      </c>
      <c r="AA40" s="1812">
        <f t="shared" si="3"/>
        <v>1</v>
      </c>
      <c r="AB40" s="1812">
        <f t="shared" si="4"/>
        <v>1</v>
      </c>
      <c r="AC40" s="2674">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9"/>
      <c r="Q41" s="1811" t="str">
        <f t="shared" si="11"/>
        <v>层高</v>
      </c>
      <c r="R41" s="773" t="s">
        <v>17</v>
      </c>
      <c r="S41" s="774">
        <f t="shared" si="12"/>
        <v>100</v>
      </c>
      <c r="T41" s="773" t="s">
        <v>17</v>
      </c>
      <c r="U41" s="774">
        <f t="shared" si="13"/>
        <v>100</v>
      </c>
      <c r="V41" s="773" t="s">
        <v>17</v>
      </c>
      <c r="W41" s="774">
        <f t="shared" si="14"/>
        <v>100</v>
      </c>
      <c r="X41" s="1814"/>
      <c r="Y41" s="3201"/>
      <c r="Z41" s="1815" t="str">
        <f t="shared" si="15"/>
        <v>层高</v>
      </c>
      <c r="AA41" s="1812">
        <f t="shared" si="3"/>
        <v>1</v>
      </c>
      <c r="AB41" s="1812">
        <f t="shared" si="4"/>
        <v>1</v>
      </c>
      <c r="AC41" s="2674">
        <f t="shared" si="5"/>
        <v>1</v>
      </c>
    </row>
    <row r="42" spans="1:29" s="470" customFormat="1" ht="15">
      <c r="A42" s="467"/>
      <c r="B42" s="1813"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9"/>
      <c r="Q42" s="775" t="str">
        <f t="shared" si="11"/>
        <v>单套建筑面积</v>
      </c>
      <c r="R42" s="776" t="s">
        <v>17</v>
      </c>
      <c r="S42" s="777">
        <f t="shared" si="12"/>
        <v>100</v>
      </c>
      <c r="T42" s="776" t="s">
        <v>17</v>
      </c>
      <c r="U42" s="777">
        <f t="shared" si="13"/>
        <v>100</v>
      </c>
      <c r="V42" s="776" t="s">
        <v>17</v>
      </c>
      <c r="W42" s="777">
        <f t="shared" si="14"/>
        <v>100</v>
      </c>
      <c r="X42" s="778"/>
      <c r="Y42" s="3201"/>
      <c r="Z42" s="779" t="str">
        <f t="shared" si="15"/>
        <v>单套建筑面积</v>
      </c>
      <c r="AA42" s="1812">
        <f t="shared" si="3"/>
        <v>1</v>
      </c>
      <c r="AB42" s="1812">
        <f t="shared" si="4"/>
        <v>1</v>
      </c>
      <c r="AC42" s="2674">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9"/>
      <c r="Q43" s="1811" t="str">
        <f t="shared" si="11"/>
        <v>内部装修</v>
      </c>
      <c r="R43" s="773" t="s">
        <v>17</v>
      </c>
      <c r="S43" s="774">
        <f t="shared" si="12"/>
        <v>100</v>
      </c>
      <c r="T43" s="773" t="s">
        <v>17</v>
      </c>
      <c r="U43" s="774">
        <f t="shared" si="13"/>
        <v>100</v>
      </c>
      <c r="V43" s="773" t="s">
        <v>17</v>
      </c>
      <c r="W43" s="774">
        <f t="shared" si="14"/>
        <v>100</v>
      </c>
      <c r="X43" s="1814"/>
      <c r="Y43" s="3201"/>
      <c r="Z43" s="1815" t="str">
        <f t="shared" si="15"/>
        <v>内部装修</v>
      </c>
      <c r="AA43" s="1812">
        <f t="shared" si="3"/>
        <v>1</v>
      </c>
      <c r="AB43" s="1812">
        <f t="shared" si="4"/>
        <v>1</v>
      </c>
      <c r="AC43" s="2674">
        <f t="shared" si="5"/>
        <v>1</v>
      </c>
    </row>
    <row r="44" spans="1:29" ht="15">
      <c r="A44" s="471"/>
      <c r="B44" s="421" t="s">
        <v>2571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199"/>
      <c r="Q44" s="1811" t="str">
        <f t="shared" si="11"/>
        <v>内部装修维护情况</v>
      </c>
      <c r="R44" s="773" t="s">
        <v>17</v>
      </c>
      <c r="S44" s="774">
        <f t="shared" si="12"/>
        <v>100</v>
      </c>
      <c r="T44" s="773" t="s">
        <v>17</v>
      </c>
      <c r="U44" s="774">
        <f t="shared" si="13"/>
        <v>100</v>
      </c>
      <c r="V44" s="773" t="s">
        <v>17</v>
      </c>
      <c r="W44" s="774">
        <f t="shared" si="14"/>
        <v>100</v>
      </c>
      <c r="X44" s="1814"/>
      <c r="Y44" s="3201"/>
      <c r="Z44" s="1815" t="str">
        <f t="shared" si="15"/>
        <v>内部装修维护情况</v>
      </c>
      <c r="AA44" s="1812">
        <f t="shared" si="3"/>
        <v>1</v>
      </c>
      <c r="AB44" s="1812">
        <f t="shared" si="4"/>
        <v>1</v>
      </c>
      <c r="AC44" s="2674">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99"/>
      <c r="Q45" s="1796">
        <f t="shared" si="11"/>
        <v>111</v>
      </c>
      <c r="R45" s="769" t="s">
        <v>17</v>
      </c>
      <c r="S45" s="770">
        <f t="shared" si="12"/>
        <v>100</v>
      </c>
      <c r="T45" s="769" t="s">
        <v>17</v>
      </c>
      <c r="U45" s="770">
        <f t="shared" si="13"/>
        <v>100</v>
      </c>
      <c r="V45" s="769" t="s">
        <v>17</v>
      </c>
      <c r="W45" s="770">
        <f t="shared" si="14"/>
        <v>100</v>
      </c>
      <c r="X45" s="771"/>
      <c r="Y45" s="3201"/>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9"/>
      <c r="Q46" s="1811">
        <f t="shared" si="11"/>
        <v>111</v>
      </c>
      <c r="R46" s="773" t="s">
        <v>17</v>
      </c>
      <c r="S46" s="774">
        <f t="shared" si="12"/>
        <v>100</v>
      </c>
      <c r="T46" s="773" t="s">
        <v>17</v>
      </c>
      <c r="U46" s="774">
        <f t="shared" si="13"/>
        <v>100</v>
      </c>
      <c r="V46" s="773" t="s">
        <v>17</v>
      </c>
      <c r="W46" s="774">
        <f t="shared" si="14"/>
        <v>100</v>
      </c>
      <c r="X46" s="1814"/>
      <c r="Y46" s="3201"/>
      <c r="Z46" s="1815">
        <f t="shared" si="15"/>
        <v>111</v>
      </c>
      <c r="AA46" s="1812">
        <f t="shared" si="3"/>
        <v>1</v>
      </c>
      <c r="AB46" s="1812">
        <f t="shared" si="4"/>
        <v>1</v>
      </c>
      <c r="AC46" s="2674">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0"/>
      <c r="Q47" s="1811">
        <f t="shared" si="11"/>
        <v>111</v>
      </c>
      <c r="R47" s="773" t="s">
        <v>17</v>
      </c>
      <c r="S47" s="774">
        <f t="shared" si="12"/>
        <v>100</v>
      </c>
      <c r="T47" s="773" t="s">
        <v>17</v>
      </c>
      <c r="U47" s="774">
        <f t="shared" si="13"/>
        <v>100</v>
      </c>
      <c r="V47" s="773" t="s">
        <v>17</v>
      </c>
      <c r="W47" s="774">
        <f t="shared" si="14"/>
        <v>100</v>
      </c>
      <c r="X47" s="1814"/>
      <c r="Y47" s="3202"/>
      <c r="Z47" s="1815">
        <f t="shared" si="15"/>
        <v>111</v>
      </c>
      <c r="AA47" s="1812">
        <f t="shared" si="3"/>
        <v>1</v>
      </c>
      <c r="AB47" s="1812">
        <f t="shared" si="4"/>
        <v>1</v>
      </c>
      <c r="AC47" s="2674">
        <f t="shared" si="5"/>
        <v>1</v>
      </c>
    </row>
    <row r="48" spans="1:29" ht="15">
      <c r="A48" s="478" t="s">
        <v>2572</v>
      </c>
      <c r="B48" s="479"/>
      <c r="C48" s="1408" t="s">
        <v>1</v>
      </c>
      <c r="D48" s="1409"/>
      <c r="E48" s="1410"/>
      <c r="F48" s="1411"/>
      <c r="G48" s="1412"/>
      <c r="H48" s="1413"/>
      <c r="I48" s="1410"/>
      <c r="J48" s="484"/>
      <c r="K48" s="782"/>
      <c r="L48" s="1145"/>
      <c r="M48" s="1133"/>
      <c r="N48" s="1133"/>
      <c r="O48" s="1133"/>
      <c r="P48" s="3205" t="str">
        <f>A48</f>
        <v>成交单价（元/平方米）</v>
      </c>
      <c r="Q48" s="3194"/>
      <c r="R48" s="3195">
        <f>E48</f>
        <v>0</v>
      </c>
      <c r="S48" s="3195"/>
      <c r="T48" s="3195">
        <f>G48</f>
        <v>0</v>
      </c>
      <c r="U48" s="3195"/>
      <c r="V48" s="3195">
        <f>I48</f>
        <v>0</v>
      </c>
      <c r="W48" s="3195"/>
      <c r="X48" s="445"/>
      <c r="Y48" s="780"/>
      <c r="Z48" s="445"/>
      <c r="AA48" s="445"/>
      <c r="AB48" s="445"/>
      <c r="AC48" s="629"/>
    </row>
    <row r="49" spans="1:29" ht="15.75" thickBot="1">
      <c r="A49" s="485" t="s">
        <v>2664</v>
      </c>
      <c r="B49" s="486"/>
      <c r="C49" s="1414" t="e">
        <f>R50</f>
        <v>#DIV/0!</v>
      </c>
      <c r="D49" s="1415"/>
      <c r="E49" s="1416" t="e">
        <f>R49</f>
        <v>#DIV/0!</v>
      </c>
      <c r="F49" s="1416"/>
      <c r="G49" s="1414" t="e">
        <f>T49</f>
        <v>#DIV/0!</v>
      </c>
      <c r="H49" s="1415"/>
      <c r="I49" s="1416" t="e">
        <f>V49</f>
        <v>#DIV/0!</v>
      </c>
      <c r="J49" s="488"/>
      <c r="K49" s="783"/>
      <c r="L49" s="1145"/>
      <c r="M49" s="1133"/>
      <c r="N49" s="1133"/>
      <c r="O49" s="1133"/>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5"/>
      <c r="Y49" s="445"/>
      <c r="Z49" s="445"/>
      <c r="AA49" s="445"/>
      <c r="AB49" s="445"/>
      <c r="AC49" s="629"/>
    </row>
    <row r="50" spans="1:29" ht="15.75" thickBot="1">
      <c r="A50" s="491" t="s">
        <v>2665</v>
      </c>
      <c r="B50" s="492"/>
      <c r="C50" s="1418" t="e">
        <f>R50</f>
        <v>#DIV/0!</v>
      </c>
      <c r="D50" s="1418"/>
      <c r="E50" s="1418"/>
      <c r="F50" s="1418"/>
      <c r="G50" s="1418"/>
      <c r="H50" s="1418"/>
      <c r="I50" s="1418"/>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2669</v>
      </c>
      <c r="B58" s="758"/>
      <c r="C58" s="763"/>
      <c r="D58" s="763"/>
      <c r="E58" s="763"/>
      <c r="F58" s="764"/>
      <c r="G58" s="764"/>
      <c r="H58" s="763"/>
      <c r="I58" s="763"/>
      <c r="J58" s="763"/>
      <c r="K58" s="765"/>
      <c r="L58" s="1163"/>
      <c r="M58" s="1161"/>
      <c r="N58" s="1161"/>
      <c r="O58" s="1161"/>
      <c r="P58" s="2681"/>
      <c r="Q58" s="503"/>
    </row>
    <row r="59" spans="1:29" s="507" customFormat="1" ht="15">
      <c r="A59" s="504" t="s">
        <v>2543</v>
      </c>
      <c r="B59" s="505"/>
      <c r="C59" s="1575" t="str">
        <f>YEAR(C7)&amp;"-"&amp;MONTH(C7)</f>
        <v>2018-3</v>
      </c>
      <c r="D59" s="1576">
        <f>EDATE(C59,-1)</f>
        <v>43132</v>
      </c>
      <c r="E59" s="1576">
        <f>EDATE(D59,-1)</f>
        <v>43101</v>
      </c>
      <c r="F59" s="1576">
        <f t="shared" ref="F59:O59" si="16">EDATE(E59,-1)</f>
        <v>43070</v>
      </c>
      <c r="G59" s="1576">
        <f t="shared" si="16"/>
        <v>43040</v>
      </c>
      <c r="H59" s="1576">
        <f t="shared" si="16"/>
        <v>43009</v>
      </c>
      <c r="I59" s="1576">
        <f t="shared" si="16"/>
        <v>42979</v>
      </c>
      <c r="J59" s="1576">
        <f t="shared" si="16"/>
        <v>42948</v>
      </c>
      <c r="K59" s="1576">
        <f t="shared" si="16"/>
        <v>42917</v>
      </c>
      <c r="L59" s="1576">
        <f t="shared" si="16"/>
        <v>42887</v>
      </c>
      <c r="M59" s="1576">
        <f t="shared" si="16"/>
        <v>42856</v>
      </c>
      <c r="N59" s="1576">
        <f t="shared" si="16"/>
        <v>42826</v>
      </c>
      <c r="O59" s="1576">
        <f t="shared" si="16"/>
        <v>42795</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2580</v>
      </c>
      <c r="B61" s="515"/>
      <c r="C61" s="516"/>
      <c r="D61" s="517"/>
      <c r="E61" s="517"/>
      <c r="F61" s="517"/>
      <c r="G61" s="517"/>
      <c r="H61" s="517"/>
      <c r="I61" s="517"/>
      <c r="J61" s="517"/>
      <c r="K61" s="517"/>
      <c r="L61" s="517"/>
      <c r="M61" s="518"/>
      <c r="N61" s="517"/>
      <c r="O61" s="518"/>
      <c r="P61" s="2682"/>
      <c r="Q61" s="503"/>
    </row>
    <row r="62" spans="1:29" s="116" customFormat="1" ht="15">
      <c r="A62" s="520" t="s">
        <v>2545</v>
      </c>
      <c r="B62" s="509"/>
      <c r="C62" s="521" t="s">
        <v>2647</v>
      </c>
      <c r="D62" s="522"/>
      <c r="E62" s="522"/>
      <c r="F62" s="522"/>
      <c r="G62" s="522"/>
      <c r="H62" s="522"/>
      <c r="I62" s="522"/>
      <c r="J62" s="522"/>
      <c r="K62" s="522"/>
      <c r="L62" s="523"/>
      <c r="M62" s="524"/>
      <c r="N62" s="1153"/>
      <c r="O62" s="1153"/>
      <c r="P62" s="2683"/>
      <c r="Q62" s="503"/>
    </row>
    <row r="63" spans="1:29" s="116"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2583</v>
      </c>
      <c r="B64" s="527" t="s">
        <v>2549</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2684</v>
      </c>
      <c r="C83" s="659" t="s">
        <v>2670</v>
      </c>
      <c r="D83" s="659" t="s">
        <v>2671</v>
      </c>
      <c r="E83" s="659" t="s">
        <v>2672</v>
      </c>
      <c r="F83" s="659" t="s">
        <v>2673</v>
      </c>
      <c r="G83" s="659" t="s">
        <v>2674</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6" customFormat="1" ht="27.75" thickTop="1">
      <c r="A87" s="578"/>
      <c r="B87" s="537" t="s">
        <v>2694</v>
      </c>
      <c r="C87" s="553"/>
      <c r="D87" s="553"/>
      <c r="E87" s="553"/>
      <c r="F87" s="553"/>
      <c r="G87" s="553"/>
      <c r="H87" s="553"/>
      <c r="I87" s="553"/>
      <c r="J87" s="553"/>
      <c r="K87" s="553"/>
      <c r="L87" s="579"/>
      <c r="M87" s="580"/>
      <c r="N87" s="1153"/>
      <c r="O87" s="1153"/>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6"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2558</v>
      </c>
      <c r="B101" s="527" t="s">
        <v>2607</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2609</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2611</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2695</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2612</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2613</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2696</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2679</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2615</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669" t="s">
        <v>2697</v>
      </c>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12609.74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07" t="s">
        <v>2643</v>
      </c>
      <c r="AC4" s="3206" t="s">
        <v>2644</v>
      </c>
    </row>
    <row r="5" spans="1:29" ht="15">
      <c r="A5" s="403"/>
      <c r="B5" s="404"/>
      <c r="C5" s="3240" t="s">
        <v>2537</v>
      </c>
      <c r="D5" s="3229"/>
      <c r="E5" s="3242" t="s">
        <v>2538</v>
      </c>
      <c r="F5" s="3239"/>
      <c r="G5" s="3240" t="s">
        <v>2539</v>
      </c>
      <c r="H5" s="3229"/>
      <c r="I5" s="3240" t="s">
        <v>2540</v>
      </c>
      <c r="J5" s="3229"/>
      <c r="K5" s="609"/>
      <c r="L5" s="1132"/>
      <c r="M5" s="1133"/>
      <c r="N5" s="1133"/>
      <c r="O5" s="1133"/>
      <c r="P5" s="3215"/>
      <c r="Q5" s="3216"/>
      <c r="R5" s="3221"/>
      <c r="S5" s="3222"/>
      <c r="T5" s="3221"/>
      <c r="U5" s="3222"/>
      <c r="V5" s="3225"/>
      <c r="W5" s="3225"/>
      <c r="X5" s="1814"/>
      <c r="Y5" s="3221"/>
      <c r="Z5" s="3222"/>
      <c r="AA5" s="3207"/>
      <c r="AB5" s="3207"/>
      <c r="AC5" s="3207"/>
    </row>
    <row r="6" spans="1:29" ht="15.75" thickBot="1">
      <c r="A6" s="405"/>
      <c r="B6" s="406"/>
      <c r="C6" s="3233" t="s">
        <v>2541</v>
      </c>
      <c r="D6" s="3227"/>
      <c r="E6" s="3241" t="s">
        <v>2541</v>
      </c>
      <c r="F6" s="3235"/>
      <c r="G6" s="3233" t="s">
        <v>2541</v>
      </c>
      <c r="H6" s="3227"/>
      <c r="I6" s="3233" t="s">
        <v>2541</v>
      </c>
      <c r="J6" s="3227"/>
      <c r="K6" s="609" t="s">
        <v>2542</v>
      </c>
      <c r="L6" s="1132"/>
      <c r="M6" s="1133"/>
      <c r="N6" s="1133"/>
      <c r="O6" s="1133"/>
      <c r="P6" s="3217"/>
      <c r="Q6" s="3218"/>
      <c r="R6" s="3221"/>
      <c r="S6" s="3222"/>
      <c r="T6" s="3223"/>
      <c r="U6" s="3224"/>
      <c r="V6" s="3225"/>
      <c r="W6" s="3225"/>
      <c r="X6" s="1814"/>
      <c r="Y6" s="3223"/>
      <c r="Z6" s="3224"/>
      <c r="AA6" s="3208"/>
      <c r="AB6" s="3208"/>
      <c r="AC6" s="3208"/>
    </row>
    <row r="7" spans="1:29" s="116" customFormat="1" ht="15.75" thickBot="1">
      <c r="A7" s="407" t="s">
        <v>2543</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0" t="s">
        <v>2544</v>
      </c>
      <c r="Q7" s="3232"/>
      <c r="R7" s="769" t="s">
        <v>17</v>
      </c>
      <c r="S7" s="770">
        <f t="shared" ref="S7:S15" si="0">F7</f>
        <v>0</v>
      </c>
      <c r="T7" s="769" t="s">
        <v>17</v>
      </c>
      <c r="U7" s="770">
        <f t="shared" ref="U7:U15" si="1">H7</f>
        <v>0</v>
      </c>
      <c r="V7" s="769" t="s">
        <v>17</v>
      </c>
      <c r="W7" s="770">
        <f t="shared" ref="W7:W15" si="2">J7</f>
        <v>0</v>
      </c>
      <c r="X7" s="771"/>
      <c r="Y7" s="3230" t="s">
        <v>2544</v>
      </c>
      <c r="Z7" s="3231"/>
      <c r="AA7" s="772" t="e">
        <f>D7/F7</f>
        <v>#DIV/0!</v>
      </c>
      <c r="AB7" s="772" t="e">
        <f>D7/H7</f>
        <v>#DIV/0!</v>
      </c>
      <c r="AC7" s="772"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0" t="s">
        <v>2547</v>
      </c>
      <c r="Q8" s="3231"/>
      <c r="R8" s="769" t="s">
        <v>17</v>
      </c>
      <c r="S8" s="770">
        <f t="shared" si="0"/>
        <v>0</v>
      </c>
      <c r="T8" s="769" t="s">
        <v>17</v>
      </c>
      <c r="U8" s="770">
        <f t="shared" si="1"/>
        <v>0</v>
      </c>
      <c r="V8" s="769" t="s">
        <v>17</v>
      </c>
      <c r="W8" s="770">
        <f t="shared" si="2"/>
        <v>0</v>
      </c>
      <c r="X8" s="771"/>
      <c r="Y8" s="3230" t="s">
        <v>2547</v>
      </c>
      <c r="Z8" s="3231"/>
      <c r="AA8" s="772" t="e">
        <f t="shared" ref="AA8:AA40" si="3">D8/F8</f>
        <v>#DIV/0!</v>
      </c>
      <c r="AB8" s="772" t="e">
        <f t="shared" ref="AB8:AB40" si="4">D8/H8</f>
        <v>#DIV/0!</v>
      </c>
      <c r="AC8" s="772"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4" t="s">
        <v>2550</v>
      </c>
      <c r="Q9" s="1796" t="str">
        <f t="shared" ref="Q9:Q15" si="6">B9</f>
        <v>用途</v>
      </c>
      <c r="R9" s="769" t="s">
        <v>17</v>
      </c>
      <c r="S9" s="770">
        <f t="shared" si="0"/>
        <v>100</v>
      </c>
      <c r="T9" s="769" t="s">
        <v>17</v>
      </c>
      <c r="U9" s="770">
        <f t="shared" si="1"/>
        <v>100</v>
      </c>
      <c r="V9" s="769" t="s">
        <v>17</v>
      </c>
      <c r="W9" s="770">
        <f t="shared" si="2"/>
        <v>100</v>
      </c>
      <c r="X9" s="771"/>
      <c r="Y9" s="3019"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39" t="s">
        <v>2554</v>
      </c>
      <c r="B15" s="69" t="s">
        <v>2698</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6" t="s">
        <v>2555</v>
      </c>
      <c r="Q15" s="1811" t="str">
        <f t="shared" si="6"/>
        <v>产业集聚程度</v>
      </c>
      <c r="R15" s="773" t="s">
        <v>17</v>
      </c>
      <c r="S15" s="774">
        <f t="shared" si="0"/>
        <v>100</v>
      </c>
      <c r="T15" s="773" t="s">
        <v>17</v>
      </c>
      <c r="U15" s="774">
        <f t="shared" si="1"/>
        <v>100</v>
      </c>
      <c r="V15" s="773" t="s">
        <v>17</v>
      </c>
      <c r="W15" s="774">
        <f t="shared" si="2"/>
        <v>100</v>
      </c>
      <c r="X15" s="1814"/>
      <c r="Y15" s="3196" t="s">
        <v>2555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7"/>
      <c r="Q16" s="1811"/>
      <c r="R16" s="773"/>
      <c r="S16" s="774"/>
      <c r="T16" s="773"/>
      <c r="U16" s="774"/>
      <c r="V16" s="773"/>
      <c r="W16" s="774"/>
      <c r="X16" s="1814"/>
      <c r="Y16" s="3197"/>
      <c r="Z16" s="1815"/>
      <c r="AA16" s="1812">
        <v>1</v>
      </c>
      <c r="AB16" s="1812">
        <v>1</v>
      </c>
      <c r="AC16" s="1812">
        <v>1</v>
      </c>
    </row>
    <row r="17" spans="1:29" ht="85.5">
      <c r="A17" s="427"/>
      <c r="B17" s="450" t="s">
        <v>2096</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7"/>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41"/>
      <c r="P18" s="3197"/>
      <c r="Q18" s="1811"/>
      <c r="R18" s="773"/>
      <c r="S18" s="774"/>
      <c r="T18" s="773"/>
      <c r="U18" s="774"/>
      <c r="V18" s="773"/>
      <c r="W18" s="774"/>
      <c r="X18" s="1814"/>
      <c r="Y18" s="3197"/>
      <c r="Z18" s="1815"/>
      <c r="AA18" s="1812">
        <v>1</v>
      </c>
      <c r="AB18" s="1812">
        <v>1</v>
      </c>
      <c r="AC18" s="1812">
        <v>1</v>
      </c>
    </row>
    <row r="19" spans="1:29" ht="42.75">
      <c r="A19" s="427"/>
      <c r="B19" s="450" t="s">
        <v>2683</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7"/>
      <c r="Q19" s="1811" t="str">
        <f>B19</f>
        <v>公共配套设施</v>
      </c>
      <c r="R19" s="773" t="s">
        <v>17</v>
      </c>
      <c r="S19" s="774">
        <f>F19</f>
        <v>100</v>
      </c>
      <c r="T19" s="773" t="s">
        <v>17</v>
      </c>
      <c r="U19" s="774">
        <f>H19</f>
        <v>100</v>
      </c>
      <c r="V19" s="773" t="s">
        <v>17</v>
      </c>
      <c r="W19" s="774">
        <f>J19</f>
        <v>100</v>
      </c>
      <c r="X19" s="1814"/>
      <c r="Y19" s="3197"/>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41"/>
      <c r="P20" s="3197"/>
      <c r="Q20" s="1811"/>
      <c r="R20" s="773"/>
      <c r="S20" s="774"/>
      <c r="T20" s="773"/>
      <c r="U20" s="774"/>
      <c r="V20" s="773"/>
      <c r="W20" s="774"/>
      <c r="X20" s="1814"/>
      <c r="Y20" s="3197"/>
      <c r="Z20" s="1815"/>
      <c r="AA20" s="1812">
        <v>1</v>
      </c>
      <c r="AB20" s="1812">
        <v>1</v>
      </c>
      <c r="AC20" s="1812">
        <v>1</v>
      </c>
    </row>
    <row r="21" spans="1:29" ht="28.5">
      <c r="A21" s="427"/>
      <c r="B21" s="1386" t="s">
        <v>2684</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7"/>
      <c r="Q21" s="1811" t="str">
        <f>B21</f>
        <v>基础设施水平</v>
      </c>
      <c r="R21" s="773" t="s">
        <v>17</v>
      </c>
      <c r="S21" s="774">
        <f>F21</f>
        <v>100</v>
      </c>
      <c r="T21" s="773" t="s">
        <v>17</v>
      </c>
      <c r="U21" s="774">
        <f>H21</f>
        <v>100</v>
      </c>
      <c r="V21" s="773" t="s">
        <v>17</v>
      </c>
      <c r="W21" s="774">
        <f>J21</f>
        <v>100</v>
      </c>
      <c r="X21" s="1814"/>
      <c r="Y21" s="3197"/>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41"/>
      <c r="P22" s="3197"/>
      <c r="Q22" s="1811"/>
      <c r="R22" s="773"/>
      <c r="S22" s="774"/>
      <c r="T22" s="773"/>
      <c r="U22" s="774"/>
      <c r="V22" s="773"/>
      <c r="W22" s="774"/>
      <c r="X22" s="1814"/>
      <c r="Y22" s="3197"/>
      <c r="Z22" s="1815"/>
      <c r="AA22" s="1812">
        <v>1</v>
      </c>
      <c r="AB22" s="1812">
        <v>1</v>
      </c>
      <c r="AC22" s="1812">
        <v>1</v>
      </c>
    </row>
    <row r="23" spans="1:29" ht="71.25">
      <c r="A23" s="427"/>
      <c r="B23" s="450" t="s">
        <v>2685</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7"/>
      <c r="Q23" s="1811" t="str">
        <f>B23</f>
        <v>环境质量</v>
      </c>
      <c r="R23" s="773" t="s">
        <v>17</v>
      </c>
      <c r="S23" s="774">
        <f>F23</f>
        <v>100</v>
      </c>
      <c r="T23" s="773" t="s">
        <v>17</v>
      </c>
      <c r="U23" s="774">
        <f>H23</f>
        <v>100</v>
      </c>
      <c r="V23" s="773" t="s">
        <v>17</v>
      </c>
      <c r="W23" s="774">
        <f>J23</f>
        <v>100</v>
      </c>
      <c r="X23" s="1814"/>
      <c r="Y23" s="3197"/>
      <c r="Z23" s="1815" t="str">
        <f>Q23</f>
        <v>环境质量</v>
      </c>
      <c r="AA23" s="1812">
        <f t="shared" si="3"/>
        <v>1</v>
      </c>
      <c r="AB23" s="1812">
        <f t="shared" si="4"/>
        <v>1</v>
      </c>
      <c r="AC23" s="1812">
        <f t="shared" si="5"/>
        <v>1</v>
      </c>
    </row>
    <row r="24" spans="1:29" ht="15">
      <c r="A24" s="427"/>
      <c r="B24" s="1386"/>
      <c r="C24" s="446"/>
      <c r="D24" s="447"/>
      <c r="E24" s="2606"/>
      <c r="F24" s="448"/>
      <c r="G24" s="2605"/>
      <c r="H24" s="447"/>
      <c r="I24" s="2606"/>
      <c r="J24" s="447"/>
      <c r="K24" s="614"/>
      <c r="L24" s="1142"/>
      <c r="M24" s="1133"/>
      <c r="N24" s="1133"/>
      <c r="O24" s="1141"/>
      <c r="P24" s="3197"/>
      <c r="Q24" s="1811"/>
      <c r="R24" s="773"/>
      <c r="S24" s="774"/>
      <c r="T24" s="773"/>
      <c r="U24" s="774"/>
      <c r="V24" s="773"/>
      <c r="W24" s="774"/>
      <c r="X24" s="1814"/>
      <c r="Y24" s="3197"/>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7"/>
      <c r="Q25" s="1811">
        <f>B25</f>
        <v>111</v>
      </c>
      <c r="R25" s="773" t="s">
        <v>17</v>
      </c>
      <c r="S25" s="774">
        <f>F25</f>
        <v>100</v>
      </c>
      <c r="T25" s="773" t="s">
        <v>17</v>
      </c>
      <c r="U25" s="774">
        <f>H25</f>
        <v>100</v>
      </c>
      <c r="V25" s="773" t="s">
        <v>17</v>
      </c>
      <c r="W25" s="774">
        <f>J25</f>
        <v>100</v>
      </c>
      <c r="X25" s="1814"/>
      <c r="Y25" s="3197"/>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7"/>
      <c r="Q26" s="1811">
        <f t="shared" ref="Q26:Q40" si="11">B26</f>
        <v>111</v>
      </c>
      <c r="R26" s="773" t="s">
        <v>17</v>
      </c>
      <c r="S26" s="774">
        <f>F26</f>
        <v>100</v>
      </c>
      <c r="T26" s="773" t="s">
        <v>17</v>
      </c>
      <c r="U26" s="774">
        <f>H26</f>
        <v>100</v>
      </c>
      <c r="V26" s="773" t="s">
        <v>17</v>
      </c>
      <c r="W26" s="774">
        <f>J26</f>
        <v>100</v>
      </c>
      <c r="X26" s="1814"/>
      <c r="Y26" s="3197"/>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7"/>
      <c r="Q27" s="1796">
        <f t="shared" si="11"/>
        <v>111</v>
      </c>
      <c r="R27" s="769" t="s">
        <v>17</v>
      </c>
      <c r="S27" s="770">
        <f>F27</f>
        <v>100</v>
      </c>
      <c r="T27" s="769" t="s">
        <v>17</v>
      </c>
      <c r="U27" s="770">
        <f>H27</f>
        <v>100</v>
      </c>
      <c r="V27" s="769" t="s">
        <v>17</v>
      </c>
      <c r="W27" s="770">
        <f>J27</f>
        <v>100</v>
      </c>
      <c r="X27" s="771"/>
      <c r="Y27" s="3197"/>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7"/>
      <c r="Q28" s="1811">
        <f t="shared" si="11"/>
        <v>111</v>
      </c>
      <c r="R28" s="773" t="s">
        <v>17</v>
      </c>
      <c r="S28" s="774">
        <f t="shared" ref="S28:S40" si="12">F28</f>
        <v>100</v>
      </c>
      <c r="T28" s="773" t="s">
        <v>17</v>
      </c>
      <c r="U28" s="774">
        <f t="shared" ref="U28:U40" si="13">H28</f>
        <v>100</v>
      </c>
      <c r="V28" s="773" t="s">
        <v>17</v>
      </c>
      <c r="W28" s="774">
        <f t="shared" ref="W28:W40" si="14">J28</f>
        <v>100</v>
      </c>
      <c r="X28" s="1814"/>
      <c r="Y28" s="3197"/>
      <c r="Z28" s="1815">
        <f t="shared" ref="Z28:Z40" si="15">Q28</f>
        <v>111</v>
      </c>
      <c r="AA28" s="1812">
        <f t="shared" si="3"/>
        <v>1</v>
      </c>
      <c r="AB28" s="1812">
        <f t="shared" si="4"/>
        <v>1</v>
      </c>
      <c r="AC28" s="1812">
        <f t="shared" si="5"/>
        <v>1</v>
      </c>
    </row>
    <row r="29" spans="1:29" ht="15">
      <c r="A29" s="465" t="s">
        <v>2558</v>
      </c>
      <c r="B29" s="71" t="s">
        <v>2688</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58" t="s">
        <v>2560</v>
      </c>
      <c r="Q29" s="1811" t="str">
        <f t="shared" si="11"/>
        <v>建筑类型</v>
      </c>
      <c r="R29" s="773" t="s">
        <v>17</v>
      </c>
      <c r="S29" s="774">
        <f t="shared" si="12"/>
        <v>100</v>
      </c>
      <c r="T29" s="773" t="s">
        <v>17</v>
      </c>
      <c r="U29" s="774">
        <f t="shared" si="13"/>
        <v>100</v>
      </c>
      <c r="V29" s="773" t="s">
        <v>17</v>
      </c>
      <c r="W29" s="774">
        <f t="shared" si="14"/>
        <v>100</v>
      </c>
      <c r="X29" s="1814"/>
      <c r="Y29" s="3201" t="s">
        <v>2560</v>
      </c>
      <c r="Z29" s="1815" t="str">
        <f t="shared" si="15"/>
        <v>建筑类型</v>
      </c>
      <c r="AA29" s="1812">
        <f t="shared" si="3"/>
        <v>1</v>
      </c>
      <c r="AB29" s="1812">
        <f t="shared" si="4"/>
        <v>1</v>
      </c>
      <c r="AC29" s="1812">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1"/>
      <c r="Q30" s="775" t="str">
        <f t="shared" si="11"/>
        <v>项目建筑规模</v>
      </c>
      <c r="R30" s="776" t="s">
        <v>17</v>
      </c>
      <c r="S30" s="777" t="e">
        <f t="shared" si="12"/>
        <v>#N/A</v>
      </c>
      <c r="T30" s="776" t="s">
        <v>17</v>
      </c>
      <c r="U30" s="777" t="e">
        <f t="shared" si="13"/>
        <v>#N/A</v>
      </c>
      <c r="V30" s="776" t="s">
        <v>17</v>
      </c>
      <c r="W30" s="777" t="e">
        <f t="shared" si="14"/>
        <v>#N/A</v>
      </c>
      <c r="X30" s="778"/>
      <c r="Y30" s="3201"/>
      <c r="Z30" s="779" t="str">
        <f t="shared" si="15"/>
        <v>项目建筑规模</v>
      </c>
      <c r="AA30" s="1812" t="e">
        <f t="shared" si="3"/>
        <v>#N/A</v>
      </c>
      <c r="AB30" s="1812" t="e">
        <f t="shared" si="4"/>
        <v>#N/A</v>
      </c>
      <c r="AC30" s="1812"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1"/>
      <c r="Q31" s="1811" t="str">
        <f t="shared" si="11"/>
        <v>建筑结构</v>
      </c>
      <c r="R31" s="773" t="s">
        <v>17</v>
      </c>
      <c r="S31" s="774">
        <f t="shared" si="12"/>
        <v>100</v>
      </c>
      <c r="T31" s="773" t="s">
        <v>17</v>
      </c>
      <c r="U31" s="774">
        <f t="shared" si="13"/>
        <v>100</v>
      </c>
      <c r="V31" s="773" t="s">
        <v>17</v>
      </c>
      <c r="W31" s="774">
        <f t="shared" si="14"/>
        <v>100</v>
      </c>
      <c r="X31" s="1814"/>
      <c r="Y31" s="3201"/>
      <c r="Z31" s="1815" t="str">
        <f t="shared" si="15"/>
        <v>建筑结构</v>
      </c>
      <c r="AA31" s="1812">
        <f t="shared" si="3"/>
        <v>1</v>
      </c>
      <c r="AB31" s="1812">
        <f t="shared" si="4"/>
        <v>1</v>
      </c>
      <c r="AC31" s="1812">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1"/>
      <c r="Q32" s="1811" t="str">
        <f t="shared" si="11"/>
        <v>公共部分装修</v>
      </c>
      <c r="R32" s="773" t="s">
        <v>17</v>
      </c>
      <c r="S32" s="774">
        <f t="shared" si="12"/>
        <v>100</v>
      </c>
      <c r="T32" s="773" t="s">
        <v>17</v>
      </c>
      <c r="U32" s="774">
        <f t="shared" si="13"/>
        <v>100</v>
      </c>
      <c r="V32" s="773" t="s">
        <v>17</v>
      </c>
      <c r="W32" s="774">
        <f t="shared" si="14"/>
        <v>100</v>
      </c>
      <c r="X32" s="1814"/>
      <c r="Y32" s="3201"/>
      <c r="Z32" s="1815" t="str">
        <f t="shared" si="15"/>
        <v>公共部分装修</v>
      </c>
      <c r="AA32" s="1812">
        <f t="shared" si="3"/>
        <v>1</v>
      </c>
      <c r="AB32" s="1812">
        <f t="shared" si="4"/>
        <v>1</v>
      </c>
      <c r="AC32" s="1812">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1"/>
      <c r="Q33" s="1811" t="str">
        <f t="shared" si="11"/>
        <v>成新度</v>
      </c>
      <c r="R33" s="773" t="s">
        <v>17</v>
      </c>
      <c r="S33" s="774" t="e">
        <f t="shared" si="12"/>
        <v>#N/A</v>
      </c>
      <c r="T33" s="773" t="s">
        <v>17</v>
      </c>
      <c r="U33" s="774" t="e">
        <f t="shared" si="13"/>
        <v>#N/A</v>
      </c>
      <c r="V33" s="773" t="s">
        <v>17</v>
      </c>
      <c r="W33" s="774" t="e">
        <f t="shared" si="14"/>
        <v>#N/A</v>
      </c>
      <c r="X33" s="1814"/>
      <c r="Y33" s="3201"/>
      <c r="Z33" s="1815" t="str">
        <f t="shared" si="15"/>
        <v>成新度</v>
      </c>
      <c r="AA33" s="1812" t="e">
        <f t="shared" si="3"/>
        <v>#N/A</v>
      </c>
      <c r="AB33" s="1812" t="e">
        <f t="shared" si="4"/>
        <v>#N/A</v>
      </c>
      <c r="AC33" s="1812"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1"/>
      <c r="Q34" s="1796" t="str">
        <f t="shared" si="11"/>
        <v>物业管理</v>
      </c>
      <c r="R34" s="769" t="s">
        <v>17</v>
      </c>
      <c r="S34" s="770">
        <f t="shared" si="12"/>
        <v>100</v>
      </c>
      <c r="T34" s="769" t="s">
        <v>17</v>
      </c>
      <c r="U34" s="770">
        <f t="shared" si="13"/>
        <v>100</v>
      </c>
      <c r="V34" s="769" t="s">
        <v>17</v>
      </c>
      <c r="W34" s="770">
        <f t="shared" si="14"/>
        <v>100</v>
      </c>
      <c r="X34" s="771"/>
      <c r="Y34" s="3201"/>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1" t="s">
        <v>2560</v>
      </c>
      <c r="Q35" s="1811" t="str">
        <f t="shared" si="11"/>
        <v>市政基础设施</v>
      </c>
      <c r="R35" s="773" t="s">
        <v>17</v>
      </c>
      <c r="S35" s="774">
        <f t="shared" si="12"/>
        <v>100</v>
      </c>
      <c r="T35" s="773" t="s">
        <v>17</v>
      </c>
      <c r="U35" s="774">
        <f t="shared" si="13"/>
        <v>100</v>
      </c>
      <c r="V35" s="773" t="s">
        <v>17</v>
      </c>
      <c r="W35" s="774">
        <f t="shared" si="14"/>
        <v>100</v>
      </c>
      <c r="X35" s="1814"/>
      <c r="Y35" s="3201" t="s">
        <v>2560</v>
      </c>
      <c r="Z35" s="1815" t="str">
        <f t="shared" si="15"/>
        <v>市政基础设施</v>
      </c>
      <c r="AA35" s="1812">
        <f t="shared" si="3"/>
        <v>1</v>
      </c>
      <c r="AB35" s="1812">
        <f t="shared" si="4"/>
        <v>1</v>
      </c>
      <c r="AC35" s="1812">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1"/>
      <c r="Q36" s="1811" t="str">
        <f t="shared" si="11"/>
        <v>内部装修</v>
      </c>
      <c r="R36" s="773" t="s">
        <v>17</v>
      </c>
      <c r="S36" s="774">
        <f t="shared" si="12"/>
        <v>100</v>
      </c>
      <c r="T36" s="773" t="s">
        <v>17</v>
      </c>
      <c r="U36" s="774">
        <f t="shared" si="13"/>
        <v>100</v>
      </c>
      <c r="V36" s="773" t="s">
        <v>17</v>
      </c>
      <c r="W36" s="774">
        <f t="shared" si="14"/>
        <v>100</v>
      </c>
      <c r="X36" s="1814"/>
      <c r="Y36" s="3201"/>
      <c r="Z36" s="1815" t="str">
        <f t="shared" si="15"/>
        <v>内部装修</v>
      </c>
      <c r="AA36" s="1812">
        <f t="shared" si="3"/>
        <v>1</v>
      </c>
      <c r="AB36" s="1812">
        <f t="shared" si="4"/>
        <v>1</v>
      </c>
      <c r="AC36" s="1812">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1"/>
      <c r="Q37" s="1811" t="str">
        <f t="shared" si="11"/>
        <v>内部装修状况</v>
      </c>
      <c r="R37" s="773" t="s">
        <v>17</v>
      </c>
      <c r="S37" s="774">
        <f t="shared" si="12"/>
        <v>100</v>
      </c>
      <c r="T37" s="773" t="s">
        <v>17</v>
      </c>
      <c r="U37" s="774">
        <f t="shared" si="13"/>
        <v>100</v>
      </c>
      <c r="V37" s="773" t="s">
        <v>17</v>
      </c>
      <c r="W37" s="774">
        <f t="shared" si="14"/>
        <v>100</v>
      </c>
      <c r="X37" s="1814"/>
      <c r="Y37" s="3201"/>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1"/>
      <c r="Q38" s="775">
        <f t="shared" si="11"/>
        <v>111</v>
      </c>
      <c r="R38" s="776" t="s">
        <v>17</v>
      </c>
      <c r="S38" s="777">
        <f t="shared" si="12"/>
        <v>100</v>
      </c>
      <c r="T38" s="776" t="s">
        <v>17</v>
      </c>
      <c r="U38" s="777">
        <f t="shared" si="13"/>
        <v>100</v>
      </c>
      <c r="V38" s="776" t="s">
        <v>17</v>
      </c>
      <c r="W38" s="777">
        <f t="shared" si="14"/>
        <v>100</v>
      </c>
      <c r="X38" s="778"/>
      <c r="Y38" s="3201"/>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1"/>
      <c r="Q39" s="1811">
        <f t="shared" si="11"/>
        <v>111</v>
      </c>
      <c r="R39" s="773" t="s">
        <v>17</v>
      </c>
      <c r="S39" s="774">
        <f t="shared" si="12"/>
        <v>100</v>
      </c>
      <c r="T39" s="773" t="s">
        <v>17</v>
      </c>
      <c r="U39" s="774">
        <f t="shared" si="13"/>
        <v>100</v>
      </c>
      <c r="V39" s="773" t="s">
        <v>17</v>
      </c>
      <c r="W39" s="774">
        <f t="shared" si="14"/>
        <v>100</v>
      </c>
      <c r="X39" s="1814"/>
      <c r="Y39" s="3201"/>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2"/>
      <c r="Q40" s="1811">
        <f t="shared" si="11"/>
        <v>111</v>
      </c>
      <c r="R40" s="773" t="s">
        <v>17</v>
      </c>
      <c r="S40" s="774">
        <f t="shared" si="12"/>
        <v>100</v>
      </c>
      <c r="T40" s="773" t="s">
        <v>17</v>
      </c>
      <c r="U40" s="774">
        <f t="shared" si="13"/>
        <v>100</v>
      </c>
      <c r="V40" s="773" t="s">
        <v>17</v>
      </c>
      <c r="W40" s="774">
        <f t="shared" si="14"/>
        <v>100</v>
      </c>
      <c r="X40" s="1814"/>
      <c r="Y40" s="3202"/>
      <c r="Z40" s="1815">
        <f t="shared" si="15"/>
        <v>111</v>
      </c>
      <c r="AA40" s="1812">
        <f t="shared" si="3"/>
        <v>1</v>
      </c>
      <c r="AB40" s="1812">
        <f t="shared" si="4"/>
        <v>1</v>
      </c>
      <c r="AC40" s="1812">
        <f t="shared" si="5"/>
        <v>1</v>
      </c>
    </row>
    <row r="41" spans="1:29" ht="15">
      <c r="A41" s="478" t="s">
        <v>2572</v>
      </c>
      <c r="B41" s="479"/>
      <c r="C41" s="1408" t="s">
        <v>1</v>
      </c>
      <c r="D41" s="1409"/>
      <c r="E41" s="1410"/>
      <c r="F41" s="1411"/>
      <c r="G41" s="1412"/>
      <c r="H41" s="1413"/>
      <c r="I41" s="1410"/>
      <c r="J41" s="1413"/>
      <c r="K41" s="782"/>
      <c r="L41" s="1145"/>
      <c r="M41" s="1146"/>
      <c r="N41" s="1133"/>
      <c r="O41" s="1146"/>
      <c r="P41" s="3194" t="str">
        <f>A41</f>
        <v>成交单价（元/平方米）</v>
      </c>
      <c r="Q41" s="3194"/>
      <c r="R41" s="3195">
        <f>E41</f>
        <v>0</v>
      </c>
      <c r="S41" s="3195"/>
      <c r="T41" s="3195">
        <f>G41</f>
        <v>0</v>
      </c>
      <c r="U41" s="3195"/>
      <c r="V41" s="3195">
        <f>I41</f>
        <v>0</v>
      </c>
      <c r="W41" s="3195"/>
      <c r="X41" s="758"/>
      <c r="Y41" s="780"/>
      <c r="Z41" s="758"/>
      <c r="AA41" s="758"/>
      <c r="AB41" s="758"/>
      <c r="AC41" s="758"/>
    </row>
    <row r="42" spans="1:29" ht="15.75" thickBot="1">
      <c r="A42" s="485" t="s">
        <v>2664</v>
      </c>
      <c r="B42" s="486"/>
      <c r="C42" s="1414" t="e">
        <f>R43</f>
        <v>#DIV/0!</v>
      </c>
      <c r="D42" s="1415"/>
      <c r="E42" s="1416" t="e">
        <f>R42</f>
        <v>#DIV/0!</v>
      </c>
      <c r="F42" s="1416"/>
      <c r="G42" s="1414" t="e">
        <f>T42</f>
        <v>#DIV/0!</v>
      </c>
      <c r="H42" s="1415"/>
      <c r="I42" s="1416" t="e">
        <f>V42</f>
        <v>#DIV/0!</v>
      </c>
      <c r="J42" s="1415"/>
      <c r="K42" s="783"/>
      <c r="L42" s="1145"/>
      <c r="M42" s="1146"/>
      <c r="N42" s="1133"/>
      <c r="O42" s="1146"/>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8"/>
      <c r="Y42" s="758"/>
      <c r="Z42" s="758"/>
      <c r="AA42" s="758"/>
      <c r="AB42" s="758"/>
      <c r="AC42" s="758"/>
    </row>
    <row r="43" spans="1:29" ht="15.75" thickBot="1">
      <c r="A43" s="491" t="s">
        <v>2665</v>
      </c>
      <c r="B43" s="492"/>
      <c r="C43" s="1418" t="e">
        <f>R43</f>
        <v>#DIV/0!</v>
      </c>
      <c r="D43" s="1418"/>
      <c r="E43" s="1418"/>
      <c r="F43" s="1418"/>
      <c r="G43" s="1418"/>
      <c r="H43" s="1418"/>
      <c r="I43" s="1418"/>
      <c r="J43" s="1418"/>
      <c r="K43" s="784"/>
      <c r="L43" s="1145"/>
      <c r="M43" s="1146"/>
      <c r="N43" s="1146"/>
      <c r="O43" s="1146"/>
      <c r="P43" s="3191" t="str">
        <f>A43</f>
        <v>估价对象XX用房的比较价值（楼面单价，元/平方米）</v>
      </c>
      <c r="Q43" s="3192"/>
      <c r="R43" s="3193" t="e">
        <f>IF(F1="售价",ROUND(AVERAGE(R42:V42),0),ROUND(AVERAGE(R42:V42),1))</f>
        <v>#DIV/0!</v>
      </c>
      <c r="S43" s="3193"/>
      <c r="T43" s="3193"/>
      <c r="U43" s="3193"/>
      <c r="V43" s="3193"/>
      <c r="W43" s="319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2669</v>
      </c>
      <c r="B51" s="758"/>
      <c r="C51" s="763"/>
      <c r="D51" s="763"/>
      <c r="E51" s="763"/>
      <c r="F51" s="764"/>
      <c r="G51" s="764"/>
      <c r="H51" s="763"/>
      <c r="I51" s="763"/>
      <c r="J51" s="763"/>
      <c r="K51" s="1162"/>
      <c r="L51" s="1163"/>
      <c r="M51" s="1161"/>
      <c r="N51" s="1161"/>
      <c r="O51" s="1161"/>
      <c r="P51" s="502"/>
      <c r="Q51" s="503"/>
    </row>
    <row r="52" spans="1:17" s="507" customFormat="1" ht="15">
      <c r="A52" s="504" t="s">
        <v>2543</v>
      </c>
      <c r="B52" s="505"/>
      <c r="C52" s="1575" t="str">
        <f>YEAR(C7)&amp;"-"&amp;MONTH(C7)</f>
        <v>2018-3</v>
      </c>
      <c r="D52" s="1576">
        <f>EDATE(C52,-1)</f>
        <v>43132</v>
      </c>
      <c r="E52" s="1576">
        <f t="shared" ref="E52:O52" si="16">EDATE(D52,-1)</f>
        <v>43101</v>
      </c>
      <c r="F52" s="1576">
        <f t="shared" si="16"/>
        <v>43070</v>
      </c>
      <c r="G52" s="1576">
        <f t="shared" si="16"/>
        <v>43040</v>
      </c>
      <c r="H52" s="1576">
        <f t="shared" si="16"/>
        <v>43009</v>
      </c>
      <c r="I52" s="1576">
        <f t="shared" si="16"/>
        <v>42979</v>
      </c>
      <c r="J52" s="1576">
        <f t="shared" si="16"/>
        <v>42948</v>
      </c>
      <c r="K52" s="1576">
        <f t="shared" si="16"/>
        <v>42917</v>
      </c>
      <c r="L52" s="1576">
        <f t="shared" si="16"/>
        <v>42887</v>
      </c>
      <c r="M52" s="1576">
        <f t="shared" si="16"/>
        <v>42856</v>
      </c>
      <c r="N52" s="1576">
        <f t="shared" si="16"/>
        <v>42826</v>
      </c>
      <c r="O52" s="1576">
        <f t="shared" si="16"/>
        <v>42795</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2583</v>
      </c>
      <c r="B57" s="527" t="s">
        <v>2549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2558</v>
      </c>
      <c r="B88" s="527" t="s">
        <v>2607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北京泰禾嘉兴房地产开发有限公司：</v>
      </c>
    </row>
    <row r="4" spans="1:1" ht="54">
      <c r="A4" s="1949" t="str">
        <f>"受贵公司委托，我公司对"&amp;项目基本情况!S1&amp;"进行了预评估。"</f>
        <v>受贵公司委托，我公司对北京市昌平区南邵镇（中关村科技园昌平园东区二期）0303-54地块出让国有建设用地使用权及在建建筑物房地产抵押价值进行了预评估。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3435.11平方米，建筑面积为12609.74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3435.11平方米，规划建筑面积为12609.74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2018年3月6日（评估专业人员实地查勘之日）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2702</v>
      </c>
      <c r="B1" s="1620"/>
      <c r="C1" s="1621" t="s">
        <v>2525</v>
      </c>
      <c r="D1" s="1622"/>
      <c r="E1" s="1623"/>
      <c r="F1" s="2585"/>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2325</v>
      </c>
      <c r="B2" s="1419"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07" t="s">
        <v>2643</v>
      </c>
      <c r="AC4" s="3206" t="s">
        <v>2644</v>
      </c>
    </row>
    <row r="5" spans="1:29" ht="15">
      <c r="A5" s="403"/>
      <c r="B5" s="404"/>
      <c r="C5" s="3240" t="s">
        <v>2537</v>
      </c>
      <c r="D5" s="3229"/>
      <c r="E5" s="3242" t="s">
        <v>2538</v>
      </c>
      <c r="F5" s="3239"/>
      <c r="G5" s="3240" t="s">
        <v>2539</v>
      </c>
      <c r="H5" s="3229"/>
      <c r="I5" s="3240" t="s">
        <v>2540</v>
      </c>
      <c r="J5" s="3229"/>
      <c r="K5" s="609"/>
      <c r="L5" s="1132"/>
      <c r="M5" s="1133"/>
      <c r="N5" s="1133"/>
      <c r="O5" s="1133"/>
      <c r="P5" s="3215"/>
      <c r="Q5" s="3216"/>
      <c r="R5" s="3221"/>
      <c r="S5" s="3222"/>
      <c r="T5" s="3221"/>
      <c r="U5" s="3222"/>
      <c r="V5" s="3225"/>
      <c r="W5" s="3225"/>
      <c r="X5" s="1814"/>
      <c r="Y5" s="3221"/>
      <c r="Z5" s="3222"/>
      <c r="AA5" s="3207"/>
      <c r="AB5" s="3207"/>
      <c r="AC5" s="3207"/>
    </row>
    <row r="6" spans="1:29" ht="15.75" thickBot="1">
      <c r="A6" s="405"/>
      <c r="B6" s="406"/>
      <c r="C6" s="3233" t="s">
        <v>2541</v>
      </c>
      <c r="D6" s="3227"/>
      <c r="E6" s="3241" t="s">
        <v>2541</v>
      </c>
      <c r="F6" s="3235"/>
      <c r="G6" s="3233" t="s">
        <v>2541</v>
      </c>
      <c r="H6" s="3227"/>
      <c r="I6" s="3233" t="s">
        <v>2541</v>
      </c>
      <c r="J6" s="3227"/>
      <c r="K6" s="609" t="s">
        <v>2542</v>
      </c>
      <c r="L6" s="1132"/>
      <c r="M6" s="1133"/>
      <c r="N6" s="1133"/>
      <c r="O6" s="1133"/>
      <c r="P6" s="3217"/>
      <c r="Q6" s="3218"/>
      <c r="R6" s="3221"/>
      <c r="S6" s="3222"/>
      <c r="T6" s="3223"/>
      <c r="U6" s="3224"/>
      <c r="V6" s="3225"/>
      <c r="W6" s="3225"/>
      <c r="X6" s="1814"/>
      <c r="Y6" s="3223"/>
      <c r="Z6" s="3224"/>
      <c r="AA6" s="3208"/>
      <c r="AB6" s="3208"/>
      <c r="AC6" s="3208"/>
    </row>
    <row r="7" spans="1:29" s="116" customFormat="1" ht="15.75" thickBot="1">
      <c r="A7" s="407" t="s">
        <v>2543</v>
      </c>
      <c r="B7" s="408"/>
      <c r="C7" s="409">
        <f>'数据-取费表'!B2</f>
        <v>43165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30" t="s">
        <v>2544</v>
      </c>
      <c r="Q7" s="3232"/>
      <c r="R7" s="769" t="s">
        <v>17</v>
      </c>
      <c r="S7" s="770">
        <f t="shared" ref="S7:S14" si="0">F7</f>
        <v>0</v>
      </c>
      <c r="T7" s="769" t="s">
        <v>17</v>
      </c>
      <c r="U7" s="770">
        <f t="shared" ref="U7:U14" si="1">H7</f>
        <v>0</v>
      </c>
      <c r="V7" s="769" t="s">
        <v>17</v>
      </c>
      <c r="W7" s="770">
        <f t="shared" ref="W7:W14" si="2">J7</f>
        <v>0</v>
      </c>
      <c r="X7" s="771"/>
      <c r="Y7" s="3230" t="s">
        <v>2544</v>
      </c>
      <c r="Z7" s="3231"/>
      <c r="AA7" s="772" t="e">
        <f>D7/F7</f>
        <v>#DIV/0!</v>
      </c>
      <c r="AB7" s="772" t="e">
        <f>D7/H7</f>
        <v>#DIV/0!</v>
      </c>
      <c r="AC7" s="772"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30" t="s">
        <v>2547</v>
      </c>
      <c r="Q8" s="3231"/>
      <c r="R8" s="769" t="s">
        <v>17</v>
      </c>
      <c r="S8" s="770">
        <f t="shared" si="0"/>
        <v>0</v>
      </c>
      <c r="T8" s="769" t="s">
        <v>17</v>
      </c>
      <c r="U8" s="770">
        <f t="shared" si="1"/>
        <v>0</v>
      </c>
      <c r="V8" s="769" t="s">
        <v>17</v>
      </c>
      <c r="W8" s="770">
        <f t="shared" si="2"/>
        <v>0</v>
      </c>
      <c r="X8" s="771"/>
      <c r="Y8" s="3230" t="s">
        <v>2547</v>
      </c>
      <c r="Z8" s="3231"/>
      <c r="AA8" s="772" t="e">
        <f t="shared" ref="AA8:AA36" si="3">D8/F8</f>
        <v>#DIV/0!</v>
      </c>
      <c r="AB8" s="772" t="e">
        <f t="shared" ref="AB8:AB36" si="4">D8/H8</f>
        <v>#DIV/0!</v>
      </c>
      <c r="AC8" s="772"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4" t="s">
        <v>2550</v>
      </c>
      <c r="Q9" s="1796" t="str">
        <f t="shared" ref="Q9:Q14" si="6">B9</f>
        <v>用途</v>
      </c>
      <c r="R9" s="769" t="s">
        <v>17</v>
      </c>
      <c r="S9" s="770">
        <f t="shared" si="0"/>
        <v>100</v>
      </c>
      <c r="T9" s="769" t="s">
        <v>17</v>
      </c>
      <c r="U9" s="770">
        <f t="shared" si="1"/>
        <v>100</v>
      </c>
      <c r="V9" s="769" t="s">
        <v>17</v>
      </c>
      <c r="W9" s="770">
        <f t="shared" si="2"/>
        <v>100</v>
      </c>
      <c r="X9" s="771"/>
      <c r="Y9" s="3019"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4"/>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4"/>
      <c r="Q11" s="1796">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00" t="s">
        <v>2554</v>
      </c>
      <c r="B14" s="628" t="s">
        <v>2704</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6" t="s">
        <v>2555</v>
      </c>
      <c r="Q14" s="1811" t="str">
        <f t="shared" si="6"/>
        <v>交通便捷度</v>
      </c>
      <c r="R14" s="773" t="s">
        <v>17</v>
      </c>
      <c r="S14" s="774">
        <f t="shared" si="0"/>
        <v>100</v>
      </c>
      <c r="T14" s="773" t="s">
        <v>17</v>
      </c>
      <c r="U14" s="774">
        <f t="shared" si="1"/>
        <v>100</v>
      </c>
      <c r="V14" s="773" t="s">
        <v>17</v>
      </c>
      <c r="W14" s="774">
        <f t="shared" si="2"/>
        <v>100</v>
      </c>
      <c r="X14" s="1814"/>
      <c r="Y14" s="3196" t="s">
        <v>2555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7"/>
      <c r="Q15" s="1811"/>
      <c r="R15" s="773"/>
      <c r="S15" s="774"/>
      <c r="T15" s="773"/>
      <c r="U15" s="774"/>
      <c r="V15" s="773"/>
      <c r="W15" s="774"/>
      <c r="X15" s="1814"/>
      <c r="Y15" s="3197"/>
      <c r="Z15" s="1815"/>
      <c r="AA15" s="1812">
        <v>1</v>
      </c>
      <c r="AB15" s="1812">
        <v>1</v>
      </c>
      <c r="AC15" s="1812">
        <v>1</v>
      </c>
    </row>
    <row r="16" spans="1:29" ht="42.75">
      <c r="A16" s="403"/>
      <c r="B16" s="630" t="s">
        <v>2683</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7"/>
      <c r="Q16" s="1811" t="str">
        <f>B16</f>
        <v>公共配套设施</v>
      </c>
      <c r="R16" s="773" t="s">
        <v>17</v>
      </c>
      <c r="S16" s="774">
        <f>F16</f>
        <v>100</v>
      </c>
      <c r="T16" s="773" t="s">
        <v>17</v>
      </c>
      <c r="U16" s="774">
        <f>H16</f>
        <v>100</v>
      </c>
      <c r="V16" s="773" t="s">
        <v>17</v>
      </c>
      <c r="W16" s="774">
        <f>J16</f>
        <v>100</v>
      </c>
      <c r="X16" s="1814"/>
      <c r="Y16" s="3197"/>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2"/>
      <c r="M17" s="1133"/>
      <c r="N17" s="1133"/>
      <c r="O17" s="1133"/>
      <c r="P17" s="3197"/>
      <c r="Q17" s="1811"/>
      <c r="R17" s="773"/>
      <c r="S17" s="774"/>
      <c r="T17" s="773"/>
      <c r="U17" s="774"/>
      <c r="V17" s="773"/>
      <c r="W17" s="774"/>
      <c r="X17" s="1814"/>
      <c r="Y17" s="3197"/>
      <c r="Z17" s="1815"/>
      <c r="AA17" s="1812">
        <v>1</v>
      </c>
      <c r="AB17" s="1812">
        <v>1</v>
      </c>
      <c r="AC17" s="1812">
        <v>1</v>
      </c>
    </row>
    <row r="18" spans="1:29" ht="28.5">
      <c r="A18" s="403"/>
      <c r="B18" s="632" t="s">
        <v>2684</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7"/>
      <c r="Q18" s="1811" t="str">
        <f>B18</f>
        <v>基础设施水平</v>
      </c>
      <c r="R18" s="773" t="s">
        <v>17</v>
      </c>
      <c r="S18" s="774">
        <f>F18</f>
        <v>100</v>
      </c>
      <c r="T18" s="773" t="s">
        <v>17</v>
      </c>
      <c r="U18" s="774">
        <f>H18</f>
        <v>100</v>
      </c>
      <c r="V18" s="773" t="s">
        <v>17</v>
      </c>
      <c r="W18" s="774">
        <f>J18</f>
        <v>100</v>
      </c>
      <c r="X18" s="1814"/>
      <c r="Y18" s="3197"/>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5"/>
      <c r="L19" s="1142"/>
      <c r="M19" s="1133"/>
      <c r="N19" s="1133"/>
      <c r="O19" s="1133"/>
      <c r="P19" s="3197"/>
      <c r="Q19" s="1811"/>
      <c r="R19" s="773"/>
      <c r="S19" s="774"/>
      <c r="T19" s="773"/>
      <c r="U19" s="774"/>
      <c r="V19" s="773"/>
      <c r="W19" s="774"/>
      <c r="X19" s="1814"/>
      <c r="Y19" s="3197"/>
      <c r="Z19" s="1815"/>
      <c r="AA19" s="1812">
        <v>1</v>
      </c>
      <c r="AB19" s="1812">
        <v>1</v>
      </c>
      <c r="AC19" s="1812">
        <v>1</v>
      </c>
    </row>
    <row r="20" spans="1:29" ht="57">
      <c r="A20" s="403"/>
      <c r="B20" s="630" t="s">
        <v>2705</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7"/>
      <c r="Q20" s="1811" t="str">
        <f>B20</f>
        <v>自然及人文环境</v>
      </c>
      <c r="R20" s="773" t="s">
        <v>17</v>
      </c>
      <c r="S20" s="774">
        <f>F20</f>
        <v>100</v>
      </c>
      <c r="T20" s="773" t="s">
        <v>17</v>
      </c>
      <c r="U20" s="774">
        <f>H20</f>
        <v>100</v>
      </c>
      <c r="V20" s="773" t="s">
        <v>17</v>
      </c>
      <c r="W20" s="774">
        <f>J20</f>
        <v>100</v>
      </c>
      <c r="X20" s="1814"/>
      <c r="Y20" s="319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7"/>
      <c r="Q21" s="1811"/>
      <c r="R21" s="773"/>
      <c r="S21" s="774"/>
      <c r="T21" s="773"/>
      <c r="U21" s="774"/>
      <c r="V21" s="773"/>
      <c r="W21" s="774"/>
      <c r="X21" s="1814"/>
      <c r="Y21" s="3197"/>
      <c r="Z21" s="1815"/>
      <c r="AA21" s="1812">
        <v>1</v>
      </c>
      <c r="AB21" s="1812">
        <v>1</v>
      </c>
      <c r="AC21" s="1812">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7"/>
      <c r="Q22" s="1811" t="str">
        <f>B22</f>
        <v>楼层</v>
      </c>
      <c r="R22" s="773" t="s">
        <v>17</v>
      </c>
      <c r="S22" s="774">
        <f>F22</f>
        <v>100</v>
      </c>
      <c r="T22" s="773" t="s">
        <v>17</v>
      </c>
      <c r="U22" s="774">
        <f>H22</f>
        <v>100</v>
      </c>
      <c r="V22" s="773" t="s">
        <v>17</v>
      </c>
      <c r="W22" s="774">
        <f>J22</f>
        <v>100</v>
      </c>
      <c r="X22" s="1814"/>
      <c r="Y22" s="319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7"/>
      <c r="Q23" s="1811">
        <f>B23</f>
        <v>111</v>
      </c>
      <c r="R23" s="773" t="s">
        <v>17</v>
      </c>
      <c r="S23" s="774">
        <f>F23</f>
        <v>100</v>
      </c>
      <c r="T23" s="773" t="s">
        <v>17</v>
      </c>
      <c r="U23" s="774">
        <f>H23</f>
        <v>100</v>
      </c>
      <c r="V23" s="773" t="s">
        <v>17</v>
      </c>
      <c r="W23" s="774">
        <f>J23</f>
        <v>100</v>
      </c>
      <c r="X23" s="1814"/>
      <c r="Y23" s="319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7"/>
      <c r="Q24" s="1811">
        <f t="shared" ref="Q24:Q36" si="11">B24</f>
        <v>111</v>
      </c>
      <c r="R24" s="773" t="s">
        <v>17</v>
      </c>
      <c r="S24" s="774">
        <f>F24</f>
        <v>100</v>
      </c>
      <c r="T24" s="773" t="s">
        <v>17</v>
      </c>
      <c r="U24" s="774">
        <f>H24</f>
        <v>100</v>
      </c>
      <c r="V24" s="773" t="s">
        <v>17</v>
      </c>
      <c r="W24" s="774">
        <f>J24</f>
        <v>100</v>
      </c>
      <c r="X24" s="1814"/>
      <c r="Y24" s="3197"/>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7"/>
      <c r="Q25" s="1796">
        <f t="shared" si="11"/>
        <v>111</v>
      </c>
      <c r="R25" s="769" t="s">
        <v>17</v>
      </c>
      <c r="S25" s="770">
        <f>F25</f>
        <v>100</v>
      </c>
      <c r="T25" s="769" t="s">
        <v>17</v>
      </c>
      <c r="U25" s="770">
        <f>H25</f>
        <v>100</v>
      </c>
      <c r="V25" s="769" t="s">
        <v>17</v>
      </c>
      <c r="W25" s="770">
        <f>J25</f>
        <v>100</v>
      </c>
      <c r="X25" s="771"/>
      <c r="Y25" s="3197"/>
      <c r="Z25" s="55">
        <f>Q25</f>
        <v>111</v>
      </c>
      <c r="AA25" s="1812">
        <f>D25/F25</f>
        <v>1</v>
      </c>
      <c r="AB25" s="1812">
        <f>D25/H25</f>
        <v>1</v>
      </c>
      <c r="AC25" s="1812">
        <f>D25/J25</f>
        <v>1</v>
      </c>
    </row>
    <row r="26" spans="1:29" ht="15">
      <c r="A26" s="651" t="s">
        <v>2558</v>
      </c>
      <c r="B26" s="70" t="s">
        <v>2707</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8" t="s">
        <v>2560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01" t="s">
        <v>2560</v>
      </c>
      <c r="Z26" s="1815" t="str">
        <f t="shared" ref="Z26:Z36" si="15">Q26</f>
        <v>配套类型</v>
      </c>
      <c r="AA26" s="1812">
        <f t="shared" si="3"/>
        <v>1</v>
      </c>
      <c r="AB26" s="1812">
        <f t="shared" si="4"/>
        <v>1</v>
      </c>
      <c r="AC26" s="1812">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1"/>
      <c r="Q27" s="775" t="str">
        <f t="shared" si="11"/>
        <v>项目停车位配比</v>
      </c>
      <c r="R27" s="776" t="s">
        <v>17</v>
      </c>
      <c r="S27" s="777">
        <f t="shared" si="12"/>
        <v>100</v>
      </c>
      <c r="T27" s="776" t="s">
        <v>17</v>
      </c>
      <c r="U27" s="777">
        <f t="shared" si="13"/>
        <v>100</v>
      </c>
      <c r="V27" s="776" t="s">
        <v>17</v>
      </c>
      <c r="W27" s="777">
        <f t="shared" si="14"/>
        <v>100</v>
      </c>
      <c r="X27" s="778"/>
      <c r="Y27" s="3201"/>
      <c r="Z27" s="779" t="str">
        <f t="shared" si="15"/>
        <v>项目停车位配比</v>
      </c>
      <c r="AA27" s="1812">
        <f t="shared" si="3"/>
        <v>1</v>
      </c>
      <c r="AB27" s="1812">
        <f t="shared" si="4"/>
        <v>1</v>
      </c>
      <c r="AC27" s="1812">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1"/>
      <c r="Q28" s="1811" t="str">
        <f t="shared" si="11"/>
        <v>公共部分装修</v>
      </c>
      <c r="R28" s="773" t="s">
        <v>17</v>
      </c>
      <c r="S28" s="774">
        <f t="shared" si="12"/>
        <v>100</v>
      </c>
      <c r="T28" s="773" t="s">
        <v>17</v>
      </c>
      <c r="U28" s="774">
        <f t="shared" si="13"/>
        <v>100</v>
      </c>
      <c r="V28" s="773" t="s">
        <v>17</v>
      </c>
      <c r="W28" s="774">
        <f t="shared" si="14"/>
        <v>100</v>
      </c>
      <c r="X28" s="1814"/>
      <c r="Y28" s="3201"/>
      <c r="Z28" s="1815" t="str">
        <f t="shared" si="15"/>
        <v>公共部分装修</v>
      </c>
      <c r="AA28" s="1812">
        <f t="shared" si="3"/>
        <v>1</v>
      </c>
      <c r="AB28" s="1812">
        <f t="shared" si="4"/>
        <v>1</v>
      </c>
      <c r="AC28" s="1812">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1"/>
      <c r="Q29" s="1811" t="str">
        <f t="shared" si="11"/>
        <v>成新率</v>
      </c>
      <c r="R29" s="773" t="s">
        <v>17</v>
      </c>
      <c r="S29" s="774" t="e">
        <f t="shared" si="12"/>
        <v>#N/A</v>
      </c>
      <c r="T29" s="773" t="s">
        <v>17</v>
      </c>
      <c r="U29" s="774" t="e">
        <f t="shared" si="13"/>
        <v>#N/A</v>
      </c>
      <c r="V29" s="773" t="s">
        <v>17</v>
      </c>
      <c r="W29" s="774" t="e">
        <f t="shared" si="14"/>
        <v>#N/A</v>
      </c>
      <c r="X29" s="1814"/>
      <c r="Y29" s="3201"/>
      <c r="Z29" s="1815" t="str">
        <f t="shared" si="15"/>
        <v>成新率</v>
      </c>
      <c r="AA29" s="1812" t="e">
        <f t="shared" si="3"/>
        <v>#N/A</v>
      </c>
      <c r="AB29" s="1812" t="e">
        <f t="shared" si="4"/>
        <v>#N/A</v>
      </c>
      <c r="AC29" s="1812"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1"/>
      <c r="Q30" s="1811" t="str">
        <f t="shared" si="11"/>
        <v>物业等级</v>
      </c>
      <c r="R30" s="773" t="s">
        <v>17</v>
      </c>
      <c r="S30" s="774">
        <f t="shared" si="12"/>
        <v>100</v>
      </c>
      <c r="T30" s="773" t="s">
        <v>17</v>
      </c>
      <c r="U30" s="774">
        <f t="shared" si="13"/>
        <v>100</v>
      </c>
      <c r="V30" s="773" t="s">
        <v>17</v>
      </c>
      <c r="W30" s="774">
        <f t="shared" si="14"/>
        <v>100</v>
      </c>
      <c r="X30" s="1814"/>
      <c r="Y30" s="3201"/>
      <c r="Z30" s="1815" t="str">
        <f t="shared" si="15"/>
        <v>物业等级</v>
      </c>
      <c r="AA30" s="1812">
        <f t="shared" si="3"/>
        <v>1</v>
      </c>
      <c r="AB30" s="1812">
        <f t="shared" si="4"/>
        <v>1</v>
      </c>
      <c r="AC30" s="1812">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1"/>
      <c r="Q31" s="1796" t="str">
        <f t="shared" si="11"/>
        <v>停车位面积</v>
      </c>
      <c r="R31" s="769" t="s">
        <v>17</v>
      </c>
      <c r="S31" s="770" t="e">
        <f t="shared" si="12"/>
        <v>#N/A</v>
      </c>
      <c r="T31" s="769" t="s">
        <v>17</v>
      </c>
      <c r="U31" s="770" t="e">
        <f t="shared" si="13"/>
        <v>#N/A</v>
      </c>
      <c r="V31" s="769" t="s">
        <v>17</v>
      </c>
      <c r="W31" s="770" t="e">
        <f t="shared" si="14"/>
        <v>#N/A</v>
      </c>
      <c r="X31" s="771"/>
      <c r="Y31" s="3201"/>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1" t="s">
        <v>2560</v>
      </c>
      <c r="Q32" s="1811" t="str">
        <f t="shared" si="11"/>
        <v>车位类型</v>
      </c>
      <c r="R32" s="773" t="s">
        <v>17</v>
      </c>
      <c r="S32" s="774">
        <f t="shared" si="12"/>
        <v>100</v>
      </c>
      <c r="T32" s="773" t="s">
        <v>17</v>
      </c>
      <c r="U32" s="774">
        <f t="shared" si="13"/>
        <v>100</v>
      </c>
      <c r="V32" s="773" t="s">
        <v>17</v>
      </c>
      <c r="W32" s="774">
        <f t="shared" si="14"/>
        <v>100</v>
      </c>
      <c r="X32" s="1814"/>
      <c r="Y32" s="3201" t="s">
        <v>2560</v>
      </c>
      <c r="Z32" s="1815" t="str">
        <f t="shared" si="15"/>
        <v>车位类型</v>
      </c>
      <c r="AA32" s="1812">
        <f t="shared" si="3"/>
        <v>1</v>
      </c>
      <c r="AB32" s="1812">
        <f t="shared" si="4"/>
        <v>1</v>
      </c>
      <c r="AC32" s="1812">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1"/>
      <c r="Q33" s="1811" t="str">
        <f t="shared" si="11"/>
        <v>是否直接入户</v>
      </c>
      <c r="R33" s="773" t="s">
        <v>17</v>
      </c>
      <c r="S33" s="774">
        <f t="shared" si="12"/>
        <v>100</v>
      </c>
      <c r="T33" s="773" t="s">
        <v>17</v>
      </c>
      <c r="U33" s="774">
        <f t="shared" si="13"/>
        <v>100</v>
      </c>
      <c r="V33" s="773" t="s">
        <v>17</v>
      </c>
      <c r="W33" s="774">
        <f t="shared" si="14"/>
        <v>100</v>
      </c>
      <c r="X33" s="1814"/>
      <c r="Y33" s="3201"/>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1"/>
      <c r="Q34" s="1811">
        <f t="shared" si="11"/>
        <v>111</v>
      </c>
      <c r="R34" s="773" t="s">
        <v>17</v>
      </c>
      <c r="S34" s="774">
        <f t="shared" si="12"/>
        <v>100</v>
      </c>
      <c r="T34" s="773" t="s">
        <v>17</v>
      </c>
      <c r="U34" s="774">
        <f t="shared" si="13"/>
        <v>100</v>
      </c>
      <c r="V34" s="773" t="s">
        <v>17</v>
      </c>
      <c r="W34" s="774">
        <f t="shared" si="14"/>
        <v>100</v>
      </c>
      <c r="X34" s="1814"/>
      <c r="Y34" s="3201"/>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1"/>
      <c r="Q35" s="775">
        <f t="shared" si="11"/>
        <v>111</v>
      </c>
      <c r="R35" s="776" t="s">
        <v>17</v>
      </c>
      <c r="S35" s="777">
        <f t="shared" si="12"/>
        <v>100</v>
      </c>
      <c r="T35" s="776" t="s">
        <v>17</v>
      </c>
      <c r="U35" s="777">
        <f t="shared" si="13"/>
        <v>100</v>
      </c>
      <c r="V35" s="776" t="s">
        <v>17</v>
      </c>
      <c r="W35" s="777">
        <f t="shared" si="14"/>
        <v>100</v>
      </c>
      <c r="X35" s="778"/>
      <c r="Y35" s="3201"/>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1"/>
      <c r="Q36" s="1811">
        <f t="shared" si="11"/>
        <v>111</v>
      </c>
      <c r="R36" s="773" t="s">
        <v>17</v>
      </c>
      <c r="S36" s="774">
        <f t="shared" si="12"/>
        <v>100</v>
      </c>
      <c r="T36" s="773" t="s">
        <v>17</v>
      </c>
      <c r="U36" s="774">
        <f t="shared" si="13"/>
        <v>100</v>
      </c>
      <c r="V36" s="773" t="s">
        <v>17</v>
      </c>
      <c r="W36" s="774">
        <f t="shared" si="14"/>
        <v>100</v>
      </c>
      <c r="X36" s="1814"/>
      <c r="Y36" s="3201"/>
      <c r="Z36" s="1815">
        <f t="shared" si="15"/>
        <v>111</v>
      </c>
      <c r="AA36" s="1812">
        <f t="shared" si="3"/>
        <v>1</v>
      </c>
      <c r="AB36" s="1812">
        <f t="shared" si="4"/>
        <v>1</v>
      </c>
      <c r="AC36" s="1812">
        <f t="shared" si="5"/>
        <v>1</v>
      </c>
    </row>
    <row r="37" spans="1:29" ht="15">
      <c r="A37" s="478" t="s">
        <v>2715</v>
      </c>
      <c r="B37" s="2695" t="s">
        <v>2716</v>
      </c>
      <c r="C37" s="1408" t="s">
        <v>1</v>
      </c>
      <c r="D37" s="1409"/>
      <c r="E37" s="1410"/>
      <c r="F37" s="1411"/>
      <c r="G37" s="1412"/>
      <c r="H37" s="1413"/>
      <c r="I37" s="1410"/>
      <c r="J37" s="1413"/>
      <c r="K37" s="618"/>
      <c r="L37" s="1145"/>
      <c r="M37" s="1146"/>
      <c r="N37" s="1133"/>
      <c r="O37" s="1146"/>
      <c r="P37" s="3194" t="str">
        <f>A37</f>
        <v>成交单价</v>
      </c>
      <c r="Q37" s="3194"/>
      <c r="R37" s="3195">
        <f>E37</f>
        <v>0</v>
      </c>
      <c r="S37" s="3195"/>
      <c r="T37" s="3195">
        <f>G37</f>
        <v>0</v>
      </c>
      <c r="U37" s="3195"/>
      <c r="V37" s="3195">
        <f>I37</f>
        <v>0</v>
      </c>
      <c r="W37" s="3195"/>
      <c r="X37" s="758"/>
      <c r="Y37" s="780"/>
      <c r="Z37" s="758"/>
      <c r="AA37" s="758"/>
      <c r="AB37" s="758"/>
      <c r="AC37" s="758"/>
    </row>
    <row r="38" spans="1:29" ht="15.75" thickBot="1">
      <c r="A38" s="485" t="s">
        <v>2717</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8"/>
      <c r="Y38" s="758"/>
      <c r="Z38" s="758"/>
      <c r="AA38" s="758"/>
      <c r="AB38" s="758"/>
      <c r="AC38" s="758"/>
    </row>
    <row r="39" spans="1:29" ht="15.75" thickBot="1">
      <c r="A39" s="491" t="s">
        <v>2718</v>
      </c>
      <c r="B39" s="492"/>
      <c r="C39" s="1418" t="e">
        <f>R39</f>
        <v>#DIV/0!</v>
      </c>
      <c r="D39" s="1418"/>
      <c r="E39" s="1418"/>
      <c r="F39" s="1418"/>
      <c r="G39" s="1418"/>
      <c r="H39" s="1418"/>
      <c r="I39" s="1418"/>
      <c r="J39" s="1418"/>
      <c r="K39" s="620"/>
      <c r="L39" s="1145"/>
      <c r="M39" s="1146"/>
      <c r="N39" s="1146"/>
      <c r="O39" s="1146"/>
      <c r="P39" s="3191" t="str">
        <f>A39</f>
        <v>估价对象XX用房的比较价值（楼面单价，元/平方米）</v>
      </c>
      <c r="Q39" s="3192"/>
      <c r="R39" s="3193" t="e">
        <f>IF(F1="售价",ROUND(AVERAGE(R38:V38),0),ROUND(AVERAGE(R38:V38),1))</f>
        <v>#DIV/0!</v>
      </c>
      <c r="S39" s="3193"/>
      <c r="T39" s="3193"/>
      <c r="U39" s="3193"/>
      <c r="V39" s="3193"/>
      <c r="W39" s="319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2722</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2723</v>
      </c>
      <c r="B48" s="505"/>
      <c r="C48" s="1575" t="str">
        <f>YEAR(C7)&amp;"-"&amp;MONTH(C7)</f>
        <v>2018-3</v>
      </c>
      <c r="D48" s="1576">
        <f>EDATE(C48,-1)</f>
        <v>43132</v>
      </c>
      <c r="E48" s="1576">
        <f t="shared" ref="E48:O48" si="16">EDATE(D48,-1)</f>
        <v>43101</v>
      </c>
      <c r="F48" s="1576">
        <f t="shared" si="16"/>
        <v>43070</v>
      </c>
      <c r="G48" s="1576">
        <f t="shared" si="16"/>
        <v>43040</v>
      </c>
      <c r="H48" s="1576">
        <f t="shared" si="16"/>
        <v>43009</v>
      </c>
      <c r="I48" s="1576">
        <f t="shared" si="16"/>
        <v>42979</v>
      </c>
      <c r="J48" s="1576">
        <f t="shared" si="16"/>
        <v>42948</v>
      </c>
      <c r="K48" s="1576">
        <f t="shared" si="16"/>
        <v>42917</v>
      </c>
      <c r="L48" s="1576">
        <f t="shared" si="16"/>
        <v>42887</v>
      </c>
      <c r="M48" s="1576">
        <f t="shared" si="16"/>
        <v>42856</v>
      </c>
      <c r="N48" s="1576">
        <f t="shared" si="16"/>
        <v>42826</v>
      </c>
      <c r="O48" s="1576">
        <f t="shared" si="16"/>
        <v>42795</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2545</v>
      </c>
      <c r="B51" s="509"/>
      <c r="C51" s="521" t="s">
        <v>2647</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2583</v>
      </c>
      <c r="B53" s="527" t="s">
        <v>2549</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2598</v>
      </c>
      <c r="C65" s="577" t="s">
        <v>2592</v>
      </c>
      <c r="D65" s="577" t="s">
        <v>2593</v>
      </c>
      <c r="E65" s="577" t="s">
        <v>2594</v>
      </c>
      <c r="F65" s="577" t="s">
        <v>2595</v>
      </c>
      <c r="G65" s="577" t="s">
        <v>2596</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2684</v>
      </c>
      <c r="C67" s="659" t="s">
        <v>2670</v>
      </c>
      <c r="D67" s="659" t="s">
        <v>2671</v>
      </c>
      <c r="E67" s="659" t="s">
        <v>2672</v>
      </c>
      <c r="F67" s="659" t="s">
        <v>2673</v>
      </c>
      <c r="G67" s="659" t="s">
        <v>2674</v>
      </c>
      <c r="H67" s="538"/>
      <c r="I67" s="538"/>
      <c r="J67" s="538"/>
      <c r="K67" s="538"/>
      <c r="L67" s="538"/>
      <c r="M67" s="1384"/>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2604</v>
      </c>
      <c r="C69" s="577" t="s">
        <v>2592</v>
      </c>
      <c r="D69" s="577" t="s">
        <v>2593</v>
      </c>
      <c r="E69" s="577" t="s">
        <v>2594</v>
      </c>
      <c r="F69" s="577" t="s">
        <v>2595</v>
      </c>
      <c r="G69" s="577" t="s">
        <v>2596</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2724</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2558</v>
      </c>
      <c r="B79" s="527" t="s">
        <v>2725</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2726</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2611</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2728</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2730</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2731</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2702</v>
      </c>
      <c r="B1" s="1620"/>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07" t="s">
        <v>2643</v>
      </c>
      <c r="AC4" s="3206" t="s">
        <v>2644</v>
      </c>
    </row>
    <row r="5" spans="1:29" ht="15">
      <c r="A5" s="403"/>
      <c r="B5" s="404"/>
      <c r="C5" s="3240" t="s">
        <v>2537</v>
      </c>
      <c r="D5" s="3229"/>
      <c r="E5" s="3242" t="s">
        <v>2538</v>
      </c>
      <c r="F5" s="3239"/>
      <c r="G5" s="3240" t="s">
        <v>2539</v>
      </c>
      <c r="H5" s="3229"/>
      <c r="I5" s="3240" t="s">
        <v>2540</v>
      </c>
      <c r="J5" s="3229"/>
      <c r="K5" s="609"/>
      <c r="L5" s="1132"/>
      <c r="M5" s="1133"/>
      <c r="N5" s="1133"/>
      <c r="O5" s="1133"/>
      <c r="P5" s="3215"/>
      <c r="Q5" s="3216"/>
      <c r="R5" s="3221"/>
      <c r="S5" s="3222"/>
      <c r="T5" s="3221"/>
      <c r="U5" s="3222"/>
      <c r="V5" s="3225"/>
      <c r="W5" s="3225"/>
      <c r="X5" s="1814"/>
      <c r="Y5" s="3221"/>
      <c r="Z5" s="3222"/>
      <c r="AA5" s="3207"/>
      <c r="AB5" s="3207"/>
      <c r="AC5" s="3207"/>
    </row>
    <row r="6" spans="1:29" ht="15.75" thickBot="1">
      <c r="A6" s="405"/>
      <c r="B6" s="406"/>
      <c r="C6" s="3233" t="s">
        <v>2541</v>
      </c>
      <c r="D6" s="3227"/>
      <c r="E6" s="3241" t="s">
        <v>2541</v>
      </c>
      <c r="F6" s="3235"/>
      <c r="G6" s="3233" t="s">
        <v>2541</v>
      </c>
      <c r="H6" s="3227"/>
      <c r="I6" s="3233" t="s">
        <v>2541</v>
      </c>
      <c r="J6" s="3227"/>
      <c r="K6" s="609" t="s">
        <v>2542</v>
      </c>
      <c r="L6" s="1132"/>
      <c r="M6" s="1133"/>
      <c r="N6" s="1133"/>
      <c r="O6" s="1133"/>
      <c r="P6" s="3217"/>
      <c r="Q6" s="3218"/>
      <c r="R6" s="3221"/>
      <c r="S6" s="3222"/>
      <c r="T6" s="3223"/>
      <c r="U6" s="3224"/>
      <c r="V6" s="3225"/>
      <c r="W6" s="3225"/>
      <c r="X6" s="1814"/>
      <c r="Y6" s="3223"/>
      <c r="Z6" s="3224"/>
      <c r="AA6" s="3208"/>
      <c r="AB6" s="3208"/>
      <c r="AC6" s="3208"/>
    </row>
    <row r="7" spans="1:29" s="116" customFormat="1" ht="15.75" thickBot="1">
      <c r="A7" s="407" t="s">
        <v>2543</v>
      </c>
      <c r="B7" s="408"/>
      <c r="C7" s="409">
        <f>'数据-取费表'!B2</f>
        <v>43165</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30" t="s">
        <v>2544</v>
      </c>
      <c r="Q7" s="3232"/>
      <c r="R7" s="769" t="s">
        <v>17</v>
      </c>
      <c r="S7" s="770">
        <f t="shared" ref="S7:S14" si="0">F7</f>
        <v>0</v>
      </c>
      <c r="T7" s="769" t="s">
        <v>17</v>
      </c>
      <c r="U7" s="770">
        <f t="shared" ref="U7:U14" si="1">H7</f>
        <v>0</v>
      </c>
      <c r="V7" s="769" t="s">
        <v>17</v>
      </c>
      <c r="W7" s="770">
        <f t="shared" ref="W7:W14" si="2">J7</f>
        <v>0</v>
      </c>
      <c r="X7" s="771"/>
      <c r="Y7" s="3230" t="s">
        <v>2544</v>
      </c>
      <c r="Z7" s="3231"/>
      <c r="AA7" s="772" t="e">
        <f>D7/F7</f>
        <v>#DIV/0!</v>
      </c>
      <c r="AB7" s="772" t="e">
        <f>D7/H7</f>
        <v>#DIV/0!</v>
      </c>
      <c r="AC7" s="772"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0" t="s">
        <v>2547</v>
      </c>
      <c r="Q8" s="3231"/>
      <c r="R8" s="769" t="s">
        <v>17</v>
      </c>
      <c r="S8" s="770">
        <f t="shared" si="0"/>
        <v>0</v>
      </c>
      <c r="T8" s="769" t="s">
        <v>17</v>
      </c>
      <c r="U8" s="770">
        <f t="shared" si="1"/>
        <v>0</v>
      </c>
      <c r="V8" s="769" t="s">
        <v>17</v>
      </c>
      <c r="W8" s="770">
        <f t="shared" si="2"/>
        <v>0</v>
      </c>
      <c r="X8" s="771"/>
      <c r="Y8" s="3230" t="s">
        <v>2547</v>
      </c>
      <c r="Z8" s="3231"/>
      <c r="AA8" s="772" t="e">
        <f t="shared" ref="AA8:AA34" si="3">D8/F8</f>
        <v>#DIV/0!</v>
      </c>
      <c r="AB8" s="772" t="e">
        <f t="shared" ref="AB8:AB34" si="4">D8/H8</f>
        <v>#DIV/0!</v>
      </c>
      <c r="AC8" s="772"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4" t="s">
        <v>2550</v>
      </c>
      <c r="Q9" s="1796" t="str">
        <f t="shared" ref="Q9:Q14" si="6">B9</f>
        <v>用途</v>
      </c>
      <c r="R9" s="769" t="s">
        <v>17</v>
      </c>
      <c r="S9" s="770">
        <f t="shared" si="0"/>
        <v>100</v>
      </c>
      <c r="T9" s="769" t="s">
        <v>17</v>
      </c>
      <c r="U9" s="770">
        <f t="shared" si="1"/>
        <v>100</v>
      </c>
      <c r="V9" s="769" t="s">
        <v>17</v>
      </c>
      <c r="W9" s="770">
        <f t="shared" si="2"/>
        <v>100</v>
      </c>
      <c r="X9" s="771"/>
      <c r="Y9" s="3019"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4"/>
      <c r="Q11" s="1796">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39" t="s">
        <v>2554</v>
      </c>
      <c r="B14" s="69" t="s">
        <v>2704</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6" t="s">
        <v>2555</v>
      </c>
      <c r="Q14" s="1811" t="str">
        <f t="shared" si="6"/>
        <v>交通便捷度</v>
      </c>
      <c r="R14" s="773" t="s">
        <v>17</v>
      </c>
      <c r="S14" s="774">
        <f t="shared" si="0"/>
        <v>100</v>
      </c>
      <c r="T14" s="773" t="s">
        <v>17</v>
      </c>
      <c r="U14" s="774">
        <f t="shared" si="1"/>
        <v>100</v>
      </c>
      <c r="V14" s="773" t="s">
        <v>17</v>
      </c>
      <c r="W14" s="774">
        <f t="shared" si="2"/>
        <v>100</v>
      </c>
      <c r="X14" s="1814"/>
      <c r="Y14" s="3196" t="s">
        <v>2555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7"/>
      <c r="Q15" s="1811"/>
      <c r="R15" s="773"/>
      <c r="S15" s="774"/>
      <c r="T15" s="773"/>
      <c r="U15" s="774"/>
      <c r="V15" s="773"/>
      <c r="W15" s="774"/>
      <c r="X15" s="1814"/>
      <c r="Y15" s="3197"/>
      <c r="Z15" s="1815"/>
      <c r="AA15" s="1812">
        <v>1</v>
      </c>
      <c r="AB15" s="1812">
        <v>1</v>
      </c>
      <c r="AC15" s="1812">
        <v>1</v>
      </c>
    </row>
    <row r="16" spans="1:29" ht="42.75">
      <c r="A16" s="427"/>
      <c r="B16" s="450" t="s">
        <v>2683</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7"/>
      <c r="Q16" s="1811" t="str">
        <f>B16</f>
        <v>公共配套设施</v>
      </c>
      <c r="R16" s="773" t="s">
        <v>17</v>
      </c>
      <c r="S16" s="774">
        <f>F16</f>
        <v>100</v>
      </c>
      <c r="T16" s="773" t="s">
        <v>17</v>
      </c>
      <c r="U16" s="774">
        <f>H16</f>
        <v>100</v>
      </c>
      <c r="V16" s="773" t="s">
        <v>17</v>
      </c>
      <c r="W16" s="774">
        <f>J16</f>
        <v>100</v>
      </c>
      <c r="X16" s="1814"/>
      <c r="Y16" s="3197"/>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2"/>
      <c r="M17" s="1133"/>
      <c r="N17" s="1133"/>
      <c r="O17" s="1141"/>
      <c r="P17" s="3197"/>
      <c r="Q17" s="1811"/>
      <c r="R17" s="773"/>
      <c r="S17" s="774"/>
      <c r="T17" s="773"/>
      <c r="U17" s="774"/>
      <c r="V17" s="773"/>
      <c r="W17" s="774"/>
      <c r="X17" s="1814"/>
      <c r="Y17" s="3197"/>
      <c r="Z17" s="1815"/>
      <c r="AA17" s="1812">
        <v>1</v>
      </c>
      <c r="AB17" s="1812">
        <v>1</v>
      </c>
      <c r="AC17" s="1812">
        <v>1</v>
      </c>
    </row>
    <row r="18" spans="1:29" ht="28.5">
      <c r="A18" s="427"/>
      <c r="B18" s="1386" t="s">
        <v>2684</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7"/>
      <c r="Q18" s="1811" t="str">
        <f>B18</f>
        <v>基础设施水平</v>
      </c>
      <c r="R18" s="773" t="s">
        <v>17</v>
      </c>
      <c r="S18" s="774">
        <f>F18</f>
        <v>100</v>
      </c>
      <c r="T18" s="773" t="s">
        <v>17</v>
      </c>
      <c r="U18" s="774">
        <f>H18</f>
        <v>100</v>
      </c>
      <c r="V18" s="773" t="s">
        <v>17</v>
      </c>
      <c r="W18" s="774">
        <f>J18</f>
        <v>100</v>
      </c>
      <c r="X18" s="1814"/>
      <c r="Y18" s="3197"/>
      <c r="Z18" s="1815" t="str">
        <f>Q18</f>
        <v>基础设施水平</v>
      </c>
      <c r="AA18" s="1812">
        <f t="shared" ref="AA18" si="8">D18/F18</f>
        <v>1</v>
      </c>
      <c r="AB18" s="1812">
        <f t="shared" ref="AB18" si="9">D18/H18</f>
        <v>1</v>
      </c>
      <c r="AC18" s="1812">
        <f t="shared" ref="AC18" si="10">D18/J18</f>
        <v>1</v>
      </c>
    </row>
    <row r="19" spans="1:29" ht="15">
      <c r="A19" s="427"/>
      <c r="B19" s="1386"/>
      <c r="C19" s="2609"/>
      <c r="D19" s="449"/>
      <c r="E19" s="2609"/>
      <c r="F19" s="452"/>
      <c r="G19" s="2609"/>
      <c r="H19" s="447"/>
      <c r="I19" s="446"/>
      <c r="J19" s="447"/>
      <c r="K19" s="1385"/>
      <c r="L19" s="1142"/>
      <c r="M19" s="1133"/>
      <c r="N19" s="1133"/>
      <c r="O19" s="1141"/>
      <c r="P19" s="3197"/>
      <c r="Q19" s="1811"/>
      <c r="R19" s="773"/>
      <c r="S19" s="774"/>
      <c r="T19" s="773"/>
      <c r="U19" s="774"/>
      <c r="V19" s="773"/>
      <c r="W19" s="774"/>
      <c r="X19" s="1814"/>
      <c r="Y19" s="3197"/>
      <c r="Z19" s="1815"/>
      <c r="AA19" s="1812">
        <v>1</v>
      </c>
      <c r="AB19" s="1812">
        <v>1</v>
      </c>
      <c r="AC19" s="1812">
        <v>1</v>
      </c>
    </row>
    <row r="20" spans="1:29" ht="57">
      <c r="A20" s="427"/>
      <c r="B20" s="450" t="s">
        <v>2705</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7"/>
      <c r="Q20" s="1811" t="str">
        <f>B20</f>
        <v>自然及人文环境</v>
      </c>
      <c r="R20" s="773" t="s">
        <v>17</v>
      </c>
      <c r="S20" s="774">
        <f>F20</f>
        <v>100</v>
      </c>
      <c r="T20" s="773" t="s">
        <v>17</v>
      </c>
      <c r="U20" s="774">
        <f>H20</f>
        <v>100</v>
      </c>
      <c r="V20" s="773" t="s">
        <v>17</v>
      </c>
      <c r="W20" s="774">
        <f>J20</f>
        <v>100</v>
      </c>
      <c r="X20" s="1814"/>
      <c r="Y20" s="319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7"/>
      <c r="Q21" s="1811"/>
      <c r="R21" s="773"/>
      <c r="S21" s="774"/>
      <c r="T21" s="773"/>
      <c r="U21" s="774"/>
      <c r="V21" s="773"/>
      <c r="W21" s="774"/>
      <c r="X21" s="1814"/>
      <c r="Y21" s="3197"/>
      <c r="Z21" s="1815"/>
      <c r="AA21" s="1812">
        <v>1</v>
      </c>
      <c r="AB21" s="1812">
        <v>1</v>
      </c>
      <c r="AC21" s="1812">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7"/>
      <c r="Q22" s="1811" t="str">
        <f>B22</f>
        <v>楼层</v>
      </c>
      <c r="R22" s="773" t="s">
        <v>17</v>
      </c>
      <c r="S22" s="774">
        <f>F22</f>
        <v>100</v>
      </c>
      <c r="T22" s="773" t="s">
        <v>17</v>
      </c>
      <c r="U22" s="774">
        <f>H22</f>
        <v>100</v>
      </c>
      <c r="V22" s="773" t="s">
        <v>17</v>
      </c>
      <c r="W22" s="774">
        <f>J22</f>
        <v>100</v>
      </c>
      <c r="X22" s="1814"/>
      <c r="Y22" s="3197"/>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7"/>
      <c r="Q23" s="1811">
        <f>B23</f>
        <v>111</v>
      </c>
      <c r="R23" s="773" t="s">
        <v>17</v>
      </c>
      <c r="S23" s="774">
        <f>F23</f>
        <v>100</v>
      </c>
      <c r="T23" s="773" t="s">
        <v>17</v>
      </c>
      <c r="U23" s="774">
        <f>H23</f>
        <v>100</v>
      </c>
      <c r="V23" s="773" t="s">
        <v>17</v>
      </c>
      <c r="W23" s="774">
        <f>J23</f>
        <v>100</v>
      </c>
      <c r="X23" s="1814"/>
      <c r="Y23" s="3197"/>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7"/>
      <c r="Q24" s="1811">
        <f t="shared" ref="Q24:Q34" si="11">B24</f>
        <v>111</v>
      </c>
      <c r="R24" s="773" t="s">
        <v>17</v>
      </c>
      <c r="S24" s="774">
        <f>F24</f>
        <v>100</v>
      </c>
      <c r="T24" s="773" t="s">
        <v>17</v>
      </c>
      <c r="U24" s="774">
        <f>H24</f>
        <v>100</v>
      </c>
      <c r="V24" s="773" t="s">
        <v>17</v>
      </c>
      <c r="W24" s="774">
        <f>J24</f>
        <v>100</v>
      </c>
      <c r="X24" s="1814"/>
      <c r="Y24" s="3197"/>
      <c r="Z24" s="1815">
        <f>Q24</f>
        <v>111</v>
      </c>
      <c r="AA24" s="1812">
        <f t="shared" si="3"/>
        <v>1</v>
      </c>
      <c r="AB24" s="1812">
        <f t="shared" si="4"/>
        <v>1</v>
      </c>
      <c r="AC24" s="1812">
        <f t="shared" si="5"/>
        <v>1</v>
      </c>
    </row>
    <row r="25" spans="1:29" s="116" customFormat="1" ht="15.75" thickBot="1">
      <c r="A25" s="430"/>
      <c r="B25" s="2601">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7"/>
      <c r="Q25" s="1796">
        <f t="shared" si="11"/>
        <v>111</v>
      </c>
      <c r="R25" s="769" t="s">
        <v>17</v>
      </c>
      <c r="S25" s="770">
        <f>F25</f>
        <v>100</v>
      </c>
      <c r="T25" s="769" t="s">
        <v>17</v>
      </c>
      <c r="U25" s="770">
        <f>H25</f>
        <v>100</v>
      </c>
      <c r="V25" s="769" t="s">
        <v>17</v>
      </c>
      <c r="W25" s="770">
        <f>J25</f>
        <v>100</v>
      </c>
      <c r="X25" s="771"/>
      <c r="Y25" s="3197"/>
      <c r="Z25" s="55">
        <f>Q25</f>
        <v>111</v>
      </c>
      <c r="AA25" s="1812">
        <f>D25/F25</f>
        <v>1</v>
      </c>
      <c r="AB25" s="1812">
        <f>D25/H25</f>
        <v>1</v>
      </c>
      <c r="AC25" s="1812">
        <f>D25/J25</f>
        <v>1</v>
      </c>
    </row>
    <row r="26" spans="1:29" ht="15">
      <c r="A26" s="465" t="s">
        <v>2558</v>
      </c>
      <c r="B26" s="71" t="s">
        <v>2709</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58" t="s">
        <v>2560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1" t="s">
        <v>2560</v>
      </c>
      <c r="Z26" s="1815" t="str">
        <f t="shared" ref="Z26:Z34" si="15">Q26</f>
        <v>公共部分装修</v>
      </c>
      <c r="AA26" s="1812">
        <f t="shared" si="3"/>
        <v>1</v>
      </c>
      <c r="AB26" s="1812">
        <f t="shared" si="4"/>
        <v>1</v>
      </c>
      <c r="AC26" s="1812">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1"/>
      <c r="Q27" s="775" t="str">
        <f t="shared" si="11"/>
        <v>成新率</v>
      </c>
      <c r="R27" s="776" t="s">
        <v>17</v>
      </c>
      <c r="S27" s="777" t="e">
        <f t="shared" si="12"/>
        <v>#N/A</v>
      </c>
      <c r="T27" s="776" t="s">
        <v>17</v>
      </c>
      <c r="U27" s="777" t="e">
        <f t="shared" si="13"/>
        <v>#N/A</v>
      </c>
      <c r="V27" s="776" t="s">
        <v>17</v>
      </c>
      <c r="W27" s="777" t="e">
        <f t="shared" si="14"/>
        <v>#N/A</v>
      </c>
      <c r="X27" s="778"/>
      <c r="Y27" s="3201"/>
      <c r="Z27" s="779" t="str">
        <f t="shared" si="15"/>
        <v>成新率</v>
      </c>
      <c r="AA27" s="1812" t="e">
        <f t="shared" si="3"/>
        <v>#N/A</v>
      </c>
      <c r="AB27" s="1812" t="e">
        <f t="shared" si="4"/>
        <v>#N/A</v>
      </c>
      <c r="AC27" s="1812"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1"/>
      <c r="Q28" s="1811" t="str">
        <f t="shared" si="11"/>
        <v>物业等级</v>
      </c>
      <c r="R28" s="773" t="s">
        <v>17</v>
      </c>
      <c r="S28" s="774">
        <f t="shared" si="12"/>
        <v>100</v>
      </c>
      <c r="T28" s="773" t="s">
        <v>17</v>
      </c>
      <c r="U28" s="774">
        <f t="shared" si="13"/>
        <v>100</v>
      </c>
      <c r="V28" s="773" t="s">
        <v>17</v>
      </c>
      <c r="W28" s="774">
        <f t="shared" si="14"/>
        <v>100</v>
      </c>
      <c r="X28" s="1814"/>
      <c r="Y28" s="3201"/>
      <c r="Z28" s="1815" t="str">
        <f t="shared" si="15"/>
        <v>物业等级</v>
      </c>
      <c r="AA28" s="1812">
        <f t="shared" si="3"/>
        <v>1</v>
      </c>
      <c r="AB28" s="1812">
        <f t="shared" si="4"/>
        <v>1</v>
      </c>
      <c r="AC28" s="1812">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1"/>
      <c r="Q29" s="1811" t="str">
        <f t="shared" si="11"/>
        <v>有无电梯</v>
      </c>
      <c r="R29" s="773" t="s">
        <v>17</v>
      </c>
      <c r="S29" s="774">
        <f t="shared" si="12"/>
        <v>100</v>
      </c>
      <c r="T29" s="773" t="s">
        <v>17</v>
      </c>
      <c r="U29" s="774">
        <f t="shared" si="13"/>
        <v>100</v>
      </c>
      <c r="V29" s="773" t="s">
        <v>17</v>
      </c>
      <c r="W29" s="774">
        <f t="shared" si="14"/>
        <v>100</v>
      </c>
      <c r="X29" s="1814"/>
      <c r="Y29" s="3201"/>
      <c r="Z29" s="1815" t="str">
        <f t="shared" si="15"/>
        <v>有无电梯</v>
      </c>
      <c r="AA29" s="1812">
        <f t="shared" si="3"/>
        <v>1</v>
      </c>
      <c r="AB29" s="1812">
        <f t="shared" si="4"/>
        <v>1</v>
      </c>
      <c r="AC29" s="1812">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1"/>
      <c r="Q30" s="1811" t="str">
        <f t="shared" si="11"/>
        <v>建筑面积</v>
      </c>
      <c r="R30" s="773" t="s">
        <v>17</v>
      </c>
      <c r="S30" s="774" t="e">
        <f t="shared" si="12"/>
        <v>#N/A</v>
      </c>
      <c r="T30" s="773" t="s">
        <v>17</v>
      </c>
      <c r="U30" s="774" t="e">
        <f t="shared" si="13"/>
        <v>#N/A</v>
      </c>
      <c r="V30" s="773" t="s">
        <v>17</v>
      </c>
      <c r="W30" s="774" t="e">
        <f t="shared" si="14"/>
        <v>#N/A</v>
      </c>
      <c r="X30" s="1814"/>
      <c r="Y30" s="3201"/>
      <c r="Z30" s="1815" t="str">
        <f t="shared" si="15"/>
        <v>建筑面积</v>
      </c>
      <c r="AA30" s="1812" t="e">
        <f t="shared" si="3"/>
        <v>#N/A</v>
      </c>
      <c r="AB30" s="1812" t="e">
        <f t="shared" si="4"/>
        <v>#N/A</v>
      </c>
      <c r="AC30" s="1812"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1"/>
      <c r="Q31" s="1796" t="str">
        <f t="shared" si="11"/>
        <v>是否封闭</v>
      </c>
      <c r="R31" s="769" t="s">
        <v>17</v>
      </c>
      <c r="S31" s="770">
        <f t="shared" si="12"/>
        <v>100</v>
      </c>
      <c r="T31" s="769" t="s">
        <v>17</v>
      </c>
      <c r="U31" s="770">
        <f t="shared" si="13"/>
        <v>100</v>
      </c>
      <c r="V31" s="769" t="s">
        <v>17</v>
      </c>
      <c r="W31" s="770">
        <f t="shared" si="14"/>
        <v>100</v>
      </c>
      <c r="X31" s="771"/>
      <c r="Y31" s="3201"/>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1" t="s">
        <v>2560</v>
      </c>
      <c r="Q32" s="1811">
        <f t="shared" si="11"/>
        <v>111</v>
      </c>
      <c r="R32" s="773" t="s">
        <v>17</v>
      </c>
      <c r="S32" s="774">
        <f t="shared" si="12"/>
        <v>100</v>
      </c>
      <c r="T32" s="773" t="s">
        <v>17</v>
      </c>
      <c r="U32" s="774">
        <f t="shared" si="13"/>
        <v>100</v>
      </c>
      <c r="V32" s="773" t="s">
        <v>17</v>
      </c>
      <c r="W32" s="774">
        <f t="shared" si="14"/>
        <v>100</v>
      </c>
      <c r="X32" s="1814"/>
      <c r="Y32" s="3201" t="s">
        <v>2560</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1"/>
      <c r="Q33" s="1811">
        <f t="shared" si="11"/>
        <v>111</v>
      </c>
      <c r="R33" s="773" t="s">
        <v>17</v>
      </c>
      <c r="S33" s="774">
        <f t="shared" si="12"/>
        <v>100</v>
      </c>
      <c r="T33" s="773" t="s">
        <v>17</v>
      </c>
      <c r="U33" s="774">
        <f t="shared" si="13"/>
        <v>100</v>
      </c>
      <c r="V33" s="773" t="s">
        <v>17</v>
      </c>
      <c r="W33" s="774">
        <f t="shared" si="14"/>
        <v>100</v>
      </c>
      <c r="X33" s="1814"/>
      <c r="Y33" s="3201"/>
      <c r="Z33" s="1815">
        <f t="shared" si="15"/>
        <v>111</v>
      </c>
      <c r="AA33" s="1812">
        <f t="shared" si="3"/>
        <v>1</v>
      </c>
      <c r="AB33" s="1812">
        <f t="shared" si="4"/>
        <v>1</v>
      </c>
      <c r="AC33" s="1812">
        <f t="shared" si="5"/>
        <v>1</v>
      </c>
    </row>
    <row r="34" spans="1:29" ht="15.75" thickBot="1">
      <c r="A34" s="477"/>
      <c r="B34" s="2603">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01"/>
      <c r="Q34" s="1811">
        <f t="shared" si="11"/>
        <v>111</v>
      </c>
      <c r="R34" s="773" t="s">
        <v>17</v>
      </c>
      <c r="S34" s="774">
        <f t="shared" si="12"/>
        <v>100</v>
      </c>
      <c r="T34" s="773" t="s">
        <v>17</v>
      </c>
      <c r="U34" s="774">
        <f t="shared" si="13"/>
        <v>100</v>
      </c>
      <c r="V34" s="773" t="s">
        <v>17</v>
      </c>
      <c r="W34" s="774">
        <f t="shared" si="14"/>
        <v>100</v>
      </c>
      <c r="X34" s="1814"/>
      <c r="Y34" s="3201"/>
      <c r="Z34" s="1815">
        <f t="shared" si="15"/>
        <v>111</v>
      </c>
      <c r="AA34" s="1812">
        <f t="shared" si="3"/>
        <v>1</v>
      </c>
      <c r="AB34" s="1812">
        <f t="shared" si="4"/>
        <v>1</v>
      </c>
      <c r="AC34" s="1812">
        <f t="shared" si="5"/>
        <v>1</v>
      </c>
    </row>
    <row r="35" spans="1:29" ht="15">
      <c r="A35" s="478" t="s">
        <v>2572</v>
      </c>
      <c r="B35" s="479"/>
      <c r="C35" s="1408" t="s">
        <v>1</v>
      </c>
      <c r="D35" s="1409"/>
      <c r="E35" s="1410"/>
      <c r="F35" s="1411"/>
      <c r="G35" s="1412"/>
      <c r="H35" s="1413"/>
      <c r="I35" s="1410"/>
      <c r="J35" s="1413"/>
      <c r="K35" s="782"/>
      <c r="L35" s="1145"/>
      <c r="M35" s="1146"/>
      <c r="N35" s="1133"/>
      <c r="O35" s="1146"/>
      <c r="P35" s="3194" t="str">
        <f>A35</f>
        <v>成交单价（元/平方米）</v>
      </c>
      <c r="Q35" s="3194"/>
      <c r="R35" s="3195">
        <f>E35</f>
        <v>0</v>
      </c>
      <c r="S35" s="3195"/>
      <c r="T35" s="3195">
        <f>G35</f>
        <v>0</v>
      </c>
      <c r="U35" s="3195"/>
      <c r="V35" s="3195">
        <f>I35</f>
        <v>0</v>
      </c>
      <c r="W35" s="3195"/>
      <c r="X35" s="758"/>
      <c r="Y35" s="780"/>
      <c r="Z35" s="758"/>
      <c r="AA35" s="758"/>
      <c r="AB35" s="758"/>
      <c r="AC35" s="758"/>
    </row>
    <row r="36" spans="1:29" ht="15.75" thickBot="1">
      <c r="A36" s="485" t="s">
        <v>2664</v>
      </c>
      <c r="B36" s="486"/>
      <c r="C36" s="1414" t="e">
        <f>R37</f>
        <v>#DIV/0!</v>
      </c>
      <c r="D36" s="1415"/>
      <c r="E36" s="1416" t="e">
        <f>R36</f>
        <v>#DIV/0!</v>
      </c>
      <c r="F36" s="1416"/>
      <c r="G36" s="1414" t="e">
        <f>T36</f>
        <v>#DIV/0!</v>
      </c>
      <c r="H36" s="1415"/>
      <c r="I36" s="1416" t="e">
        <f>V36</f>
        <v>#DIV/0!</v>
      </c>
      <c r="J36" s="1415"/>
      <c r="K36" s="783"/>
      <c r="L36" s="1145"/>
      <c r="M36" s="1146"/>
      <c r="N36" s="1133"/>
      <c r="O36" s="1146"/>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8"/>
      <c r="Y36" s="758"/>
      <c r="Z36" s="758"/>
      <c r="AA36" s="758"/>
      <c r="AB36" s="758"/>
      <c r="AC36" s="758"/>
    </row>
    <row r="37" spans="1:29" ht="15.75" thickBot="1">
      <c r="A37" s="491" t="s">
        <v>2665</v>
      </c>
      <c r="B37" s="492"/>
      <c r="C37" s="1418" t="e">
        <f>R37</f>
        <v>#DIV/0!</v>
      </c>
      <c r="D37" s="1418"/>
      <c r="E37" s="1418"/>
      <c r="F37" s="1418"/>
      <c r="G37" s="1418"/>
      <c r="H37" s="1418"/>
      <c r="I37" s="1418"/>
      <c r="J37" s="1418"/>
      <c r="K37" s="784"/>
      <c r="L37" s="1145"/>
      <c r="M37" s="1146"/>
      <c r="N37" s="1146"/>
      <c r="O37" s="1146"/>
      <c r="P37" s="3191" t="str">
        <f>A37</f>
        <v>估价对象XX用房的比较价值（楼面单价，元/平方米）</v>
      </c>
      <c r="Q37" s="3192"/>
      <c r="R37" s="3193" t="e">
        <f>IF(F1="售价",ROUND(AVERAGE(R36:V36),0),ROUND(AVERAGE(R36:V36),1))</f>
        <v>#DIV/0!</v>
      </c>
      <c r="S37" s="3193"/>
      <c r="T37" s="3193"/>
      <c r="U37" s="3193"/>
      <c r="V37" s="3193"/>
      <c r="W37" s="319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5" t="str">
        <f>YEAR(C7)&amp;"-"&amp;MONTH(C7)</f>
        <v>2018-3</v>
      </c>
      <c r="D46" s="1576">
        <f>EDATE(C46,-1)</f>
        <v>43132</v>
      </c>
      <c r="E46" s="1576">
        <f t="shared" ref="E46:O46" si="16">EDATE(D46,-1)</f>
        <v>43101</v>
      </c>
      <c r="F46" s="1576">
        <f t="shared" si="16"/>
        <v>43070</v>
      </c>
      <c r="G46" s="1576">
        <f t="shared" si="16"/>
        <v>43040</v>
      </c>
      <c r="H46" s="1576">
        <f t="shared" si="16"/>
        <v>43009</v>
      </c>
      <c r="I46" s="1576">
        <f t="shared" si="16"/>
        <v>42979</v>
      </c>
      <c r="J46" s="1576">
        <f t="shared" si="16"/>
        <v>42948</v>
      </c>
      <c r="K46" s="1576">
        <f t="shared" si="16"/>
        <v>42917</v>
      </c>
      <c r="L46" s="1576">
        <f t="shared" si="16"/>
        <v>42887</v>
      </c>
      <c r="M46" s="1576">
        <f t="shared" si="16"/>
        <v>42856</v>
      </c>
      <c r="N46" s="1576">
        <f t="shared" si="16"/>
        <v>42826</v>
      </c>
      <c r="O46" s="1576">
        <f t="shared" si="16"/>
        <v>42795</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2583</v>
      </c>
      <c r="B51" s="527" t="s">
        <v>2549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2558</v>
      </c>
      <c r="B77" s="527" t="s">
        <v>2611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5" sqref="L1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10059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7977</v>
      </c>
      <c r="C3" s="246" t="s">
        <v>2741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07" t="s">
        <v>2643</v>
      </c>
      <c r="AC4" s="3206" t="s">
        <v>2644</v>
      </c>
    </row>
    <row r="5" spans="1:30" ht="15" customHeight="1">
      <c r="A5" s="403"/>
      <c r="B5" s="404"/>
      <c r="C5" s="3240" t="s">
        <v>2537</v>
      </c>
      <c r="D5" s="3229"/>
      <c r="E5" s="3242" t="str">
        <f>土地案例!A4</f>
        <v>北京市昌平区北七家镇CP07-0203-0007等地块R2二类居住用地、A33基础教育用地</v>
      </c>
      <c r="F5" s="3239"/>
      <c r="G5" s="3240" t="str">
        <f>土地案例!A6</f>
        <v>北京市昌平区北七家镇东三旗村011地块R2二类居住用地</v>
      </c>
      <c r="H5" s="3229"/>
      <c r="I5" s="3263" t="s">
        <v>3261</v>
      </c>
      <c r="J5" s="3264"/>
      <c r="K5" s="609"/>
      <c r="L5" s="1132"/>
      <c r="M5" s="1133"/>
      <c r="N5" s="1133"/>
      <c r="O5" s="1133"/>
      <c r="P5" s="3215"/>
      <c r="Q5" s="3216"/>
      <c r="R5" s="3221"/>
      <c r="S5" s="3222"/>
      <c r="T5" s="3221"/>
      <c r="U5" s="3222"/>
      <c r="V5" s="3225"/>
      <c r="W5" s="3225"/>
      <c r="X5" s="1814"/>
      <c r="Y5" s="3221"/>
      <c r="Z5" s="3222"/>
      <c r="AA5" s="3207"/>
      <c r="AB5" s="3207"/>
      <c r="AC5" s="3207"/>
    </row>
    <row r="6" spans="1:30" ht="15.75" thickBot="1">
      <c r="A6" s="405"/>
      <c r="B6" s="406"/>
      <c r="C6" s="3233" t="s">
        <v>2541</v>
      </c>
      <c r="D6" s="3227"/>
      <c r="E6" s="3241" t="s">
        <v>2541</v>
      </c>
      <c r="F6" s="3235"/>
      <c r="G6" s="3233" t="s">
        <v>2541</v>
      </c>
      <c r="H6" s="3227"/>
      <c r="I6" s="3233" t="s">
        <v>2541</v>
      </c>
      <c r="J6" s="3227"/>
      <c r="K6" s="609" t="s">
        <v>2542</v>
      </c>
      <c r="L6" s="1132"/>
      <c r="M6" s="1133"/>
      <c r="N6" s="1133"/>
      <c r="O6" s="1133"/>
      <c r="P6" s="3217"/>
      <c r="Q6" s="3218"/>
      <c r="R6" s="3221"/>
      <c r="S6" s="3222"/>
      <c r="T6" s="3223"/>
      <c r="U6" s="3224"/>
      <c r="V6" s="3225"/>
      <c r="W6" s="3225"/>
      <c r="X6" s="1814"/>
      <c r="Y6" s="3223"/>
      <c r="Z6" s="3224"/>
      <c r="AA6" s="3208"/>
      <c r="AB6" s="3208"/>
      <c r="AC6" s="3208"/>
    </row>
    <row r="7" spans="1:30" s="116" customFormat="1" ht="15.75" thickBot="1">
      <c r="A7" s="407" t="s">
        <v>2543</v>
      </c>
      <c r="B7" s="408"/>
      <c r="C7" s="409">
        <f>'数据-取费表'!B2</f>
        <v>43165</v>
      </c>
      <c r="D7" s="410">
        <v>100</v>
      </c>
      <c r="E7" s="411" t="str">
        <f>土地案例!H4</f>
        <v>2017-12-21</v>
      </c>
      <c r="F7" s="412">
        <f>SUMIF(70:70,YEAR(E7)&amp;"-"&amp;INT((MONTH(E7)+2)/3),71:71)</f>
        <v>99</v>
      </c>
      <c r="G7" s="2696" t="str">
        <f>土地案例!H6</f>
        <v>2017-10-25</v>
      </c>
      <c r="H7" s="410">
        <f>SUMIF(70:70,YEAR(G7)&amp;"-"&amp;INT((MONTH(G7)+2)/3),71:71)</f>
        <v>99</v>
      </c>
      <c r="I7" s="2696">
        <v>42423</v>
      </c>
      <c r="J7" s="410">
        <f>SUMIF(70:70,YEAR(I7)&amp;"-"&amp;INT((MONTH(I7)+2)/3),71:71)</f>
        <v>92</v>
      </c>
      <c r="K7" s="610"/>
      <c r="L7" s="1134"/>
      <c r="M7" s="1135"/>
      <c r="N7" s="1135"/>
      <c r="O7" s="1135"/>
      <c r="P7" s="3230" t="s">
        <v>2544</v>
      </c>
      <c r="Q7" s="3232"/>
      <c r="R7" s="769" t="s">
        <v>17</v>
      </c>
      <c r="S7" s="770">
        <f t="shared" ref="S7:S15" si="0">F7</f>
        <v>99</v>
      </c>
      <c r="T7" s="769" t="s">
        <v>17</v>
      </c>
      <c r="U7" s="770">
        <f t="shared" ref="U7:U15" si="1">H7</f>
        <v>99</v>
      </c>
      <c r="V7" s="769" t="s">
        <v>17</v>
      </c>
      <c r="W7" s="770">
        <f t="shared" ref="W7:W15" si="2">J7</f>
        <v>92</v>
      </c>
      <c r="X7" s="771"/>
      <c r="Y7" s="3230" t="s">
        <v>2544</v>
      </c>
      <c r="Z7" s="3231"/>
      <c r="AA7" s="772">
        <f>D7/F7</f>
        <v>1.0101010101010102</v>
      </c>
      <c r="AB7" s="772">
        <f>D7/H7</f>
        <v>1.0101010101010102</v>
      </c>
      <c r="AC7" s="772">
        <f>D7/J7</f>
        <v>1.0869565217391304</v>
      </c>
    </row>
    <row r="8" spans="1:30" s="116" customFormat="1" ht="15.7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34"/>
      <c r="M8" s="1135"/>
      <c r="N8" s="1135"/>
      <c r="O8" s="1135"/>
      <c r="P8" s="3230" t="s">
        <v>2547</v>
      </c>
      <c r="Q8" s="3231"/>
      <c r="R8" s="769" t="s">
        <v>17</v>
      </c>
      <c r="S8" s="770">
        <f t="shared" si="0"/>
        <v>100</v>
      </c>
      <c r="T8" s="769" t="s">
        <v>17</v>
      </c>
      <c r="U8" s="770">
        <f t="shared" si="1"/>
        <v>100</v>
      </c>
      <c r="V8" s="769" t="s">
        <v>17</v>
      </c>
      <c r="W8" s="770">
        <f t="shared" si="2"/>
        <v>100</v>
      </c>
      <c r="X8" s="771"/>
      <c r="Y8" s="3230" t="s">
        <v>2547</v>
      </c>
      <c r="Z8" s="3231"/>
      <c r="AA8" s="772">
        <f t="shared" ref="AA8:AA45" si="3">D8/F8</f>
        <v>1</v>
      </c>
      <c r="AB8" s="772">
        <f t="shared" ref="AB8:AB45" si="4">D8/H8</f>
        <v>1</v>
      </c>
      <c r="AC8" s="772">
        <f t="shared" ref="AC8:AC45" si="5">D8/J8</f>
        <v>1</v>
      </c>
    </row>
    <row r="9" spans="1:30" s="116" customFormat="1">
      <c r="A9" s="414" t="s">
        <v>2548</v>
      </c>
      <c r="B9" s="71" t="s">
        <v>2549</v>
      </c>
      <c r="C9" s="2699" t="s">
        <v>3314</v>
      </c>
      <c r="D9" s="134">
        <v>100</v>
      </c>
      <c r="E9" s="2699" t="s">
        <v>3222</v>
      </c>
      <c r="F9" s="134">
        <f>SUMIF(75:75,E9,76:76)-SUMIF(75:75,C9,76:76)+100</f>
        <v>110</v>
      </c>
      <c r="G9" s="2699" t="s">
        <v>3222</v>
      </c>
      <c r="H9" s="134">
        <f>SUMIF(75:75,G9,76:76)-SUMIF(75:75,C9,76:76)+100</f>
        <v>110</v>
      </c>
      <c r="I9" s="2699" t="s">
        <v>3222</v>
      </c>
      <c r="J9" s="134">
        <f>SUMIF(75:75,I9,76:76)-SUMIF(75:75,C9,76:76)+100</f>
        <v>110</v>
      </c>
      <c r="K9" s="610"/>
      <c r="L9" s="1134"/>
      <c r="M9" s="1135"/>
      <c r="N9" s="1135"/>
      <c r="O9" s="1136"/>
      <c r="P9" s="3194" t="s">
        <v>2550</v>
      </c>
      <c r="Q9" s="1796" t="str">
        <f t="shared" ref="Q9:Q15" si="6">B9</f>
        <v>用途</v>
      </c>
      <c r="R9" s="769" t="s">
        <v>17</v>
      </c>
      <c r="S9" s="770">
        <f t="shared" si="0"/>
        <v>110</v>
      </c>
      <c r="T9" s="769" t="s">
        <v>17</v>
      </c>
      <c r="U9" s="770">
        <f t="shared" si="1"/>
        <v>110</v>
      </c>
      <c r="V9" s="769" t="s">
        <v>17</v>
      </c>
      <c r="W9" s="770">
        <f t="shared" si="2"/>
        <v>110</v>
      </c>
      <c r="X9" s="771"/>
      <c r="Y9" s="3019" t="s">
        <v>2551</v>
      </c>
      <c r="Z9" s="55" t="str">
        <f t="shared" ref="Z9:Z15" si="7">Q9</f>
        <v>用途</v>
      </c>
      <c r="AA9" s="772">
        <f t="shared" si="3"/>
        <v>0.90909090909090906</v>
      </c>
      <c r="AB9" s="772">
        <f t="shared" si="4"/>
        <v>0.90909090909090906</v>
      </c>
      <c r="AC9" s="772">
        <f t="shared" si="5"/>
        <v>0.90909090909090906</v>
      </c>
    </row>
    <row r="10" spans="1:30" s="426" customFormat="1" ht="27">
      <c r="A10" s="420"/>
      <c r="B10" s="421" t="s">
        <v>2552</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194"/>
      <c r="Q10" s="1796" t="str">
        <f t="shared" si="6"/>
        <v>土地使用年限（年）</v>
      </c>
      <c r="R10" s="769" t="s">
        <v>17</v>
      </c>
      <c r="S10" s="770">
        <f t="shared" si="0"/>
        <v>101</v>
      </c>
      <c r="T10" s="769" t="s">
        <v>17</v>
      </c>
      <c r="U10" s="770">
        <f t="shared" si="1"/>
        <v>101</v>
      </c>
      <c r="V10" s="769" t="s">
        <v>17</v>
      </c>
      <c r="W10" s="770">
        <f t="shared" si="2"/>
        <v>101</v>
      </c>
      <c r="X10" s="771"/>
      <c r="Y10" s="3019"/>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2964">
        <v>2.5</v>
      </c>
      <c r="D11" s="135">
        <v>100</v>
      </c>
      <c r="E11" s="428">
        <f>土地案例!G4</f>
        <v>2.4</v>
      </c>
      <c r="F11" s="135">
        <f>LOOKUP(E11,80:80,81:81)-LOOKUP(C11,80:80,81:81)+100</f>
        <v>100</v>
      </c>
      <c r="G11" s="429">
        <f>土地案例!G6</f>
        <v>2.2000000000000002</v>
      </c>
      <c r="H11" s="135">
        <f>LOOKUP(G11,80:80,81:81)-LOOKUP(C11,80:80,81:81)+100</f>
        <v>100</v>
      </c>
      <c r="I11" s="428">
        <v>1.05</v>
      </c>
      <c r="J11" s="135">
        <f>LOOKUP(I11,80:80,81:81)-LOOKUP(C11,80:80,81:81)+100</f>
        <v>102</v>
      </c>
      <c r="K11" s="672">
        <v>2</v>
      </c>
      <c r="L11" s="1140"/>
      <c r="M11" s="1133"/>
      <c r="N11" s="1133"/>
      <c r="O11" s="1141"/>
      <c r="P11" s="3194"/>
      <c r="Q11" s="1796" t="str">
        <f t="shared" si="6"/>
        <v>容积率</v>
      </c>
      <c r="R11" s="769" t="s">
        <v>17</v>
      </c>
      <c r="S11" s="770">
        <f t="shared" si="0"/>
        <v>100</v>
      </c>
      <c r="T11" s="769" t="s">
        <v>17</v>
      </c>
      <c r="U11" s="770">
        <f t="shared" si="1"/>
        <v>100</v>
      </c>
      <c r="V11" s="769" t="s">
        <v>17</v>
      </c>
      <c r="W11" s="770">
        <f t="shared" si="2"/>
        <v>102</v>
      </c>
      <c r="X11" s="771"/>
      <c r="Y11" s="3019"/>
      <c r="Z11" s="55" t="str">
        <f t="shared" si="7"/>
        <v>容积率</v>
      </c>
      <c r="AA11" s="772">
        <f t="shared" si="3"/>
        <v>1</v>
      </c>
      <c r="AB11" s="772">
        <f t="shared" si="4"/>
        <v>1</v>
      </c>
      <c r="AC11" s="772">
        <f t="shared" si="5"/>
        <v>0.98039215686274506</v>
      </c>
    </row>
    <row r="12" spans="1:30" s="116" customFormat="1" ht="15.75" thickTop="1">
      <c r="A12" s="430"/>
      <c r="B12" s="2601" t="s">
        <v>2742</v>
      </c>
      <c r="C12" s="2953" t="s">
        <v>3230</v>
      </c>
      <c r="D12" s="432">
        <v>100</v>
      </c>
      <c r="E12" s="2954" t="s">
        <v>3231</v>
      </c>
      <c r="F12" s="135">
        <f>SUMIF(82:82,E12,83:83)-SUMIF(82:82,C12,83:83)+100</f>
        <v>120</v>
      </c>
      <c r="G12" s="2954" t="s">
        <v>3231</v>
      </c>
      <c r="H12" s="135">
        <f>SUMIF(82:82,G12,83:83)-SUMIF(82:82,C12,83:83)+100</f>
        <v>120</v>
      </c>
      <c r="I12" s="2955" t="s">
        <v>3232</v>
      </c>
      <c r="J12" s="135">
        <f>SUMIF(82:82,I12,83:83)-SUMIF(82:82,C12,83:83)+100</f>
        <v>110</v>
      </c>
      <c r="K12" s="671"/>
      <c r="L12" s="1134"/>
      <c r="M12" s="1135"/>
      <c r="N12" s="1135"/>
      <c r="O12" s="1136"/>
      <c r="P12" s="3194"/>
      <c r="Q12" s="1796" t="str">
        <f t="shared" si="6"/>
        <v>配建</v>
      </c>
      <c r="R12" s="769" t="s">
        <v>17</v>
      </c>
      <c r="S12" s="770">
        <f t="shared" si="0"/>
        <v>120</v>
      </c>
      <c r="T12" s="769" t="s">
        <v>17</v>
      </c>
      <c r="U12" s="770">
        <f t="shared" si="1"/>
        <v>120</v>
      </c>
      <c r="V12" s="769" t="s">
        <v>17</v>
      </c>
      <c r="W12" s="770">
        <f t="shared" si="2"/>
        <v>110</v>
      </c>
      <c r="X12" s="771"/>
      <c r="Y12" s="3019"/>
      <c r="Z12" s="55" t="str">
        <f t="shared" si="7"/>
        <v>配建</v>
      </c>
      <c r="AA12" s="772">
        <f>D12/F12</f>
        <v>0.83333333333333337</v>
      </c>
      <c r="AB12" s="772">
        <f>D12/H12</f>
        <v>0.83333333333333337</v>
      </c>
      <c r="AC12" s="772">
        <f>D12/J12</f>
        <v>0.90909090909090906</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19"/>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19"/>
      <c r="Z14" s="55">
        <f t="shared" si="7"/>
        <v>111</v>
      </c>
      <c r="AA14" s="772">
        <f>D14/F14</f>
        <v>1</v>
      </c>
      <c r="AB14" s="772">
        <f>D14/H14</f>
        <v>1</v>
      </c>
      <c r="AC14" s="772">
        <f>D14/J14</f>
        <v>1</v>
      </c>
    </row>
    <row r="15" spans="1:30" ht="99.75">
      <c r="A15" s="439" t="s">
        <v>2554</v>
      </c>
      <c r="B15" s="69" t="s">
        <v>2084</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6" t="s">
        <v>2555</v>
      </c>
      <c r="Q15" s="1811" t="str">
        <f t="shared" si="6"/>
        <v>居住社区成熟度</v>
      </c>
      <c r="R15" s="773" t="s">
        <v>17</v>
      </c>
      <c r="S15" s="774">
        <f t="shared" si="0"/>
        <v>100</v>
      </c>
      <c r="T15" s="773" t="s">
        <v>17</v>
      </c>
      <c r="U15" s="774">
        <f t="shared" si="1"/>
        <v>100</v>
      </c>
      <c r="V15" s="773" t="s">
        <v>17</v>
      </c>
      <c r="W15" s="774">
        <f t="shared" si="2"/>
        <v>100</v>
      </c>
      <c r="X15" s="1814"/>
      <c r="Y15" s="3196" t="s">
        <v>2555</v>
      </c>
      <c r="Z15" s="1815" t="str">
        <f t="shared" si="7"/>
        <v>居住社区成熟度</v>
      </c>
      <c r="AA15" s="1812">
        <f t="shared" si="3"/>
        <v>1</v>
      </c>
      <c r="AB15" s="1812">
        <f t="shared" si="4"/>
        <v>1</v>
      </c>
      <c r="AC15" s="1812">
        <f t="shared" si="5"/>
        <v>1</v>
      </c>
    </row>
    <row r="16" spans="1:30" ht="15">
      <c r="A16" s="427"/>
      <c r="B16" s="445"/>
      <c r="C16" s="446" t="s">
        <v>3049</v>
      </c>
      <c r="D16" s="447"/>
      <c r="E16" s="2606" t="s">
        <v>3049</v>
      </c>
      <c r="F16" s="447"/>
      <c r="G16" s="2606" t="s">
        <v>3049</v>
      </c>
      <c r="H16" s="449"/>
      <c r="I16" s="2605" t="s">
        <v>3049</v>
      </c>
      <c r="J16" s="447"/>
      <c r="K16" s="671"/>
      <c r="L16" s="1142"/>
      <c r="M16" s="1133"/>
      <c r="N16" s="1133"/>
      <c r="O16" s="1141"/>
      <c r="P16" s="3197"/>
      <c r="Q16" s="1811"/>
      <c r="R16" s="773"/>
      <c r="S16" s="774"/>
      <c r="T16" s="773"/>
      <c r="U16" s="774"/>
      <c r="V16" s="773"/>
      <c r="W16" s="774"/>
      <c r="X16" s="1814"/>
      <c r="Y16" s="3197"/>
      <c r="Z16" s="1815"/>
      <c r="AA16" s="1812">
        <v>1</v>
      </c>
      <c r="AB16" s="1812">
        <v>1</v>
      </c>
      <c r="AC16" s="1812">
        <v>1</v>
      </c>
    </row>
    <row r="17" spans="1:29" ht="71.25">
      <c r="A17" s="427"/>
      <c r="B17" s="450" t="s">
        <v>2648</v>
      </c>
      <c r="C17" s="2664"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42"/>
      <c r="M17" s="1133"/>
      <c r="N17" s="1133"/>
      <c r="O17" s="1141"/>
      <c r="P17" s="3197"/>
      <c r="Q17" s="1811" t="str">
        <f>B17</f>
        <v>商业繁华度</v>
      </c>
      <c r="R17" s="773" t="s">
        <v>17</v>
      </c>
      <c r="S17" s="774">
        <f>F17</f>
        <v>102</v>
      </c>
      <c r="T17" s="773" t="s">
        <v>17</v>
      </c>
      <c r="U17" s="774">
        <f>H17</f>
        <v>102</v>
      </c>
      <c r="V17" s="773" t="s">
        <v>17</v>
      </c>
      <c r="W17" s="774">
        <f>J17</f>
        <v>102</v>
      </c>
      <c r="X17" s="1814"/>
      <c r="Y17" s="3197"/>
      <c r="Z17" s="1815" t="str">
        <f>Q17</f>
        <v>商业繁华度</v>
      </c>
      <c r="AA17" s="1812">
        <f t="shared" si="3"/>
        <v>0.98039215686274506</v>
      </c>
      <c r="AB17" s="1812">
        <f t="shared" si="4"/>
        <v>0.98039215686274506</v>
      </c>
      <c r="AC17" s="1812">
        <f t="shared" si="5"/>
        <v>0.98039215686274506</v>
      </c>
    </row>
    <row r="18" spans="1:29" ht="15">
      <c r="A18" s="427"/>
      <c r="B18" s="455"/>
      <c r="C18" s="2609" t="s">
        <v>3224</v>
      </c>
      <c r="D18" s="449"/>
      <c r="E18" s="2611" t="s">
        <v>3225</v>
      </c>
      <c r="F18" s="449"/>
      <c r="G18" s="2611" t="s">
        <v>3225</v>
      </c>
      <c r="H18" s="447"/>
      <c r="I18" s="2611" t="s">
        <v>3225</v>
      </c>
      <c r="J18" s="447"/>
      <c r="K18" s="671"/>
      <c r="L18" s="1142"/>
      <c r="M18" s="1133"/>
      <c r="N18" s="1133"/>
      <c r="O18" s="1141"/>
      <c r="P18" s="3197"/>
      <c r="Q18" s="1811"/>
      <c r="R18" s="773"/>
      <c r="S18" s="774"/>
      <c r="T18" s="773"/>
      <c r="U18" s="774"/>
      <c r="V18" s="773"/>
      <c r="W18" s="774"/>
      <c r="X18" s="1814"/>
      <c r="Y18" s="3197"/>
      <c r="Z18" s="1815"/>
      <c r="AA18" s="1812">
        <v>1</v>
      </c>
      <c r="AB18" s="1812">
        <v>1</v>
      </c>
      <c r="AC18" s="1812">
        <v>1</v>
      </c>
    </row>
    <row r="19" spans="1:29" ht="71.25">
      <c r="A19" s="427"/>
      <c r="B19" s="450" t="s">
        <v>2682</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197"/>
      <c r="Q19" s="1811" t="str">
        <f>B19</f>
        <v>办公集聚程度</v>
      </c>
      <c r="R19" s="773" t="s">
        <v>17</v>
      </c>
      <c r="S19" s="774">
        <f>F19</f>
        <v>100</v>
      </c>
      <c r="T19" s="773" t="s">
        <v>17</v>
      </c>
      <c r="U19" s="774">
        <f>H19</f>
        <v>100</v>
      </c>
      <c r="V19" s="773" t="s">
        <v>17</v>
      </c>
      <c r="W19" s="774">
        <f>J19</f>
        <v>100</v>
      </c>
      <c r="X19" s="1814"/>
      <c r="Y19" s="3197"/>
      <c r="Z19" s="1815" t="str">
        <f>Q19</f>
        <v>办公集聚程度</v>
      </c>
      <c r="AA19" s="1812">
        <f t="shared" si="3"/>
        <v>1</v>
      </c>
      <c r="AB19" s="1812">
        <f t="shared" si="4"/>
        <v>1</v>
      </c>
      <c r="AC19" s="1812">
        <f t="shared" si="5"/>
        <v>1</v>
      </c>
    </row>
    <row r="20" spans="1:29" ht="15">
      <c r="A20" s="427"/>
      <c r="B20" s="455"/>
      <c r="C20" s="446" t="s">
        <v>3225</v>
      </c>
      <c r="D20" s="447"/>
      <c r="E20" s="2606" t="s">
        <v>3225</v>
      </c>
      <c r="F20" s="447"/>
      <c r="G20" s="2606" t="s">
        <v>3225</v>
      </c>
      <c r="H20" s="447"/>
      <c r="I20" s="2605" t="s">
        <v>3225</v>
      </c>
      <c r="J20" s="447"/>
      <c r="K20" s="671"/>
      <c r="L20" s="1142"/>
      <c r="M20" s="1133"/>
      <c r="N20" s="1133"/>
      <c r="O20" s="1141"/>
      <c r="P20" s="3197"/>
      <c r="Q20" s="1811"/>
      <c r="R20" s="773"/>
      <c r="S20" s="774"/>
      <c r="T20" s="773"/>
      <c r="U20" s="774"/>
      <c r="V20" s="773"/>
      <c r="W20" s="774"/>
      <c r="X20" s="1814"/>
      <c r="Y20" s="3197"/>
      <c r="Z20" s="1815"/>
      <c r="AA20" s="1812">
        <v>1</v>
      </c>
      <c r="AB20" s="1812">
        <v>1</v>
      </c>
      <c r="AC20" s="1812">
        <v>1</v>
      </c>
    </row>
    <row r="21" spans="1:29" ht="85.5">
      <c r="A21" s="427"/>
      <c r="B21" s="450" t="s">
        <v>2704</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7"/>
      <c r="Q21" s="1811" t="str">
        <f>B21</f>
        <v>交通便捷度</v>
      </c>
      <c r="R21" s="773" t="s">
        <v>17</v>
      </c>
      <c r="S21" s="774">
        <f>F21</f>
        <v>100</v>
      </c>
      <c r="T21" s="773" t="s">
        <v>17</v>
      </c>
      <c r="U21" s="774">
        <f>H21</f>
        <v>100</v>
      </c>
      <c r="V21" s="773" t="s">
        <v>17</v>
      </c>
      <c r="W21" s="774">
        <f>J21</f>
        <v>100</v>
      </c>
      <c r="X21" s="1814"/>
      <c r="Y21" s="3197"/>
      <c r="Z21" s="1815" t="str">
        <f>Q21</f>
        <v>交通便捷度</v>
      </c>
      <c r="AA21" s="1812">
        <f t="shared" si="3"/>
        <v>1</v>
      </c>
      <c r="AB21" s="1812">
        <f t="shared" si="4"/>
        <v>1</v>
      </c>
      <c r="AC21" s="1812">
        <f t="shared" si="5"/>
        <v>1</v>
      </c>
    </row>
    <row r="22" spans="1:29" ht="15">
      <c r="A22" s="427"/>
      <c r="B22" s="1386"/>
      <c r="C22" s="446" t="s">
        <v>3049</v>
      </c>
      <c r="D22" s="449"/>
      <c r="E22" s="2606" t="s">
        <v>3049</v>
      </c>
      <c r="F22" s="447"/>
      <c r="G22" s="2606" t="s">
        <v>3049</v>
      </c>
      <c r="H22" s="447"/>
      <c r="I22" s="2605" t="s">
        <v>3049</v>
      </c>
      <c r="J22" s="447"/>
      <c r="K22" s="671"/>
      <c r="L22" s="1142"/>
      <c r="M22" s="1133"/>
      <c r="N22" s="1133"/>
      <c r="O22" s="1141"/>
      <c r="P22" s="3197"/>
      <c r="Q22" s="1811"/>
      <c r="R22" s="773"/>
      <c r="S22" s="774"/>
      <c r="T22" s="773"/>
      <c r="U22" s="774"/>
      <c r="V22" s="773"/>
      <c r="W22" s="774"/>
      <c r="X22" s="1814"/>
      <c r="Y22" s="3197"/>
      <c r="Z22" s="1815"/>
      <c r="AA22" s="1812">
        <v>1</v>
      </c>
      <c r="AB22" s="1812">
        <v>1</v>
      </c>
      <c r="AC22" s="1812">
        <v>1</v>
      </c>
    </row>
    <row r="23" spans="1:29" ht="15">
      <c r="A23" s="403"/>
      <c r="B23" s="450" t="s">
        <v>2743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7"/>
      <c r="Q23" s="1811" t="str">
        <f t="shared" ref="Q23:Q37" si="8">B23</f>
        <v>区域土地利用方向</v>
      </c>
      <c r="R23" s="773" t="s">
        <v>17</v>
      </c>
      <c r="S23" s="774">
        <f>F23</f>
        <v>100</v>
      </c>
      <c r="T23" s="773" t="s">
        <v>17</v>
      </c>
      <c r="U23" s="774">
        <f>H23</f>
        <v>100</v>
      </c>
      <c r="V23" s="773" t="s">
        <v>17</v>
      </c>
      <c r="W23" s="774">
        <f>J23</f>
        <v>100</v>
      </c>
      <c r="X23" s="1814"/>
      <c r="Y23" s="3197"/>
      <c r="Z23" s="1815" t="str">
        <f>Q23</f>
        <v>区域土地利用方向</v>
      </c>
      <c r="AA23" s="1812">
        <f t="shared" si="3"/>
        <v>1</v>
      </c>
      <c r="AB23" s="1812">
        <f t="shared" si="4"/>
        <v>1</v>
      </c>
      <c r="AC23" s="1812">
        <f t="shared" si="5"/>
        <v>1</v>
      </c>
    </row>
    <row r="24" spans="1:29" ht="15">
      <c r="A24" s="403"/>
      <c r="B24" s="455"/>
      <c r="C24" s="615" t="s">
        <v>3049</v>
      </c>
      <c r="D24" s="447"/>
      <c r="E24" s="2606" t="s">
        <v>3049</v>
      </c>
      <c r="F24" s="447"/>
      <c r="G24" s="2605" t="s">
        <v>3049</v>
      </c>
      <c r="H24" s="447"/>
      <c r="I24" s="2605" t="s">
        <v>3049</v>
      </c>
      <c r="J24" s="447"/>
      <c r="K24" s="811"/>
      <c r="L24" s="1142"/>
      <c r="M24" s="1133"/>
      <c r="N24" s="1133"/>
      <c r="O24" s="1141"/>
      <c r="P24" s="3197"/>
      <c r="Q24" s="1811"/>
      <c r="R24" s="773"/>
      <c r="S24" s="774"/>
      <c r="T24" s="773"/>
      <c r="U24" s="774"/>
      <c r="V24" s="773"/>
      <c r="W24" s="774"/>
      <c r="X24" s="1814"/>
      <c r="Y24" s="3197"/>
      <c r="Z24" s="1815"/>
      <c r="AA24" s="1812"/>
      <c r="AB24" s="1812"/>
      <c r="AC24" s="1812"/>
    </row>
    <row r="25" spans="1:29" ht="57">
      <c r="A25" s="403"/>
      <c r="B25" s="1386" t="s">
        <v>2744</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197"/>
      <c r="Q25" s="1811" t="str">
        <f t="shared" si="8"/>
        <v>自然及人文环境状况</v>
      </c>
      <c r="R25" s="773" t="s">
        <v>17</v>
      </c>
      <c r="S25" s="774">
        <f>F25</f>
        <v>100</v>
      </c>
      <c r="T25" s="773" t="s">
        <v>17</v>
      </c>
      <c r="U25" s="774">
        <f>H25</f>
        <v>100</v>
      </c>
      <c r="V25" s="773" t="s">
        <v>17</v>
      </c>
      <c r="W25" s="774">
        <f>J25</f>
        <v>100</v>
      </c>
      <c r="X25" s="1814"/>
      <c r="Y25" s="3197"/>
      <c r="Z25" s="1815" t="str">
        <f>Q25</f>
        <v>自然及人文环境状况</v>
      </c>
      <c r="AA25" s="1812">
        <f t="shared" si="3"/>
        <v>1</v>
      </c>
      <c r="AB25" s="1812">
        <f t="shared" si="4"/>
        <v>1</v>
      </c>
      <c r="AC25" s="1812">
        <f t="shared" si="5"/>
        <v>1</v>
      </c>
    </row>
    <row r="26" spans="1:29" ht="15">
      <c r="A26" s="403"/>
      <c r="B26" s="455"/>
      <c r="C26" s="446" t="s">
        <v>3225</v>
      </c>
      <c r="D26" s="447"/>
      <c r="E26" s="2612" t="s">
        <v>3225</v>
      </c>
      <c r="F26" s="447"/>
      <c r="G26" s="2612" t="s">
        <v>3225</v>
      </c>
      <c r="H26" s="447"/>
      <c r="I26" s="2612" t="s">
        <v>3225</v>
      </c>
      <c r="J26" s="447"/>
      <c r="K26" s="671"/>
      <c r="L26" s="1142"/>
      <c r="M26" s="1133"/>
      <c r="N26" s="1133"/>
      <c r="O26" s="1141"/>
      <c r="P26" s="3197"/>
      <c r="Q26" s="1811"/>
      <c r="R26" s="773"/>
      <c r="S26" s="774"/>
      <c r="T26" s="773"/>
      <c r="U26" s="774"/>
      <c r="V26" s="773"/>
      <c r="W26" s="774"/>
      <c r="X26" s="1814"/>
      <c r="Y26" s="3197"/>
      <c r="Z26" s="1815"/>
      <c r="AA26" s="1812">
        <v>1</v>
      </c>
      <c r="AB26" s="1812">
        <v>1</v>
      </c>
      <c r="AC26" s="1812">
        <v>1</v>
      </c>
    </row>
    <row r="27" spans="1:29" s="116" customFormat="1" ht="42.75">
      <c r="A27" s="648"/>
      <c r="B27" s="1386" t="s">
        <v>2649</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7"/>
      <c r="Q27" s="1796" t="str">
        <f t="shared" si="8"/>
        <v>公共配套设施</v>
      </c>
      <c r="R27" s="769" t="s">
        <v>17</v>
      </c>
      <c r="S27" s="770">
        <f>F27</f>
        <v>100</v>
      </c>
      <c r="T27" s="769" t="s">
        <v>17</v>
      </c>
      <c r="U27" s="770">
        <f>H27</f>
        <v>100</v>
      </c>
      <c r="V27" s="769" t="s">
        <v>17</v>
      </c>
      <c r="W27" s="770">
        <f>J27</f>
        <v>100</v>
      </c>
      <c r="X27" s="771"/>
      <c r="Y27" s="3197"/>
      <c r="Z27" s="55" t="str">
        <f>Q27</f>
        <v>公共配套设施</v>
      </c>
      <c r="AA27" s="1812">
        <f>D27/F27</f>
        <v>1</v>
      </c>
      <c r="AB27" s="1812">
        <f>D27/H27</f>
        <v>1</v>
      </c>
      <c r="AC27" s="1812">
        <f>D27/J27</f>
        <v>1</v>
      </c>
    </row>
    <row r="28" spans="1:29" s="116" customFormat="1" ht="15">
      <c r="A28" s="648"/>
      <c r="B28" s="455"/>
      <c r="C28" s="2700" t="s">
        <v>3049</v>
      </c>
      <c r="D28" s="447"/>
      <c r="E28" s="2700" t="s">
        <v>3049</v>
      </c>
      <c r="F28" s="447"/>
      <c r="G28" s="2700" t="s">
        <v>3049</v>
      </c>
      <c r="H28" s="447"/>
      <c r="I28" s="2700" t="s">
        <v>3049</v>
      </c>
      <c r="J28" s="447"/>
      <c r="K28" s="671"/>
      <c r="L28" s="1134"/>
      <c r="M28" s="1135"/>
      <c r="N28" s="1135"/>
      <c r="O28" s="1136"/>
      <c r="P28" s="3197"/>
      <c r="Q28" s="1796"/>
      <c r="R28" s="769"/>
      <c r="S28" s="770"/>
      <c r="T28" s="769"/>
      <c r="U28" s="770"/>
      <c r="V28" s="769"/>
      <c r="W28" s="770"/>
      <c r="X28" s="771"/>
      <c r="Y28" s="3197"/>
      <c r="Z28" s="55"/>
      <c r="AA28" s="1812">
        <v>1</v>
      </c>
      <c r="AB28" s="1812">
        <v>1</v>
      </c>
      <c r="AC28" s="1812">
        <v>1</v>
      </c>
    </row>
    <row r="29" spans="1:29" s="116" customFormat="1" ht="28.5">
      <c r="A29" s="648"/>
      <c r="B29" s="1386" t="s">
        <v>2650</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197"/>
      <c r="Q29" s="1796" t="str">
        <f t="shared" ref="Q29" si="9">B29</f>
        <v>基础设施水平</v>
      </c>
      <c r="R29" s="769" t="s">
        <v>17</v>
      </c>
      <c r="S29" s="770">
        <f>F29</f>
        <v>100</v>
      </c>
      <c r="T29" s="769" t="s">
        <v>17</v>
      </c>
      <c r="U29" s="770">
        <f>H29</f>
        <v>100</v>
      </c>
      <c r="V29" s="769" t="s">
        <v>17</v>
      </c>
      <c r="W29" s="770">
        <f>J29</f>
        <v>100</v>
      </c>
      <c r="X29" s="771"/>
      <c r="Y29" s="3197"/>
      <c r="Z29" s="55" t="str">
        <f>Q29</f>
        <v>基础设施水平</v>
      </c>
      <c r="AA29" s="1812">
        <f>D29/F29</f>
        <v>1</v>
      </c>
      <c r="AB29" s="1812">
        <f>D29/H29</f>
        <v>1</v>
      </c>
      <c r="AC29" s="1812">
        <f>D29/J29</f>
        <v>1</v>
      </c>
    </row>
    <row r="30" spans="1:29" s="116" customFormat="1" ht="15">
      <c r="A30" s="648"/>
      <c r="B30" s="455"/>
      <c r="C30" s="2700" t="s">
        <v>3226</v>
      </c>
      <c r="D30" s="447"/>
      <c r="E30" s="2701" t="s">
        <v>3226</v>
      </c>
      <c r="F30" s="447"/>
      <c r="G30" s="2701" t="s">
        <v>3226</v>
      </c>
      <c r="H30" s="447"/>
      <c r="I30" s="2701" t="s">
        <v>3226</v>
      </c>
      <c r="J30" s="447"/>
      <c r="K30" s="671"/>
      <c r="L30" s="1134"/>
      <c r="M30" s="1135"/>
      <c r="N30" s="1135"/>
      <c r="O30" s="1136"/>
      <c r="P30" s="3197"/>
      <c r="Q30" s="1796"/>
      <c r="R30" s="769"/>
      <c r="S30" s="770"/>
      <c r="T30" s="769"/>
      <c r="U30" s="770"/>
      <c r="V30" s="769"/>
      <c r="W30" s="770"/>
      <c r="X30" s="771"/>
      <c r="Y30" s="3197"/>
      <c r="Z30" s="55"/>
      <c r="AA30" s="1812">
        <v>1</v>
      </c>
      <c r="AB30" s="1812">
        <v>1</v>
      </c>
      <c r="AC30" s="1812">
        <v>1</v>
      </c>
    </row>
    <row r="31" spans="1:29" ht="15">
      <c r="A31" s="427"/>
      <c r="B31" s="455" t="s">
        <v>2651</v>
      </c>
      <c r="C31" s="615" t="s">
        <v>3227</v>
      </c>
      <c r="D31" s="434">
        <v>100</v>
      </c>
      <c r="E31" s="615" t="s">
        <v>3227</v>
      </c>
      <c r="F31" s="434">
        <f>SUMIF(104:104,E31,105:105)-SUMIF(104:104,C31,105:105)+100</f>
        <v>100</v>
      </c>
      <c r="G31" s="615" t="s">
        <v>3227</v>
      </c>
      <c r="H31" s="434">
        <f>SUMIF(104:104,G31,105:105)-SUMIF(104:104,C31,105:105)+100</f>
        <v>100</v>
      </c>
      <c r="I31" s="615" t="s">
        <v>3227</v>
      </c>
      <c r="J31" s="434">
        <f>SUMIF(104:104,I31,105:105)-SUMIF(104:104,C31,105:105)+100</f>
        <v>100</v>
      </c>
      <c r="K31" s="672">
        <v>2</v>
      </c>
      <c r="L31" s="1142"/>
      <c r="M31" s="1133"/>
      <c r="N31" s="1133"/>
      <c r="O31" s="1141"/>
      <c r="P31" s="3197"/>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7"/>
      <c r="Z31" s="1815" t="str">
        <f t="shared" ref="Z31:Z45" si="13">Q31</f>
        <v>临街状况</v>
      </c>
      <c r="AA31" s="1812">
        <f t="shared" si="3"/>
        <v>1</v>
      </c>
      <c r="AB31" s="1812">
        <f t="shared" si="4"/>
        <v>1</v>
      </c>
      <c r="AC31" s="1812">
        <f t="shared" si="5"/>
        <v>1</v>
      </c>
    </row>
    <row r="32" spans="1:29" ht="27">
      <c r="A32" s="427"/>
      <c r="B32" s="1386"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42"/>
      <c r="M32" s="1133"/>
      <c r="N32" s="1133"/>
      <c r="O32" s="1141"/>
      <c r="P32" s="3197"/>
      <c r="Q32" s="1811" t="str">
        <f t="shared" si="8"/>
        <v>毗邻道路的类型与等级</v>
      </c>
      <c r="R32" s="773" t="s">
        <v>17</v>
      </c>
      <c r="S32" s="774">
        <f t="shared" si="10"/>
        <v>100</v>
      </c>
      <c r="T32" s="773" t="s">
        <v>17</v>
      </c>
      <c r="U32" s="774">
        <f t="shared" si="11"/>
        <v>100</v>
      </c>
      <c r="V32" s="773" t="s">
        <v>17</v>
      </c>
      <c r="W32" s="774">
        <f t="shared" si="12"/>
        <v>100</v>
      </c>
      <c r="X32" s="1814"/>
      <c r="Y32" s="3197"/>
      <c r="Z32" s="1815" t="str">
        <f t="shared" si="13"/>
        <v>毗邻道路的类型与等级</v>
      </c>
      <c r="AA32" s="1812">
        <f t="shared" si="3"/>
        <v>1</v>
      </c>
      <c r="AB32" s="1812">
        <f t="shared" si="4"/>
        <v>1</v>
      </c>
      <c r="AC32" s="1812">
        <f t="shared" si="5"/>
        <v>1</v>
      </c>
    </row>
    <row r="33" spans="1:29" ht="15">
      <c r="A33" s="427"/>
      <c r="B33" s="455"/>
      <c r="C33" s="446" t="s">
        <v>3237</v>
      </c>
      <c r="D33" s="447"/>
      <c r="E33" s="2612" t="s">
        <v>3237</v>
      </c>
      <c r="F33" s="447"/>
      <c r="G33" s="2612" t="s">
        <v>3237</v>
      </c>
      <c r="H33" s="447"/>
      <c r="I33" s="446" t="s">
        <v>3237</v>
      </c>
      <c r="J33" s="447"/>
      <c r="K33" s="612"/>
      <c r="L33" s="1142"/>
      <c r="M33" s="1133"/>
      <c r="N33" s="1133"/>
      <c r="O33" s="1141"/>
      <c r="P33" s="3197"/>
      <c r="Q33" s="1811"/>
      <c r="R33" s="773"/>
      <c r="S33" s="774"/>
      <c r="T33" s="773"/>
      <c r="U33" s="774"/>
      <c r="V33" s="773"/>
      <c r="W33" s="774"/>
      <c r="X33" s="1814"/>
      <c r="Y33" s="3197"/>
      <c r="Z33" s="1815"/>
      <c r="AA33" s="1812">
        <v>1</v>
      </c>
      <c r="AB33" s="1812">
        <v>1</v>
      </c>
      <c r="AC33" s="1812">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42"/>
      <c r="M34" s="1133"/>
      <c r="N34" s="1133"/>
      <c r="O34" s="1141"/>
      <c r="P34" s="3197"/>
      <c r="Q34" s="1811" t="str">
        <f t="shared" si="8"/>
        <v>土地级别</v>
      </c>
      <c r="R34" s="773" t="s">
        <v>17</v>
      </c>
      <c r="S34" s="774">
        <f t="shared" si="10"/>
        <v>100</v>
      </c>
      <c r="T34" s="773" t="s">
        <v>17</v>
      </c>
      <c r="U34" s="774">
        <f t="shared" si="11"/>
        <v>100</v>
      </c>
      <c r="V34" s="773" t="s">
        <v>17</v>
      </c>
      <c r="W34" s="774">
        <f t="shared" si="12"/>
        <v>100</v>
      </c>
      <c r="X34" s="1814"/>
      <c r="Y34" s="3197"/>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7"/>
      <c r="Q35" s="1811">
        <f t="shared" si="8"/>
        <v>111</v>
      </c>
      <c r="R35" s="773" t="s">
        <v>17</v>
      </c>
      <c r="S35" s="774">
        <f t="shared" si="10"/>
        <v>100</v>
      </c>
      <c r="T35" s="773" t="s">
        <v>17</v>
      </c>
      <c r="U35" s="774">
        <f t="shared" si="11"/>
        <v>100</v>
      </c>
      <c r="V35" s="773" t="s">
        <v>17</v>
      </c>
      <c r="W35" s="774">
        <f t="shared" si="12"/>
        <v>100</v>
      </c>
      <c r="X35" s="1814"/>
      <c r="Y35" s="3197"/>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8" t="s">
        <v>2560</v>
      </c>
      <c r="Q36" s="1811">
        <f t="shared" si="8"/>
        <v>111</v>
      </c>
      <c r="R36" s="773" t="s">
        <v>17</v>
      </c>
      <c r="S36" s="774">
        <f t="shared" si="10"/>
        <v>100</v>
      </c>
      <c r="T36" s="773" t="s">
        <v>17</v>
      </c>
      <c r="U36" s="774">
        <f t="shared" si="11"/>
        <v>100</v>
      </c>
      <c r="V36" s="773" t="s">
        <v>17</v>
      </c>
      <c r="W36" s="774">
        <f t="shared" si="12"/>
        <v>100</v>
      </c>
      <c r="X36" s="1814"/>
      <c r="Y36" s="3201" t="s">
        <v>2560</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1"/>
      <c r="Q37" s="1811">
        <f t="shared" si="8"/>
        <v>111</v>
      </c>
      <c r="R37" s="776" t="s">
        <v>17</v>
      </c>
      <c r="S37" s="777">
        <f t="shared" si="10"/>
        <v>100</v>
      </c>
      <c r="T37" s="776" t="s">
        <v>17</v>
      </c>
      <c r="U37" s="777">
        <f t="shared" si="11"/>
        <v>100</v>
      </c>
      <c r="V37" s="776" t="s">
        <v>17</v>
      </c>
      <c r="W37" s="777">
        <f t="shared" si="12"/>
        <v>100</v>
      </c>
      <c r="X37" s="778"/>
      <c r="Y37" s="3201"/>
      <c r="Z37" s="779">
        <f t="shared" si="13"/>
        <v>111</v>
      </c>
      <c r="AA37" s="1812">
        <f t="shared" si="3"/>
        <v>1</v>
      </c>
      <c r="AB37" s="1812">
        <f t="shared" si="4"/>
        <v>1</v>
      </c>
      <c r="AC37" s="1812">
        <f t="shared" si="5"/>
        <v>1</v>
      </c>
    </row>
    <row r="38" spans="1:29" ht="15">
      <c r="A38" s="471" t="s">
        <v>2558</v>
      </c>
      <c r="B38" s="455" t="s">
        <v>2746</v>
      </c>
      <c r="C38" s="678">
        <v>83893</v>
      </c>
      <c r="D38" s="466">
        <v>100</v>
      </c>
      <c r="E38" s="678">
        <f>土地案例!E4</f>
        <v>71022.78</v>
      </c>
      <c r="F38" s="466">
        <f>LOOKUP(E38,117:117,118:118)-LOOKUP(C38,117:117,118:118)+100</f>
        <v>100</v>
      </c>
      <c r="G38" s="678">
        <f>土地案例!E6</f>
        <v>30890.99</v>
      </c>
      <c r="H38" s="466">
        <f>LOOKUP(G38,117:117,118:118)-LOOKUP(C38,117:117,118:118)+100</f>
        <v>98</v>
      </c>
      <c r="I38" s="529">
        <v>45195.85</v>
      </c>
      <c r="J38" s="466">
        <f>LOOKUP(I38,117:117,118:118)-LOOKUP(C38,117:117,118:118)+100</f>
        <v>98</v>
      </c>
      <c r="K38" s="612"/>
      <c r="L38" s="1142"/>
      <c r="M38" s="1133"/>
      <c r="N38" s="1133"/>
      <c r="O38" s="1141"/>
      <c r="P38" s="3201"/>
      <c r="Q38" s="1811" t="str">
        <f>B38</f>
        <v>宗地面积</v>
      </c>
      <c r="R38" s="773" t="s">
        <v>17</v>
      </c>
      <c r="S38" s="774">
        <f t="shared" si="10"/>
        <v>100</v>
      </c>
      <c r="T38" s="773" t="s">
        <v>17</v>
      </c>
      <c r="U38" s="774">
        <f t="shared" si="11"/>
        <v>98</v>
      </c>
      <c r="V38" s="773" t="s">
        <v>17</v>
      </c>
      <c r="W38" s="774">
        <f t="shared" si="12"/>
        <v>98</v>
      </c>
      <c r="X38" s="1814"/>
      <c r="Y38" s="3201"/>
      <c r="Z38" s="1815" t="str">
        <f t="shared" si="13"/>
        <v>宗地面积</v>
      </c>
      <c r="AA38" s="1812">
        <f t="shared" si="3"/>
        <v>1</v>
      </c>
      <c r="AB38" s="1812">
        <f t="shared" si="4"/>
        <v>1.0204081632653061</v>
      </c>
      <c r="AC38" s="1812">
        <f t="shared" si="5"/>
        <v>1.0204081632653061</v>
      </c>
    </row>
    <row r="39" spans="1:29" ht="15">
      <c r="A39" s="471"/>
      <c r="B39" s="421" t="s">
        <v>2747</v>
      </c>
      <c r="C39" s="2614" t="s">
        <v>3256</v>
      </c>
      <c r="D39" s="434">
        <v>100</v>
      </c>
      <c r="E39" s="2614" t="s">
        <v>3256</v>
      </c>
      <c r="F39" s="434">
        <f>SUMIF(119:119,E39,120:120)-SUMIF(119:119,C39,120:120)+100</f>
        <v>100</v>
      </c>
      <c r="G39" s="2614" t="s">
        <v>3256</v>
      </c>
      <c r="H39" s="434">
        <f>SUMIF(119:119,G39,120:120)-SUMIF(119:119,C39,120:120)+100</f>
        <v>100</v>
      </c>
      <c r="I39" s="2614" t="s">
        <v>3256</v>
      </c>
      <c r="J39" s="434">
        <f>SUMIF(119:119,I39,120:120)-SUMIF(119:119,C39,120:120)+100</f>
        <v>100</v>
      </c>
      <c r="K39" s="611">
        <v>2</v>
      </c>
      <c r="L39" s="1142"/>
      <c r="M39" s="1133"/>
      <c r="N39" s="1133"/>
      <c r="O39" s="1141"/>
      <c r="P39" s="3201"/>
      <c r="Q39" s="1811" t="str">
        <f t="shared" ref="Q39:Q45" si="14">B39</f>
        <v>宗地形状</v>
      </c>
      <c r="R39" s="773" t="s">
        <v>17</v>
      </c>
      <c r="S39" s="774">
        <f t="shared" si="10"/>
        <v>100</v>
      </c>
      <c r="T39" s="773" t="s">
        <v>17</v>
      </c>
      <c r="U39" s="774">
        <f t="shared" si="11"/>
        <v>100</v>
      </c>
      <c r="V39" s="773" t="s">
        <v>17</v>
      </c>
      <c r="W39" s="774">
        <f t="shared" si="12"/>
        <v>100</v>
      </c>
      <c r="X39" s="1814"/>
      <c r="Y39" s="3201"/>
      <c r="Z39" s="1815" t="str">
        <f t="shared" si="13"/>
        <v>宗地形状</v>
      </c>
      <c r="AA39" s="1812">
        <f t="shared" si="3"/>
        <v>1</v>
      </c>
      <c r="AB39" s="1812">
        <f t="shared" si="4"/>
        <v>1</v>
      </c>
      <c r="AC39" s="1812">
        <f t="shared" si="5"/>
        <v>1</v>
      </c>
    </row>
    <row r="40" spans="1:29" ht="15">
      <c r="A40" s="471"/>
      <c r="B40" s="421" t="s">
        <v>2748</v>
      </c>
      <c r="C40" s="2614" t="s">
        <v>3257</v>
      </c>
      <c r="D40" s="434">
        <v>100</v>
      </c>
      <c r="E40" s="2614" t="s">
        <v>3257</v>
      </c>
      <c r="F40" s="434">
        <f>SUMIF(121:121,E40,122:122)-SUMIF(121:121,C40,122:122)+100</f>
        <v>100</v>
      </c>
      <c r="G40" s="2614" t="s">
        <v>3257</v>
      </c>
      <c r="H40" s="434">
        <f>SUMIF(121:121,G40,122:122)-SUMIF(121:121,C40,122:122)+100</f>
        <v>100</v>
      </c>
      <c r="I40" s="2614" t="s">
        <v>3257</v>
      </c>
      <c r="J40" s="434">
        <f>SUMIF(121:121,I40,122:122)-SUMIF(121:121,C40,122:122)+100</f>
        <v>100</v>
      </c>
      <c r="K40" s="611">
        <v>2</v>
      </c>
      <c r="L40" s="1142"/>
      <c r="M40" s="1133"/>
      <c r="N40" s="1133"/>
      <c r="O40" s="1141"/>
      <c r="P40" s="3201"/>
      <c r="Q40" s="1811" t="str">
        <f t="shared" si="14"/>
        <v>临街宽度及深度</v>
      </c>
      <c r="R40" s="773" t="s">
        <v>17</v>
      </c>
      <c r="S40" s="774">
        <f t="shared" si="10"/>
        <v>100</v>
      </c>
      <c r="T40" s="773" t="s">
        <v>17</v>
      </c>
      <c r="U40" s="774">
        <f t="shared" si="11"/>
        <v>100</v>
      </c>
      <c r="V40" s="773" t="s">
        <v>17</v>
      </c>
      <c r="W40" s="774">
        <f t="shared" si="12"/>
        <v>100</v>
      </c>
      <c r="X40" s="1814"/>
      <c r="Y40" s="3201"/>
      <c r="Z40" s="1815" t="str">
        <f t="shared" si="13"/>
        <v>临街宽度及深度</v>
      </c>
      <c r="AA40" s="1812">
        <f t="shared" si="3"/>
        <v>1</v>
      </c>
      <c r="AB40" s="1812">
        <f t="shared" si="4"/>
        <v>1</v>
      </c>
      <c r="AC40" s="1812">
        <f t="shared" si="5"/>
        <v>1</v>
      </c>
    </row>
    <row r="41" spans="1:29" s="116" customFormat="1" ht="15">
      <c r="A41" s="472"/>
      <c r="B41" s="421" t="s">
        <v>2749</v>
      </c>
      <c r="C41" s="2702" t="s">
        <v>3258</v>
      </c>
      <c r="D41" s="135">
        <v>100</v>
      </c>
      <c r="E41" s="2702" t="s">
        <v>3259</v>
      </c>
      <c r="F41" s="434">
        <f>SUMIF(123:123,E41,124:124)-SUMIF(123:123,C41,124:124)+100</f>
        <v>96</v>
      </c>
      <c r="G41" s="2702" t="s">
        <v>3260</v>
      </c>
      <c r="H41" s="434">
        <f>SUMIF(123:123,G41,124:124)-SUMIF(123:123,C41,124:124)+100</f>
        <v>98</v>
      </c>
      <c r="I41" s="2702" t="s">
        <v>3045</v>
      </c>
      <c r="J41" s="434">
        <f>SUMIF(123:123,I41,124:124)-SUMIF(123:123,C41,124:124)+100</f>
        <v>99</v>
      </c>
      <c r="K41" s="611">
        <v>1</v>
      </c>
      <c r="L41" s="1134"/>
      <c r="M41" s="1135"/>
      <c r="N41" s="1135"/>
      <c r="O41" s="1136"/>
      <c r="P41" s="3201"/>
      <c r="Q41" s="1811" t="str">
        <f t="shared" si="14"/>
        <v>宗地开发程度</v>
      </c>
      <c r="R41" s="769" t="s">
        <v>17</v>
      </c>
      <c r="S41" s="770">
        <f t="shared" si="10"/>
        <v>96</v>
      </c>
      <c r="T41" s="769" t="s">
        <v>17</v>
      </c>
      <c r="U41" s="770">
        <f t="shared" si="11"/>
        <v>98</v>
      </c>
      <c r="V41" s="769" t="s">
        <v>17</v>
      </c>
      <c r="W41" s="770">
        <f t="shared" si="12"/>
        <v>99</v>
      </c>
      <c r="X41" s="771"/>
      <c r="Y41" s="3201"/>
      <c r="Z41" s="55" t="str">
        <f t="shared" si="13"/>
        <v>宗地开发程度</v>
      </c>
      <c r="AA41" s="772">
        <f t="shared" si="3"/>
        <v>1.0416666666666667</v>
      </c>
      <c r="AB41" s="772">
        <f t="shared" si="4"/>
        <v>1.0204081632653061</v>
      </c>
      <c r="AC41" s="772">
        <f t="shared" si="5"/>
        <v>1.0101010101010102</v>
      </c>
    </row>
    <row r="42" spans="1:29" ht="15">
      <c r="A42" s="471"/>
      <c r="B42" s="421" t="s">
        <v>2750</v>
      </c>
      <c r="C42" s="2614" t="s">
        <v>3049</v>
      </c>
      <c r="D42" s="434">
        <v>100</v>
      </c>
      <c r="E42" s="2614" t="s">
        <v>3049</v>
      </c>
      <c r="F42" s="434">
        <f>SUMIF(125:125,E42,126:126)-SUMIF(125:125,C42,126:126)+100</f>
        <v>100</v>
      </c>
      <c r="G42" s="2614" t="s">
        <v>3049</v>
      </c>
      <c r="H42" s="434">
        <f>SUMIF(125:125,G42,126:126)-SUMIF(125:125,C42,126:126)+100</f>
        <v>100</v>
      </c>
      <c r="I42" s="2614" t="s">
        <v>3049</v>
      </c>
      <c r="J42" s="434">
        <f>SUMIF(125:125,I42,126:126)-SUMIF(125:125,C42,126:126)+100</f>
        <v>100</v>
      </c>
      <c r="K42" s="611">
        <v>2</v>
      </c>
      <c r="L42" s="1142"/>
      <c r="M42" s="1133"/>
      <c r="N42" s="1133"/>
      <c r="O42" s="1141"/>
      <c r="P42" s="3201" t="s">
        <v>2560</v>
      </c>
      <c r="Q42" s="1811" t="str">
        <f t="shared" si="14"/>
        <v>工程地质条件</v>
      </c>
      <c r="R42" s="773" t="s">
        <v>17</v>
      </c>
      <c r="S42" s="774">
        <f t="shared" si="10"/>
        <v>100</v>
      </c>
      <c r="T42" s="773" t="s">
        <v>17</v>
      </c>
      <c r="U42" s="774">
        <f t="shared" si="11"/>
        <v>100</v>
      </c>
      <c r="V42" s="773" t="s">
        <v>17</v>
      </c>
      <c r="W42" s="774">
        <f t="shared" si="12"/>
        <v>100</v>
      </c>
      <c r="X42" s="1814"/>
      <c r="Y42" s="3201" t="s">
        <v>2560</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1"/>
      <c r="Q43" s="1811">
        <f t="shared" si="14"/>
        <v>111</v>
      </c>
      <c r="R43" s="773" t="s">
        <v>17</v>
      </c>
      <c r="S43" s="774">
        <f t="shared" si="10"/>
        <v>100</v>
      </c>
      <c r="T43" s="773" t="s">
        <v>17</v>
      </c>
      <c r="U43" s="774">
        <f t="shared" si="11"/>
        <v>100</v>
      </c>
      <c r="V43" s="773" t="s">
        <v>17</v>
      </c>
      <c r="W43" s="774">
        <f t="shared" si="12"/>
        <v>100</v>
      </c>
      <c r="X43" s="1814"/>
      <c r="Y43" s="3201"/>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1"/>
      <c r="Q44" s="1811">
        <f t="shared" si="14"/>
        <v>111</v>
      </c>
      <c r="R44" s="773" t="s">
        <v>17</v>
      </c>
      <c r="S44" s="774">
        <f t="shared" si="10"/>
        <v>100</v>
      </c>
      <c r="T44" s="773" t="s">
        <v>17</v>
      </c>
      <c r="U44" s="774">
        <f t="shared" si="11"/>
        <v>100</v>
      </c>
      <c r="V44" s="773" t="s">
        <v>17</v>
      </c>
      <c r="W44" s="774">
        <f t="shared" si="12"/>
        <v>100</v>
      </c>
      <c r="X44" s="1814"/>
      <c r="Y44" s="3201"/>
      <c r="Z44" s="1815">
        <f t="shared" si="13"/>
        <v>111</v>
      </c>
      <c r="AA44" s="1812">
        <f t="shared" si="3"/>
        <v>1</v>
      </c>
      <c r="AB44" s="1812">
        <f t="shared" si="4"/>
        <v>1</v>
      </c>
      <c r="AC44" s="1812">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1"/>
      <c r="Q45" s="1811">
        <f t="shared" si="14"/>
        <v>111</v>
      </c>
      <c r="R45" s="776" t="s">
        <v>17</v>
      </c>
      <c r="S45" s="777">
        <f t="shared" si="10"/>
        <v>100</v>
      </c>
      <c r="T45" s="776" t="s">
        <v>17</v>
      </c>
      <c r="U45" s="777">
        <f t="shared" si="11"/>
        <v>100</v>
      </c>
      <c r="V45" s="776" t="s">
        <v>17</v>
      </c>
      <c r="W45" s="777">
        <f t="shared" si="12"/>
        <v>100</v>
      </c>
      <c r="X45" s="778"/>
      <c r="Y45" s="3201"/>
      <c r="Z45" s="779">
        <f t="shared" si="13"/>
        <v>111</v>
      </c>
      <c r="AA45" s="1812">
        <f t="shared" si="3"/>
        <v>1</v>
      </c>
      <c r="AB45" s="1812">
        <f t="shared" si="4"/>
        <v>1</v>
      </c>
      <c r="AC45" s="1812">
        <f t="shared" si="5"/>
        <v>1</v>
      </c>
    </row>
    <row r="46" spans="1:29" ht="15">
      <c r="A46" s="478" t="s">
        <v>2715</v>
      </c>
      <c r="B46" s="2704" t="s">
        <v>2751</v>
      </c>
      <c r="C46" s="681" t="s">
        <v>1</v>
      </c>
      <c r="D46" s="480"/>
      <c r="E46" s="481">
        <f>ROUND(土地案例!K4,0)</f>
        <v>38025</v>
      </c>
      <c r="F46" s="482"/>
      <c r="G46" s="483">
        <f>ROUND(土地案例!K6,0)</f>
        <v>35021</v>
      </c>
      <c r="H46" s="484"/>
      <c r="I46" s="481">
        <v>32339</v>
      </c>
      <c r="J46" s="484"/>
      <c r="K46" s="782"/>
      <c r="L46" s="1145"/>
      <c r="M46" s="1146"/>
      <c r="N46" s="1133"/>
      <c r="O46" s="1146"/>
      <c r="P46" s="3194" t="str">
        <f>A46</f>
        <v>成交单价</v>
      </c>
      <c r="Q46" s="3194"/>
      <c r="R46" s="3225">
        <f>E46</f>
        <v>38025</v>
      </c>
      <c r="S46" s="3225"/>
      <c r="T46" s="3225">
        <f>G46</f>
        <v>35021</v>
      </c>
      <c r="U46" s="3225"/>
      <c r="V46" s="3225">
        <f>I46</f>
        <v>32339</v>
      </c>
      <c r="W46" s="3225"/>
      <c r="X46" s="758"/>
      <c r="Y46" s="780"/>
      <c r="Z46" s="758"/>
      <c r="AA46" s="758"/>
      <c r="AB46" s="758"/>
      <c r="AC46" s="758"/>
    </row>
    <row r="47" spans="1:29" ht="15.75" thickBot="1">
      <c r="A47" s="485" t="s">
        <v>2664</v>
      </c>
      <c r="B47" s="682"/>
      <c r="C47" s="489">
        <f>R48</f>
        <v>28334</v>
      </c>
      <c r="D47" s="488"/>
      <c r="E47" s="489">
        <f>R47</f>
        <v>29422</v>
      </c>
      <c r="F47" s="490"/>
      <c r="G47" s="487">
        <f>T47</f>
        <v>27086</v>
      </c>
      <c r="H47" s="488"/>
      <c r="I47" s="489">
        <f>V47</f>
        <v>28495</v>
      </c>
      <c r="J47" s="488"/>
      <c r="K47" s="783"/>
      <c r="L47" s="1145"/>
      <c r="M47" s="1146"/>
      <c r="N47" s="1146"/>
      <c r="O47" s="1146"/>
      <c r="P47" s="3194" t="str">
        <f>A47</f>
        <v>比较价值（元/平方米）</v>
      </c>
      <c r="Q47" s="3194"/>
      <c r="R47" s="3259">
        <f>ROUND(PRODUCT(R46,AA7:AA45),0)</f>
        <v>29422</v>
      </c>
      <c r="S47" s="3259"/>
      <c r="T47" s="3259">
        <f>ROUND(PRODUCT(T46,AB7:AB45),0)</f>
        <v>27086</v>
      </c>
      <c r="U47" s="3259"/>
      <c r="V47" s="3259">
        <f>ROUND(PRODUCT(V46,AC7:AC45),0)</f>
        <v>28495</v>
      </c>
      <c r="W47" s="3259"/>
      <c r="X47" s="758"/>
      <c r="Y47" s="758"/>
      <c r="Z47" s="758"/>
      <c r="AA47" s="758"/>
      <c r="AB47" s="758"/>
      <c r="AC47" s="758"/>
    </row>
    <row r="48" spans="1:29" ht="15.75" thickBot="1">
      <c r="A48" s="491" t="s">
        <v>2752</v>
      </c>
      <c r="B48" s="492"/>
      <c r="C48" s="493">
        <f>R48</f>
        <v>28334</v>
      </c>
      <c r="D48" s="493"/>
      <c r="E48" s="493"/>
      <c r="F48" s="493"/>
      <c r="G48" s="493"/>
      <c r="H48" s="493"/>
      <c r="I48" s="493"/>
      <c r="J48" s="493"/>
      <c r="K48" s="784"/>
      <c r="L48" s="1145"/>
      <c r="M48" s="1146"/>
      <c r="N48" s="1146"/>
      <c r="O48" s="1146"/>
      <c r="P48" s="3191" t="str">
        <f>A48</f>
        <v>估价对象XX用房的比较价值（楼面单价，元/平方米）</v>
      </c>
      <c r="Q48" s="3192"/>
      <c r="R48" s="3260">
        <f>ROUND(AVERAGE(R47:V47),0)</f>
        <v>28334</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2666</v>
      </c>
      <c r="D51" s="497"/>
      <c r="E51" s="498">
        <f>IF(E46&lt;E47,E47/E46-1,E46/E47-1)</f>
        <v>0.29240024471483927</v>
      </c>
      <c r="F51" s="499" t="str">
        <f>IF(OR(E51&gt;=0.3,E51&lt;=-0.3),"超过30%","")</f>
        <v/>
      </c>
      <c r="G51" s="498">
        <f>IF(G46&lt;G47,G47/G46-1,G46/G47-1)</f>
        <v>0.29295577050874999</v>
      </c>
      <c r="H51" s="499" t="str">
        <f>IF(OR(G51&gt;=0.3,G51&lt;=-0.3),"超过30%","")</f>
        <v/>
      </c>
      <c r="I51" s="498">
        <f>IF(I46&lt;I47,I47/I46-1,I46/I47-1)</f>
        <v>0.1349008597999648</v>
      </c>
      <c r="J51" s="499" t="str">
        <f>IF(OR(I51&gt;=0.3,I51&lt;=-0.3),"超过30%","")</f>
        <v/>
      </c>
      <c r="K51" s="1107"/>
      <c r="L51" s="1108"/>
      <c r="M51" s="1146"/>
      <c r="N51" s="1146"/>
      <c r="O51" s="1146"/>
    </row>
    <row r="52" spans="1:15" ht="13.5" customHeight="1">
      <c r="A52" s="1146"/>
      <c r="B52" s="1146"/>
      <c r="C52" s="496" t="s">
        <v>2667</v>
      </c>
      <c r="D52" s="500"/>
      <c r="E52" s="498">
        <f>IF(E47&lt;G47,G47/E47-1,E47/G47-1)</f>
        <v>8.6243815993502171E-2</v>
      </c>
      <c r="F52" s="499" t="str">
        <f>IF(OR(E52&gt;=0.2,E52&lt;=-0.2),"超过20%","")</f>
        <v/>
      </c>
      <c r="G52" s="498">
        <f>IF(G47&lt;I47,I47/G47-1,G47/I47-1)</f>
        <v>5.2019493465258915E-2</v>
      </c>
      <c r="H52" s="499" t="str">
        <f>IF(OR(G52&gt;=0.2,G52&lt;=-0.2),"超过20%","")</f>
        <v/>
      </c>
      <c r="I52" s="498">
        <f>IF(I47&lt;E47,E47/I47-1,I47/E47-1)</f>
        <v>3.2532023161958135E-2</v>
      </c>
      <c r="J52" s="499" t="str">
        <f>IF(OR(I52&gt;=0.2,I52&lt;=-0.2),"超过20%","")</f>
        <v/>
      </c>
      <c r="K52" s="1107"/>
      <c r="L52" s="1108"/>
      <c r="M52" s="1146"/>
      <c r="N52" s="1146"/>
      <c r="O52" s="1146"/>
    </row>
    <row r="53" spans="1:15" s="501" customFormat="1" ht="13.5" customHeight="1">
      <c r="A53" s="1147"/>
      <c r="B53" s="1147"/>
      <c r="C53" s="496" t="s">
        <v>2668</v>
      </c>
      <c r="D53" s="500"/>
      <c r="E53" s="498">
        <f>IF(E46&lt;G46,G46/E46-1,E46/G46-1)</f>
        <v>8.5777105165472101E-2</v>
      </c>
      <c r="F53" s="499" t="str">
        <f>IF(OR(E53&gt;=0.3,E53&lt;=-0.3),"超过30%","")</f>
        <v/>
      </c>
      <c r="G53" s="498">
        <f>IF(G46&lt;I46,I46/G46-1,G46/I46-1)</f>
        <v>8.2933918797736483E-2</v>
      </c>
      <c r="H53" s="499" t="str">
        <f>IF(OR(G53&gt;=0.3,G53&lt;=-0.3),"超过30%","")</f>
        <v/>
      </c>
      <c r="I53" s="498">
        <f>IF(I46&lt;E46,E46/I46-1,I46/E46-1)</f>
        <v>0.17582485543770687</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2753</v>
      </c>
      <c r="B55" s="684" t="s">
        <v>2754</v>
      </c>
      <c r="C55" s="2705" t="s">
        <v>2755</v>
      </c>
      <c r="D55" s="2706" t="s">
        <v>2756</v>
      </c>
      <c r="E55" s="685" t="s">
        <v>2757</v>
      </c>
      <c r="F55" s="1109" t="s">
        <v>2758</v>
      </c>
      <c r="G55" s="3209" t="s">
        <v>2759</v>
      </c>
      <c r="H55" s="3261"/>
      <c r="I55" s="143" t="s">
        <v>2760</v>
      </c>
      <c r="J55" s="2707">
        <f>项目基本情况!F35</f>
        <v>0</v>
      </c>
      <c r="K55" s="2708" t="s">
        <v>2761</v>
      </c>
      <c r="L55" s="1108"/>
      <c r="M55" s="1146"/>
      <c r="N55" s="1146"/>
      <c r="O55" s="1146"/>
    </row>
    <row r="56" spans="1:15" s="691" customFormat="1">
      <c r="A56" s="687" t="s">
        <v>2762</v>
      </c>
      <c r="B56" s="688">
        <f>C48</f>
        <v>28334</v>
      </c>
      <c r="C56" s="689">
        <v>1</v>
      </c>
      <c r="D56" s="1165">
        <v>1</v>
      </c>
      <c r="E56" s="689">
        <f>'数据-汇总表'!E8+'数据-汇总表'!E9</f>
        <v>3196.74</v>
      </c>
      <c r="F56" s="1105">
        <f t="shared" ref="F56:F65" si="15">ROUND(B56*E56/10000,0)</f>
        <v>9058</v>
      </c>
      <c r="G56" s="3205"/>
      <c r="H56" s="3194"/>
      <c r="I56" s="1110">
        <v>1</v>
      </c>
      <c r="J56" s="1113">
        <v>1</v>
      </c>
      <c r="K56" s="1147"/>
      <c r="L56" s="943"/>
      <c r="M56" s="943"/>
      <c r="N56" s="943"/>
      <c r="O56" s="943"/>
    </row>
    <row r="57" spans="1:15" s="691" customFormat="1">
      <c r="A57" s="692" t="s">
        <v>2763</v>
      </c>
      <c r="B57" s="261">
        <f>ROUND($C$48*C57*D57,0)</f>
        <v>4250</v>
      </c>
      <c r="C57" s="199">
        <f t="shared" ref="C57:C65" si="16">IF($C$55="北京市系数",I57,J57)</f>
        <v>0.6</v>
      </c>
      <c r="D57" s="1166">
        <v>0.25</v>
      </c>
      <c r="E57" s="693"/>
      <c r="F57" s="1105">
        <f t="shared" si="15"/>
        <v>0</v>
      </c>
      <c r="G57" s="3262" t="s">
        <v>2764</v>
      </c>
      <c r="H57" s="1106" t="str">
        <f>项目基本情况!B37</f>
        <v>八级</v>
      </c>
      <c r="I57" s="1110">
        <f>SUMIF(修正!A45:A56,H57,修正!B45:B56)</f>
        <v>0.6</v>
      </c>
      <c r="J57" s="1114"/>
      <c r="K57" s="1146"/>
      <c r="L57" s="943"/>
      <c r="M57" s="943"/>
      <c r="N57" s="943"/>
      <c r="O57" s="943"/>
    </row>
    <row r="58" spans="1:15" s="691" customFormat="1">
      <c r="A58" s="692" t="s">
        <v>2765</v>
      </c>
      <c r="B58" s="261">
        <f t="shared" ref="B58:B65" si="17">ROUND($C$48*C58*D58,0)</f>
        <v>2125</v>
      </c>
      <c r="C58" s="199">
        <f t="shared" si="16"/>
        <v>0.3</v>
      </c>
      <c r="D58" s="1166">
        <v>0.25</v>
      </c>
      <c r="E58" s="693"/>
      <c r="F58" s="1105">
        <f t="shared" si="15"/>
        <v>0</v>
      </c>
      <c r="G58" s="3262"/>
      <c r="H58" s="1106" t="str">
        <f>项目基本情况!B37</f>
        <v>八级</v>
      </c>
      <c r="I58" s="1110">
        <f>SUMIF(修正!A45:A56,H58,修正!C45:C56)</f>
        <v>0.3</v>
      </c>
      <c r="J58" s="1114"/>
      <c r="K58" s="1147"/>
      <c r="L58" s="943"/>
      <c r="M58" s="943"/>
      <c r="N58" s="943"/>
      <c r="O58" s="943"/>
    </row>
    <row r="59" spans="1:15" s="691" customFormat="1">
      <c r="A59" s="692" t="s">
        <v>2766</v>
      </c>
      <c r="B59" s="261">
        <f t="shared" si="17"/>
        <v>1417</v>
      </c>
      <c r="C59" s="199">
        <f t="shared" si="16"/>
        <v>0.2</v>
      </c>
      <c r="D59" s="1166">
        <v>0.25</v>
      </c>
      <c r="E59" s="693"/>
      <c r="F59" s="1105">
        <f t="shared" si="15"/>
        <v>0</v>
      </c>
      <c r="G59" s="3262"/>
      <c r="H59" s="1106" t="str">
        <f>项目基本情况!B37</f>
        <v>八级</v>
      </c>
      <c r="I59" s="1110">
        <f>SUMIF(修正!A45:A56,H59,修正!D45:D56)</f>
        <v>0.2</v>
      </c>
      <c r="J59" s="1114"/>
      <c r="K59" s="1146"/>
      <c r="L59" s="943"/>
      <c r="M59" s="943"/>
      <c r="N59" s="943"/>
      <c r="O59" s="943"/>
    </row>
    <row r="60" spans="1:15" s="691" customFormat="1">
      <c r="A60" s="692" t="s">
        <v>2767</v>
      </c>
      <c r="B60" s="261">
        <f t="shared" si="17"/>
        <v>1417</v>
      </c>
      <c r="C60" s="199">
        <f t="shared" si="16"/>
        <v>0.2</v>
      </c>
      <c r="D60" s="1166">
        <v>0.25</v>
      </c>
      <c r="E60" s="693"/>
      <c r="F60" s="1105">
        <f t="shared" si="15"/>
        <v>0</v>
      </c>
      <c r="G60" s="3262"/>
      <c r="H60" s="1106" t="str">
        <f>项目基本情况!B37</f>
        <v>八级</v>
      </c>
      <c r="I60" s="1110">
        <f>SUMIF(修正!A45:A56,H60,修正!E45:E56)</f>
        <v>0.2</v>
      </c>
      <c r="J60" s="1114"/>
      <c r="K60" s="1147"/>
      <c r="L60" s="943"/>
      <c r="M60" s="943"/>
      <c r="N60" s="943"/>
      <c r="O60" s="943"/>
    </row>
    <row r="61" spans="1:15" s="691" customFormat="1">
      <c r="A61" s="692" t="s">
        <v>2768</v>
      </c>
      <c r="B61" s="261">
        <f t="shared" si="17"/>
        <v>1417</v>
      </c>
      <c r="C61" s="199">
        <f t="shared" si="16"/>
        <v>0.2</v>
      </c>
      <c r="D61" s="1166">
        <v>0.25</v>
      </c>
      <c r="E61" s="260">
        <f>'数据-汇总表'!E11</f>
        <v>0</v>
      </c>
      <c r="F61" s="1105">
        <f t="shared" si="15"/>
        <v>0</v>
      </c>
      <c r="G61" s="2709" t="s">
        <v>2769</v>
      </c>
      <c r="H61" s="1106" t="str">
        <f>项目基本情况!C37</f>
        <v>八级</v>
      </c>
      <c r="I61" s="1110">
        <f>SUMIF(修正!A45:A56,H61,修正!F45:F56)</f>
        <v>0.2</v>
      </c>
      <c r="J61" s="1114"/>
      <c r="K61" s="1146"/>
      <c r="L61" s="943"/>
      <c r="M61" s="943"/>
      <c r="N61" s="943"/>
      <c r="O61" s="943"/>
    </row>
    <row r="62" spans="1:15" s="691" customFormat="1">
      <c r="A62" s="692" t="s">
        <v>2770</v>
      </c>
      <c r="B62" s="261">
        <f t="shared" si="17"/>
        <v>1417</v>
      </c>
      <c r="C62" s="199">
        <f t="shared" si="16"/>
        <v>0.2</v>
      </c>
      <c r="D62" s="1166">
        <v>0.25</v>
      </c>
      <c r="E62" s="260">
        <f>'数据-汇总表'!E12</f>
        <v>0</v>
      </c>
      <c r="F62" s="1105">
        <f t="shared" si="15"/>
        <v>0</v>
      </c>
      <c r="G62" s="1111" t="s">
        <v>2771</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2772</v>
      </c>
      <c r="B63" s="261">
        <f t="shared" si="17"/>
        <v>1063</v>
      </c>
      <c r="C63" s="199">
        <f t="shared" si="16"/>
        <v>0.15</v>
      </c>
      <c r="D63" s="1166">
        <v>0.25</v>
      </c>
      <c r="E63" s="260">
        <f>'数据-汇总表'!E13</f>
        <v>9413</v>
      </c>
      <c r="F63" s="1105">
        <f t="shared" si="15"/>
        <v>1001</v>
      </c>
      <c r="G63" s="1111" t="s">
        <v>2773</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2774</v>
      </c>
      <c r="B64" s="261">
        <f t="shared" si="17"/>
        <v>1063</v>
      </c>
      <c r="C64" s="199">
        <f t="shared" si="16"/>
        <v>0.15</v>
      </c>
      <c r="D64" s="1166">
        <v>0.25</v>
      </c>
      <c r="E64" s="260">
        <f>'数据-汇总表'!E14</f>
        <v>0</v>
      </c>
      <c r="F64" s="1105">
        <f t="shared" si="15"/>
        <v>0</v>
      </c>
      <c r="G64" s="2709" t="s">
        <v>2764</v>
      </c>
      <c r="H64" s="1106" t="str">
        <f>项目基本情况!B37</f>
        <v>八级</v>
      </c>
      <c r="I64" s="1110">
        <f>SUMIF(修正!A45:A56,H64,修正!H45:H56)</f>
        <v>0.15</v>
      </c>
      <c r="J64" s="1114"/>
      <c r="K64" s="1147"/>
      <c r="L64" s="943"/>
      <c r="M64" s="943"/>
      <c r="N64" s="943"/>
      <c r="O64" s="943"/>
    </row>
    <row r="65" spans="1:17" s="691" customFormat="1" ht="15" thickBot="1">
      <c r="A65" s="692" t="s">
        <v>2775</v>
      </c>
      <c r="B65" s="261">
        <f t="shared" si="17"/>
        <v>1063</v>
      </c>
      <c r="C65" s="199">
        <f t="shared" si="16"/>
        <v>0.15</v>
      </c>
      <c r="D65" s="1166">
        <v>0.25</v>
      </c>
      <c r="E65" s="260">
        <f>'数据-汇总表'!E15</f>
        <v>0</v>
      </c>
      <c r="F65" s="1105">
        <f t="shared" si="15"/>
        <v>0</v>
      </c>
      <c r="G65" s="2710" t="s">
        <v>2769</v>
      </c>
      <c r="H65" s="1116" t="str">
        <f>项目基本情况!C37</f>
        <v>八级</v>
      </c>
      <c r="I65" s="1112">
        <f>SUMIF(修正!A45:A56,H65,修正!H45:H56)</f>
        <v>0.15</v>
      </c>
      <c r="J65" s="1115"/>
      <c r="K65" s="1146"/>
      <c r="L65" s="943"/>
      <c r="M65" s="943"/>
      <c r="N65" s="943"/>
      <c r="O65" s="943"/>
    </row>
    <row r="66" spans="1:17" s="691" customFormat="1" ht="13.5" thickBot="1">
      <c r="A66" s="694" t="s">
        <v>2776</v>
      </c>
      <c r="B66" s="695" t="s">
        <v>28</v>
      </c>
      <c r="C66" s="695" t="s">
        <v>29</v>
      </c>
      <c r="D66" s="695" t="s">
        <v>1029</v>
      </c>
      <c r="E66" s="695">
        <f>IF(B46="楼面地价",SUM(E56:E65),'数据-汇总表'!D3)</f>
        <v>12609.74</v>
      </c>
      <c r="F66" s="696">
        <f>IF(B46="楼面地价",SUM(F56:F65),ROUND(C48*E66/10000,0))</f>
        <v>10059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2669</v>
      </c>
      <c r="B69" s="758"/>
      <c r="C69" s="763"/>
      <c r="D69" s="763"/>
      <c r="E69" s="763"/>
      <c r="F69" s="764"/>
      <c r="G69" s="764"/>
      <c r="H69" s="763"/>
      <c r="I69" s="763"/>
      <c r="J69" s="1161"/>
      <c r="K69" s="1162"/>
      <c r="L69" s="1163"/>
      <c r="M69" s="1161"/>
      <c r="N69" s="1161"/>
      <c r="O69" s="1161"/>
      <c r="P69" s="502"/>
      <c r="Q69" s="503"/>
    </row>
    <row r="70" spans="1:17" s="507" customFormat="1" ht="15">
      <c r="A70" s="2711" t="s">
        <v>2777</v>
      </c>
      <c r="B70" s="1361"/>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2" t="s">
        <v>2778</v>
      </c>
      <c r="B71" s="331" t="str">
        <f>"北京市平均增长率"&amp;TEXT(SUMIF(基准地价修正!N21:N25,A71,基准地价修正!P21:P25),"0.00%")</f>
        <v>北京市平均增长率2.55%</v>
      </c>
      <c r="C71" s="602">
        <v>100</v>
      </c>
      <c r="D71" s="594">
        <v>99</v>
      </c>
      <c r="E71" s="594">
        <v>98</v>
      </c>
      <c r="F71" s="594">
        <v>97</v>
      </c>
      <c r="G71" s="594">
        <v>96</v>
      </c>
      <c r="H71" s="594">
        <v>95</v>
      </c>
      <c r="I71" s="594">
        <v>94</v>
      </c>
      <c r="J71" s="594">
        <v>93</v>
      </c>
      <c r="K71" s="594">
        <v>92</v>
      </c>
      <c r="L71" s="594"/>
      <c r="M71" s="1568"/>
      <c r="N71" s="594"/>
      <c r="O71" s="1569"/>
      <c r="P71" s="503"/>
    </row>
    <row r="72" spans="1:17" s="116" customFormat="1" ht="15.75" thickBot="1">
      <c r="A72" s="514" t="s">
        <v>2580</v>
      </c>
      <c r="B72" s="515"/>
      <c r="C72" s="516"/>
      <c r="D72" s="517"/>
      <c r="E72" s="517"/>
      <c r="F72" s="517"/>
      <c r="G72" s="517"/>
      <c r="H72" s="517"/>
      <c r="I72" s="517"/>
      <c r="J72" s="517"/>
      <c r="K72" s="517" t="s">
        <v>3262</v>
      </c>
      <c r="L72" s="517"/>
      <c r="M72" s="518"/>
      <c r="N72" s="517"/>
      <c r="O72" s="1164"/>
      <c r="P72" s="503"/>
      <c r="Q72" s="503"/>
    </row>
    <row r="73" spans="1:17" s="116" customFormat="1" ht="15">
      <c r="A73" s="520" t="s">
        <v>2545</v>
      </c>
      <c r="B73" s="509"/>
      <c r="C73" s="521" t="s">
        <v>2647</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2583</v>
      </c>
      <c r="B75" s="527" t="s">
        <v>2549</v>
      </c>
      <c r="C75" s="2948" t="s">
        <v>3223</v>
      </c>
      <c r="D75" s="529" t="s">
        <v>3315</v>
      </c>
      <c r="E75" s="529"/>
      <c r="F75" s="529"/>
      <c r="G75" s="529"/>
      <c r="H75" s="529"/>
      <c r="I75" s="529"/>
      <c r="J75" s="529"/>
      <c r="K75" s="530"/>
      <c r="L75" s="531"/>
      <c r="M75" s="532"/>
      <c r="N75" s="1154"/>
      <c r="O75" s="1154"/>
      <c r="P75" s="45"/>
      <c r="Q75" s="503"/>
    </row>
    <row r="76" spans="1:17" ht="15.75" thickBot="1">
      <c r="A76" s="533"/>
      <c r="B76" s="534"/>
      <c r="C76" s="535">
        <v>100</v>
      </c>
      <c r="D76" s="535">
        <v>90</v>
      </c>
      <c r="E76" s="535"/>
      <c r="F76" s="535"/>
      <c r="G76" s="535"/>
      <c r="H76" s="535"/>
      <c r="I76" s="535"/>
      <c r="J76" s="535"/>
      <c r="K76" s="535"/>
      <c r="L76" s="535"/>
      <c r="M76" s="536"/>
      <c r="N76" s="1155"/>
      <c r="O76" s="1155"/>
      <c r="P76" s="45"/>
      <c r="Q76" s="503"/>
    </row>
    <row r="77" spans="1:17" ht="27.75" thickTop="1">
      <c r="A77" s="533"/>
      <c r="B77" s="537" t="s">
        <v>2552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2553</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2950" t="s">
        <v>3228</v>
      </c>
      <c r="D82" s="2951" t="s">
        <v>3229</v>
      </c>
      <c r="E82" s="2952" t="s">
        <v>3232</v>
      </c>
      <c r="F82" s="553"/>
      <c r="G82" s="553"/>
      <c r="H82" s="554"/>
      <c r="I82" s="554"/>
      <c r="J82" s="554"/>
      <c r="K82" s="554"/>
      <c r="L82" s="555"/>
      <c r="M82" s="556"/>
      <c r="N82" s="1156"/>
      <c r="O82" s="1156"/>
      <c r="P82" s="557"/>
      <c r="Q82" s="558"/>
    </row>
    <row r="83" spans="1:17" s="470" customFormat="1" ht="15.75" thickBot="1">
      <c r="A83" s="552"/>
      <c r="B83" s="542"/>
      <c r="C83" s="559">
        <v>100</v>
      </c>
      <c r="D83" s="535">
        <v>80</v>
      </c>
      <c r="E83" s="535">
        <v>90</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2686</v>
      </c>
      <c r="C106" s="2956" t="s">
        <v>3233</v>
      </c>
      <c r="D106" s="2956" t="s">
        <v>3234</v>
      </c>
      <c r="E106" s="2956" t="s">
        <v>3235</v>
      </c>
      <c r="F106" s="2956" t="s">
        <v>3236</v>
      </c>
      <c r="G106" s="2956" t="s">
        <v>3238</v>
      </c>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5"/>
      <c r="Q107" s="503"/>
    </row>
    <row r="108" spans="1:17" ht="15.75" thickTop="1">
      <c r="A108" s="533"/>
      <c r="B108" s="537" t="s">
        <v>2745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2558</v>
      </c>
      <c r="B116" s="527" t="s">
        <v>2786</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102</v>
      </c>
      <c r="E118" s="590">
        <v>104</v>
      </c>
      <c r="F118" s="590">
        <v>106</v>
      </c>
      <c r="G118" s="590"/>
      <c r="H118" s="590"/>
      <c r="I118" s="590"/>
      <c r="J118" s="590"/>
      <c r="K118" s="590"/>
      <c r="L118" s="590"/>
      <c r="M118" s="591"/>
      <c r="N118" s="1155"/>
      <c r="O118" s="1155"/>
      <c r="P118" s="45"/>
      <c r="Q118" s="503"/>
    </row>
    <row r="119" spans="1:17" ht="15" thickTop="1">
      <c r="A119" s="598"/>
      <c r="B119" s="537" t="s">
        <v>2787</v>
      </c>
      <c r="C119" s="582" t="s">
        <v>3239</v>
      </c>
      <c r="D119" s="582" t="s">
        <v>3240</v>
      </c>
      <c r="E119" s="582" t="s">
        <v>3241</v>
      </c>
      <c r="F119" s="582" t="s">
        <v>3242</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2788</v>
      </c>
      <c r="C121" s="553" t="s">
        <v>3243</v>
      </c>
      <c r="D121" s="553" t="s">
        <v>3244</v>
      </c>
      <c r="E121" s="553" t="s">
        <v>3245</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2789</v>
      </c>
      <c r="C123" s="2957" t="s">
        <v>3246</v>
      </c>
      <c r="D123" s="2957" t="s">
        <v>3247</v>
      </c>
      <c r="E123" s="2957" t="s">
        <v>3248</v>
      </c>
      <c r="F123" s="2957" t="s">
        <v>3249</v>
      </c>
      <c r="G123" s="2957" t="s">
        <v>3250</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2790</v>
      </c>
      <c r="C125" s="553" t="s">
        <v>3251</v>
      </c>
      <c r="D125" s="553" t="s">
        <v>3252</v>
      </c>
      <c r="E125" s="582" t="s">
        <v>3253</v>
      </c>
      <c r="F125" s="582" t="s">
        <v>3254</v>
      </c>
      <c r="G125" s="582" t="s">
        <v>3255</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4" sqref="K4"/>
    </sheetView>
  </sheetViews>
  <sheetFormatPr defaultRowHeight="13.5"/>
  <cols>
    <col min="1" max="1" width="57" customWidth="1"/>
    <col min="3" max="3" width="14.375" customWidth="1"/>
  </cols>
  <sheetData>
    <row r="1" spans="1:11">
      <c r="A1" s="2949" t="s">
        <v>3085</v>
      </c>
      <c r="B1" s="2949" t="s">
        <v>3086</v>
      </c>
      <c r="C1" s="2949" t="s">
        <v>3087</v>
      </c>
      <c r="D1" s="2949" t="s">
        <v>3091</v>
      </c>
      <c r="E1" s="2949" t="s">
        <v>3088</v>
      </c>
      <c r="F1" s="2949" t="s">
        <v>3089</v>
      </c>
      <c r="G1" s="2949" t="s">
        <v>3090</v>
      </c>
      <c r="H1" s="2949" t="s">
        <v>3215</v>
      </c>
      <c r="I1" s="2949" t="s">
        <v>3094</v>
      </c>
      <c r="J1" s="2949" t="s">
        <v>3092</v>
      </c>
      <c r="K1" s="2949" t="s">
        <v>3093</v>
      </c>
    </row>
    <row r="2" spans="1:11">
      <c r="A2" s="2949" t="s">
        <v>3095</v>
      </c>
      <c r="B2" s="2949" t="s">
        <v>3073</v>
      </c>
      <c r="C2" s="2949" t="s">
        <v>3096</v>
      </c>
      <c r="D2" s="2949" t="s">
        <v>3097</v>
      </c>
      <c r="E2" s="2949">
        <v>175114.7</v>
      </c>
      <c r="F2" s="2949">
        <v>299579</v>
      </c>
      <c r="G2" s="2949">
        <v>1.7</v>
      </c>
      <c r="H2" s="2949" t="s">
        <v>3098</v>
      </c>
      <c r="I2" s="2949" t="s">
        <v>3099</v>
      </c>
      <c r="J2" s="2949">
        <v>545000</v>
      </c>
      <c r="K2" s="2949">
        <v>18192.2</v>
      </c>
    </row>
    <row r="3" spans="1:11">
      <c r="A3" s="2949" t="s">
        <v>3100</v>
      </c>
      <c r="B3" s="2949" t="s">
        <v>3073</v>
      </c>
      <c r="C3" s="2949" t="s">
        <v>3096</v>
      </c>
      <c r="D3" s="2949" t="s">
        <v>3097</v>
      </c>
      <c r="E3" s="2949">
        <v>122262</v>
      </c>
      <c r="F3" s="2949">
        <v>285496</v>
      </c>
      <c r="G3" s="2949">
        <v>2.335</v>
      </c>
      <c r="H3" s="2949" t="s">
        <v>3101</v>
      </c>
      <c r="I3" s="2949" t="s">
        <v>3102</v>
      </c>
      <c r="J3" s="2949">
        <v>328500</v>
      </c>
      <c r="K3" s="2949">
        <v>11506.29</v>
      </c>
    </row>
    <row r="4" spans="1:11" s="2947" customFormat="1">
      <c r="A4" s="2946" t="s">
        <v>3103</v>
      </c>
      <c r="B4" s="2946" t="s">
        <v>3073</v>
      </c>
      <c r="C4" s="2946" t="s">
        <v>3096</v>
      </c>
      <c r="D4" s="2946" t="s">
        <v>3097</v>
      </c>
      <c r="E4" s="2946">
        <v>71022.78</v>
      </c>
      <c r="F4" s="2946">
        <v>170414</v>
      </c>
      <c r="G4" s="2946">
        <v>2.4</v>
      </c>
      <c r="H4" s="2946" t="s">
        <v>3104</v>
      </c>
      <c r="I4" s="2946" t="s">
        <v>3105</v>
      </c>
      <c r="J4" s="2946">
        <v>648000</v>
      </c>
      <c r="K4" s="2946">
        <v>38025.040000000001</v>
      </c>
    </row>
    <row r="5" spans="1:11">
      <c r="A5" s="2949" t="s">
        <v>3106</v>
      </c>
      <c r="B5" s="2949" t="s">
        <v>3073</v>
      </c>
      <c r="C5" s="2949" t="s">
        <v>3107</v>
      </c>
      <c r="D5" s="2949" t="s">
        <v>3097</v>
      </c>
      <c r="E5" s="2949">
        <v>66465.42</v>
      </c>
      <c r="F5" s="2949">
        <v>99698</v>
      </c>
      <c r="G5" s="2949">
        <v>1.5</v>
      </c>
      <c r="H5" s="2949" t="s">
        <v>3108</v>
      </c>
      <c r="I5" s="2949" t="s">
        <v>3102</v>
      </c>
      <c r="J5" s="2949">
        <v>190000</v>
      </c>
      <c r="K5" s="2949">
        <v>19057.54</v>
      </c>
    </row>
    <row r="6" spans="1:11" s="2947" customFormat="1">
      <c r="A6" s="2946" t="s">
        <v>3109</v>
      </c>
      <c r="B6" s="2946" t="s">
        <v>3073</v>
      </c>
      <c r="C6" s="2946" t="s">
        <v>3107</v>
      </c>
      <c r="D6" s="2946" t="s">
        <v>3097</v>
      </c>
      <c r="E6" s="2946">
        <v>30890.99</v>
      </c>
      <c r="F6" s="2946">
        <v>67960</v>
      </c>
      <c r="G6" s="2946">
        <v>2.2000000000000002</v>
      </c>
      <c r="H6" s="2946" t="s">
        <v>3110</v>
      </c>
      <c r="I6" s="2946" t="s">
        <v>3111</v>
      </c>
      <c r="J6" s="2946">
        <v>238000</v>
      </c>
      <c r="K6" s="2946">
        <v>35020.589999999997</v>
      </c>
    </row>
    <row r="7" spans="1:11">
      <c r="A7" s="2949" t="s">
        <v>3112</v>
      </c>
      <c r="B7" s="2949" t="s">
        <v>3073</v>
      </c>
      <c r="C7" s="2949" t="s">
        <v>3096</v>
      </c>
      <c r="D7" s="2949" t="s">
        <v>3097</v>
      </c>
      <c r="E7" s="2949">
        <v>101259.5</v>
      </c>
      <c r="F7" s="2949">
        <v>202324</v>
      </c>
      <c r="G7" s="2949">
        <v>2</v>
      </c>
      <c r="H7" s="2949" t="s">
        <v>3113</v>
      </c>
      <c r="I7" s="2949" t="s">
        <v>3114</v>
      </c>
      <c r="J7" s="2949">
        <v>395000</v>
      </c>
      <c r="K7" s="2949">
        <v>19523.13</v>
      </c>
    </row>
    <row r="8" spans="1:11" s="2947" customFormat="1">
      <c r="A8" s="2946" t="s">
        <v>3115</v>
      </c>
      <c r="B8" s="2946" t="s">
        <v>3073</v>
      </c>
      <c r="C8" s="2946" t="s">
        <v>3107</v>
      </c>
      <c r="D8" s="2946" t="s">
        <v>3097</v>
      </c>
      <c r="E8" s="2946">
        <v>44353.34</v>
      </c>
      <c r="F8" s="2946">
        <v>97577</v>
      </c>
      <c r="G8" s="2946">
        <v>2.2000000000000002</v>
      </c>
      <c r="H8" s="2946" t="s">
        <v>3116</v>
      </c>
      <c r="I8" s="2946" t="s">
        <v>3117</v>
      </c>
      <c r="J8" s="2946">
        <v>222000</v>
      </c>
      <c r="K8" s="2946">
        <v>22751.25</v>
      </c>
    </row>
    <row r="9" spans="1:11">
      <c r="A9" s="2949" t="s">
        <v>3118</v>
      </c>
      <c r="B9" s="2949" t="s">
        <v>3073</v>
      </c>
      <c r="C9" s="2949" t="s">
        <v>3096</v>
      </c>
      <c r="D9" s="2949" t="s">
        <v>3097</v>
      </c>
      <c r="E9" s="2949">
        <v>89347.09</v>
      </c>
      <c r="F9" s="2949">
        <v>178694</v>
      </c>
      <c r="G9" s="2949">
        <v>2</v>
      </c>
      <c r="H9" s="2949" t="s">
        <v>3119</v>
      </c>
      <c r="I9" s="2949" t="s">
        <v>3120</v>
      </c>
      <c r="J9" s="2949">
        <v>319500</v>
      </c>
      <c r="K9" s="2949">
        <v>17879.72</v>
      </c>
    </row>
    <row r="10" spans="1:11">
      <c r="A10" s="2949" t="s">
        <v>3121</v>
      </c>
      <c r="B10" s="2949" t="s">
        <v>3073</v>
      </c>
      <c r="C10" s="2949" t="s">
        <v>3096</v>
      </c>
      <c r="D10" s="2949" t="s">
        <v>3097</v>
      </c>
      <c r="E10" s="2949">
        <v>83732.679999999993</v>
      </c>
      <c r="F10" s="2949">
        <v>167465</v>
      </c>
      <c r="G10" s="2949">
        <v>2</v>
      </c>
      <c r="H10" s="2949" t="s">
        <v>3119</v>
      </c>
      <c r="I10" s="2949" t="s">
        <v>3120</v>
      </c>
      <c r="J10" s="2949">
        <v>300000</v>
      </c>
      <c r="K10" s="2949">
        <v>17914.18</v>
      </c>
    </row>
    <row r="11" spans="1:11">
      <c r="A11" s="2949" t="s">
        <v>3122</v>
      </c>
      <c r="B11" s="2949" t="s">
        <v>3073</v>
      </c>
      <c r="C11" s="2949" t="s">
        <v>3096</v>
      </c>
      <c r="D11" s="2949" t="s">
        <v>3097</v>
      </c>
      <c r="E11" s="2949">
        <v>52140.02</v>
      </c>
      <c r="F11" s="2949">
        <v>83940</v>
      </c>
      <c r="G11" s="2949">
        <v>1.6</v>
      </c>
      <c r="H11" s="2949" t="s">
        <v>3123</v>
      </c>
      <c r="I11" s="2949" t="s">
        <v>3124</v>
      </c>
      <c r="J11" s="2949">
        <v>50450</v>
      </c>
      <c r="K11" s="2949">
        <v>6010.25</v>
      </c>
    </row>
    <row r="12" spans="1:11">
      <c r="A12" s="2949" t="s">
        <v>3125</v>
      </c>
      <c r="B12" s="2949" t="s">
        <v>3073</v>
      </c>
      <c r="C12" s="2949" t="s">
        <v>3096</v>
      </c>
      <c r="D12" s="2949" t="s">
        <v>3097</v>
      </c>
      <c r="E12" s="2949">
        <v>42685.77</v>
      </c>
      <c r="F12" s="2949">
        <v>124350</v>
      </c>
      <c r="G12" s="2949">
        <v>2.91</v>
      </c>
      <c r="H12" s="2949" t="s">
        <v>3126</v>
      </c>
      <c r="I12" s="2949" t="s">
        <v>3127</v>
      </c>
      <c r="J12" s="2949">
        <v>172000</v>
      </c>
      <c r="K12" s="2949">
        <v>13831.93</v>
      </c>
    </row>
    <row r="13" spans="1:11">
      <c r="A13" s="2949" t="s">
        <v>3128</v>
      </c>
      <c r="B13" s="2949" t="s">
        <v>3073</v>
      </c>
      <c r="C13" s="2949" t="s">
        <v>3096</v>
      </c>
      <c r="D13" s="2949" t="s">
        <v>3097</v>
      </c>
      <c r="E13" s="2949">
        <v>90996.11</v>
      </c>
      <c r="F13" s="2949">
        <v>343161</v>
      </c>
      <c r="G13" s="2949">
        <v>3.77</v>
      </c>
      <c r="H13" s="2949" t="s">
        <v>3126</v>
      </c>
      <c r="I13" s="2949" t="s">
        <v>3127</v>
      </c>
      <c r="J13" s="2949">
        <v>330000</v>
      </c>
      <c r="K13" s="2949">
        <v>9616.4699999999993</v>
      </c>
    </row>
    <row r="14" spans="1:11">
      <c r="A14" s="2949" t="s">
        <v>3129</v>
      </c>
      <c r="B14" s="2949" t="s">
        <v>3073</v>
      </c>
      <c r="C14" s="2949" t="s">
        <v>3096</v>
      </c>
      <c r="D14" s="2949" t="s">
        <v>3097</v>
      </c>
      <c r="E14" s="2949">
        <v>73293.58</v>
      </c>
      <c r="F14" s="2949">
        <v>143980</v>
      </c>
      <c r="G14" s="2949">
        <v>1.96</v>
      </c>
      <c r="H14" s="2949" t="s">
        <v>3130</v>
      </c>
      <c r="I14" s="2949" t="s">
        <v>3131</v>
      </c>
      <c r="J14" s="2949">
        <v>197200</v>
      </c>
      <c r="K14" s="2949">
        <v>13696.35</v>
      </c>
    </row>
    <row r="15" spans="1:11">
      <c r="A15" s="2949" t="s">
        <v>3132</v>
      </c>
      <c r="B15" s="2949" t="s">
        <v>3073</v>
      </c>
      <c r="C15" s="2949" t="s">
        <v>3096</v>
      </c>
      <c r="D15" s="2949" t="s">
        <v>3097</v>
      </c>
      <c r="E15" s="2949">
        <v>94198.62</v>
      </c>
      <c r="F15" s="2949">
        <v>187481</v>
      </c>
      <c r="G15" s="2949">
        <v>2</v>
      </c>
      <c r="H15" s="2949" t="s">
        <v>3130</v>
      </c>
      <c r="I15" s="2949" t="s">
        <v>3131</v>
      </c>
      <c r="J15" s="2949">
        <v>252400</v>
      </c>
      <c r="K15" s="2949">
        <v>13462.7</v>
      </c>
    </row>
    <row r="16" spans="1:11">
      <c r="A16" s="2949" t="s">
        <v>3133</v>
      </c>
      <c r="B16" s="2949" t="s">
        <v>3073</v>
      </c>
      <c r="C16" s="2949" t="s">
        <v>3096</v>
      </c>
      <c r="D16" s="2949" t="s">
        <v>3097</v>
      </c>
      <c r="E16" s="2949">
        <v>48775.519999999997</v>
      </c>
      <c r="F16" s="2949">
        <v>121939</v>
      </c>
      <c r="G16" s="2949">
        <v>2.5</v>
      </c>
      <c r="H16" s="2949" t="s">
        <v>3134</v>
      </c>
      <c r="I16" s="2949" t="s">
        <v>3135</v>
      </c>
      <c r="J16" s="2949">
        <v>142500</v>
      </c>
      <c r="K16" s="2949">
        <v>11686.17</v>
      </c>
    </row>
    <row r="17" spans="1:11">
      <c r="A17" s="2949" t="s">
        <v>3136</v>
      </c>
      <c r="B17" s="2949" t="s">
        <v>3073</v>
      </c>
      <c r="C17" s="2949" t="s">
        <v>3096</v>
      </c>
      <c r="D17" s="2949" t="s">
        <v>3097</v>
      </c>
      <c r="E17" s="2949">
        <v>83892.99</v>
      </c>
      <c r="F17" s="2949">
        <v>209732</v>
      </c>
      <c r="G17" s="2949">
        <v>2.5</v>
      </c>
      <c r="H17" s="2949" t="s">
        <v>3134</v>
      </c>
      <c r="I17" s="2949" t="s">
        <v>3137</v>
      </c>
      <c r="J17" s="2949">
        <v>277500</v>
      </c>
      <c r="K17" s="2949">
        <v>13231.17</v>
      </c>
    </row>
    <row r="18" spans="1:11">
      <c r="A18" s="2949" t="s">
        <v>3138</v>
      </c>
      <c r="B18" s="2949" t="s">
        <v>3073</v>
      </c>
      <c r="C18" s="2949" t="s">
        <v>3096</v>
      </c>
      <c r="D18" s="2949" t="s">
        <v>3097</v>
      </c>
      <c r="E18" s="2949">
        <v>23730.99</v>
      </c>
      <c r="F18" s="2949">
        <v>82887</v>
      </c>
      <c r="G18" s="2949">
        <v>3.49</v>
      </c>
      <c r="H18" s="2949" t="s">
        <v>3139</v>
      </c>
      <c r="I18" s="2949" t="s">
        <v>3140</v>
      </c>
      <c r="J18" s="2949">
        <v>95000</v>
      </c>
      <c r="K18" s="2949">
        <v>11461.38</v>
      </c>
    </row>
    <row r="19" spans="1:11">
      <c r="A19" s="2949" t="s">
        <v>3141</v>
      </c>
      <c r="B19" s="2949" t="s">
        <v>3073</v>
      </c>
      <c r="C19" s="2949" t="s">
        <v>3096</v>
      </c>
      <c r="D19" s="2949" t="s">
        <v>3097</v>
      </c>
      <c r="E19" s="2949">
        <v>27393.33</v>
      </c>
      <c r="F19" s="2949">
        <v>86217</v>
      </c>
      <c r="G19" s="2949">
        <v>3.15</v>
      </c>
      <c r="H19" s="2949" t="s">
        <v>3139</v>
      </c>
      <c r="I19" s="2949" t="s">
        <v>3142</v>
      </c>
      <c r="J19" s="2949">
        <v>136600</v>
      </c>
      <c r="K19" s="2949">
        <v>15843.73</v>
      </c>
    </row>
    <row r="20" spans="1:11">
      <c r="A20" s="2949" t="s">
        <v>3143</v>
      </c>
      <c r="B20" s="2949" t="s">
        <v>3073</v>
      </c>
      <c r="C20" s="2949" t="s">
        <v>3096</v>
      </c>
      <c r="D20" s="2949" t="s">
        <v>3144</v>
      </c>
      <c r="E20" s="2949">
        <v>255074.7</v>
      </c>
      <c r="F20" s="2949">
        <v>430883</v>
      </c>
      <c r="G20" s="2949">
        <v>1.69</v>
      </c>
      <c r="H20" s="2949" t="s">
        <v>3145</v>
      </c>
      <c r="I20" s="2949" t="s">
        <v>3146</v>
      </c>
      <c r="J20" s="2949">
        <v>451600</v>
      </c>
      <c r="K20" s="2949">
        <v>10480.790000000001</v>
      </c>
    </row>
    <row r="21" spans="1:11">
      <c r="A21" s="2949" t="s">
        <v>3147</v>
      </c>
      <c r="B21" s="2949" t="s">
        <v>3073</v>
      </c>
      <c r="C21" s="2949" t="s">
        <v>3096</v>
      </c>
      <c r="D21" s="2949" t="s">
        <v>3097</v>
      </c>
      <c r="E21" s="2949">
        <v>42900</v>
      </c>
      <c r="F21" s="2949">
        <v>156420</v>
      </c>
      <c r="G21" s="2949">
        <v>3.65</v>
      </c>
      <c r="H21" s="2949" t="s">
        <v>3148</v>
      </c>
      <c r="I21" s="2949" t="s">
        <v>3142</v>
      </c>
      <c r="J21" s="2949">
        <v>169400</v>
      </c>
      <c r="K21" s="2949">
        <v>10829.81</v>
      </c>
    </row>
    <row r="22" spans="1:11">
      <c r="A22" s="2949" t="s">
        <v>3149</v>
      </c>
      <c r="B22" s="2949" t="s">
        <v>3073</v>
      </c>
      <c r="C22" s="2949" t="s">
        <v>3107</v>
      </c>
      <c r="D22" s="2949" t="s">
        <v>3097</v>
      </c>
      <c r="E22" s="2949">
        <v>78813.75</v>
      </c>
      <c r="F22" s="2949">
        <v>82754</v>
      </c>
      <c r="G22" s="2949">
        <v>1.05</v>
      </c>
      <c r="H22" s="2949" t="s">
        <v>3150</v>
      </c>
      <c r="I22" s="2949" t="s">
        <v>3151</v>
      </c>
      <c r="J22" s="2949">
        <v>233000</v>
      </c>
      <c r="K22" s="2949">
        <v>28155.74</v>
      </c>
    </row>
    <row r="23" spans="1:11">
      <c r="A23" s="2949" t="s">
        <v>3152</v>
      </c>
      <c r="B23" s="2949" t="s">
        <v>3073</v>
      </c>
      <c r="C23" s="2949" t="s">
        <v>3096</v>
      </c>
      <c r="D23" s="2949" t="s">
        <v>3144</v>
      </c>
      <c r="E23" s="2949">
        <v>216360.2</v>
      </c>
      <c r="F23" s="2949">
        <v>471796</v>
      </c>
      <c r="G23" s="2949">
        <v>2.1800000000000002</v>
      </c>
      <c r="H23" s="2949" t="s">
        <v>3153</v>
      </c>
      <c r="I23" s="2949" t="s">
        <v>3154</v>
      </c>
      <c r="J23" s="2949">
        <v>488180</v>
      </c>
      <c r="K23" s="2949">
        <v>10347.27</v>
      </c>
    </row>
    <row r="24" spans="1:11">
      <c r="A24" s="2949" t="s">
        <v>3155</v>
      </c>
      <c r="B24" s="2949" t="s">
        <v>3073</v>
      </c>
      <c r="C24" s="2949" t="s">
        <v>3096</v>
      </c>
      <c r="D24" s="2949" t="s">
        <v>3144</v>
      </c>
      <c r="E24" s="2949">
        <v>68943.539999999994</v>
      </c>
      <c r="F24" s="2949">
        <v>202777</v>
      </c>
      <c r="G24" s="2949">
        <v>2.94</v>
      </c>
      <c r="H24" s="2949" t="s">
        <v>3156</v>
      </c>
      <c r="I24" s="2949" t="s">
        <v>3157</v>
      </c>
      <c r="J24" s="2949">
        <v>360770</v>
      </c>
      <c r="K24" s="2949">
        <v>17791.47</v>
      </c>
    </row>
    <row r="25" spans="1:11">
      <c r="A25" s="2949" t="s">
        <v>3158</v>
      </c>
      <c r="B25" s="2949" t="s">
        <v>3073</v>
      </c>
      <c r="C25" s="2949" t="s">
        <v>3096</v>
      </c>
      <c r="D25" s="2949" t="s">
        <v>3144</v>
      </c>
      <c r="E25" s="2949">
        <v>47446.64</v>
      </c>
      <c r="F25" s="2949">
        <v>178966</v>
      </c>
      <c r="G25" s="2949">
        <v>3.77</v>
      </c>
      <c r="H25" s="2949" t="s">
        <v>3156</v>
      </c>
      <c r="I25" s="2949" t="s">
        <v>3159</v>
      </c>
      <c r="J25" s="2949">
        <v>235000</v>
      </c>
      <c r="K25" s="2949">
        <v>13130.98</v>
      </c>
    </row>
    <row r="26" spans="1:11">
      <c r="A26" s="2949" t="s">
        <v>3160</v>
      </c>
      <c r="B26" s="2949" t="s">
        <v>3073</v>
      </c>
      <c r="C26" s="2949" t="s">
        <v>3096</v>
      </c>
      <c r="D26" s="2949" t="s">
        <v>3097</v>
      </c>
      <c r="E26" s="2949">
        <v>136680.29999999999</v>
      </c>
      <c r="F26" s="2949">
        <v>276965</v>
      </c>
      <c r="G26" s="2949">
        <v>2.0299999999999998</v>
      </c>
      <c r="H26" s="2949" t="s">
        <v>3161</v>
      </c>
      <c r="I26" s="2949" t="s">
        <v>3162</v>
      </c>
      <c r="J26" s="2949">
        <v>216000</v>
      </c>
      <c r="K26" s="2949">
        <v>7798.81</v>
      </c>
    </row>
    <row r="27" spans="1:11">
      <c r="A27" s="2949" t="s">
        <v>3163</v>
      </c>
      <c r="B27" s="2949" t="s">
        <v>3073</v>
      </c>
      <c r="C27" s="2949" t="s">
        <v>3096</v>
      </c>
      <c r="D27" s="2949" t="s">
        <v>3097</v>
      </c>
      <c r="E27" s="2949">
        <v>118111</v>
      </c>
      <c r="F27" s="2949">
        <v>288137</v>
      </c>
      <c r="G27" s="2949">
        <v>2.44</v>
      </c>
      <c r="H27" s="2949" t="s">
        <v>3164</v>
      </c>
      <c r="I27" s="2949" t="s">
        <v>3165</v>
      </c>
      <c r="J27" s="2949">
        <v>154800</v>
      </c>
      <c r="K27" s="2949">
        <v>5372.43</v>
      </c>
    </row>
    <row r="28" spans="1:11">
      <c r="A28" s="2949" t="s">
        <v>3166</v>
      </c>
      <c r="B28" s="2949" t="s">
        <v>3073</v>
      </c>
      <c r="C28" s="2949" t="s">
        <v>3107</v>
      </c>
      <c r="D28" s="2949" t="s">
        <v>3097</v>
      </c>
      <c r="E28" s="2949">
        <v>182569</v>
      </c>
      <c r="F28" s="2949">
        <v>511193</v>
      </c>
      <c r="G28" s="2949">
        <v>2.8</v>
      </c>
      <c r="H28" s="2949" t="s">
        <v>3167</v>
      </c>
      <c r="I28" s="2949" t="s">
        <v>3168</v>
      </c>
      <c r="J28" s="2949">
        <v>356000</v>
      </c>
      <c r="K28" s="2949">
        <v>6964.1</v>
      </c>
    </row>
    <row r="29" spans="1:11">
      <c r="A29" s="2949" t="s">
        <v>3169</v>
      </c>
      <c r="B29" s="2949" t="s">
        <v>3073</v>
      </c>
      <c r="C29" s="2949" t="s">
        <v>3096</v>
      </c>
      <c r="D29" s="2949" t="s">
        <v>3144</v>
      </c>
      <c r="E29" s="2949">
        <v>55300.86</v>
      </c>
      <c r="F29" s="2949">
        <v>177941</v>
      </c>
      <c r="G29" s="2949">
        <v>3.22</v>
      </c>
      <c r="H29" s="2949" t="s">
        <v>3170</v>
      </c>
      <c r="I29" s="2949" t="s">
        <v>3146</v>
      </c>
      <c r="J29" s="2949">
        <v>118800</v>
      </c>
      <c r="K29" s="2949">
        <v>6676.36</v>
      </c>
    </row>
    <row r="30" spans="1:11">
      <c r="A30" s="2949" t="s">
        <v>3171</v>
      </c>
      <c r="B30" s="2949" t="s">
        <v>3073</v>
      </c>
      <c r="C30" s="2949" t="s">
        <v>3096</v>
      </c>
      <c r="D30" s="2949" t="s">
        <v>3144</v>
      </c>
      <c r="E30" s="2949">
        <v>68833.649999999994</v>
      </c>
      <c r="F30" s="2949">
        <v>172084</v>
      </c>
      <c r="G30" s="2949">
        <v>2.5</v>
      </c>
      <c r="H30" s="2949" t="s">
        <v>3170</v>
      </c>
      <c r="I30" s="2949" t="s">
        <v>3172</v>
      </c>
      <c r="J30" s="2949">
        <v>105080</v>
      </c>
      <c r="K30" s="2949">
        <v>6106.31</v>
      </c>
    </row>
    <row r="31" spans="1:11">
      <c r="A31" s="2949" t="s">
        <v>3171</v>
      </c>
      <c r="B31" s="2949" t="s">
        <v>3073</v>
      </c>
      <c r="C31" s="2949" t="s">
        <v>3107</v>
      </c>
      <c r="D31" s="2949" t="s">
        <v>3097</v>
      </c>
      <c r="E31" s="2949">
        <v>68833.649999999994</v>
      </c>
      <c r="F31" s="2949">
        <v>172084</v>
      </c>
      <c r="G31" s="2949">
        <v>2.5</v>
      </c>
      <c r="H31" s="2949" t="s">
        <v>1331</v>
      </c>
      <c r="I31" s="2949" t="s">
        <v>1331</v>
      </c>
      <c r="J31" s="2949" t="s">
        <v>1331</v>
      </c>
      <c r="K31" s="2949" t="s">
        <v>1331</v>
      </c>
    </row>
    <row r="32" spans="1:11">
      <c r="A32" s="2949" t="s">
        <v>3173</v>
      </c>
      <c r="B32" s="2949" t="s">
        <v>3073</v>
      </c>
      <c r="C32" s="2949" t="s">
        <v>3096</v>
      </c>
      <c r="D32" s="2949" t="s">
        <v>3144</v>
      </c>
      <c r="E32" s="2949">
        <v>259387.5</v>
      </c>
      <c r="F32" s="2949">
        <v>516351</v>
      </c>
      <c r="G32" s="2949">
        <v>2</v>
      </c>
      <c r="H32" s="2949" t="s">
        <v>3174</v>
      </c>
      <c r="I32" s="2949" t="s">
        <v>3175</v>
      </c>
      <c r="J32" s="2949">
        <v>470000</v>
      </c>
      <c r="K32" s="2949">
        <v>9102.34</v>
      </c>
    </row>
    <row r="33" spans="1:11">
      <c r="A33" s="2949" t="s">
        <v>3176</v>
      </c>
      <c r="B33" s="2949" t="s">
        <v>3073</v>
      </c>
      <c r="C33" s="2949" t="s">
        <v>3096</v>
      </c>
      <c r="D33" s="2949" t="s">
        <v>3097</v>
      </c>
      <c r="E33" s="2949">
        <v>76854</v>
      </c>
      <c r="F33" s="2949">
        <v>169079</v>
      </c>
      <c r="G33" s="2949">
        <v>2.2000000000000002</v>
      </c>
      <c r="H33" s="2949" t="s">
        <v>3177</v>
      </c>
      <c r="I33" s="2949" t="s">
        <v>3178</v>
      </c>
      <c r="J33" s="2949">
        <v>80000</v>
      </c>
      <c r="K33" s="2949">
        <v>4731.5200000000004</v>
      </c>
    </row>
    <row r="34" spans="1:11">
      <c r="A34" s="2949" t="s">
        <v>3179</v>
      </c>
      <c r="B34" s="2949" t="s">
        <v>3073</v>
      </c>
      <c r="C34" s="2949" t="s">
        <v>3096</v>
      </c>
      <c r="D34" s="2949" t="s">
        <v>3097</v>
      </c>
      <c r="E34" s="2949">
        <v>76674</v>
      </c>
      <c r="F34" s="2949">
        <v>175155</v>
      </c>
      <c r="G34" s="2949">
        <v>2.2799999999999998</v>
      </c>
      <c r="H34" s="2949" t="s">
        <v>3180</v>
      </c>
      <c r="I34" s="2949" t="s">
        <v>3181</v>
      </c>
      <c r="J34" s="2949">
        <v>128000</v>
      </c>
      <c r="K34" s="2949">
        <v>7307.81</v>
      </c>
    </row>
    <row r="35" spans="1:11">
      <c r="A35" s="2949" t="s">
        <v>3182</v>
      </c>
      <c r="B35" s="2949" t="s">
        <v>3073</v>
      </c>
      <c r="C35" s="2949" t="s">
        <v>3096</v>
      </c>
      <c r="D35" s="2949" t="s">
        <v>3097</v>
      </c>
      <c r="E35" s="2949">
        <v>143386</v>
      </c>
      <c r="F35" s="2949">
        <v>308589</v>
      </c>
      <c r="G35" s="2949">
        <v>2.15</v>
      </c>
      <c r="H35" s="2949" t="s">
        <v>3183</v>
      </c>
      <c r="I35" s="2949" t="s">
        <v>3184</v>
      </c>
      <c r="J35" s="2949">
        <v>160000</v>
      </c>
      <c r="K35" s="2949">
        <v>5184.8900000000003</v>
      </c>
    </row>
    <row r="36" spans="1:11">
      <c r="A36" s="2949" t="s">
        <v>3185</v>
      </c>
      <c r="B36" s="2949" t="s">
        <v>3073</v>
      </c>
      <c r="C36" s="2949" t="s">
        <v>3107</v>
      </c>
      <c r="D36" s="2949" t="s">
        <v>3097</v>
      </c>
      <c r="E36" s="2949">
        <v>59091</v>
      </c>
      <c r="F36" s="2949">
        <v>147728</v>
      </c>
      <c r="G36" s="2949">
        <v>2.5</v>
      </c>
      <c r="H36" s="2949" t="s">
        <v>1331</v>
      </c>
      <c r="I36" s="2949" t="s">
        <v>1331</v>
      </c>
      <c r="J36" s="2949" t="s">
        <v>1331</v>
      </c>
      <c r="K36" s="2949" t="s">
        <v>1331</v>
      </c>
    </row>
    <row r="37" spans="1:11">
      <c r="A37" s="2949" t="s">
        <v>3176</v>
      </c>
      <c r="B37" s="2949" t="s">
        <v>3073</v>
      </c>
      <c r="C37" s="2949" t="s">
        <v>3107</v>
      </c>
      <c r="D37" s="2949" t="s">
        <v>3097</v>
      </c>
      <c r="E37" s="2949">
        <v>76854</v>
      </c>
      <c r="F37" s="2949">
        <v>169079</v>
      </c>
      <c r="G37" s="2949">
        <v>2.2000000000000002</v>
      </c>
      <c r="H37" s="2949" t="s">
        <v>1331</v>
      </c>
      <c r="I37" s="2949" t="s">
        <v>1331</v>
      </c>
      <c r="J37" s="2949" t="s">
        <v>1331</v>
      </c>
      <c r="K37" s="2949" t="s">
        <v>1331</v>
      </c>
    </row>
    <row r="38" spans="1:11">
      <c r="A38" s="2949" t="s">
        <v>3186</v>
      </c>
      <c r="B38" s="2949" t="s">
        <v>3073</v>
      </c>
      <c r="C38" s="2949" t="s">
        <v>3107</v>
      </c>
      <c r="D38" s="2949" t="s">
        <v>3097</v>
      </c>
      <c r="E38" s="2949">
        <v>103642</v>
      </c>
      <c r="F38" s="2949">
        <v>259105</v>
      </c>
      <c r="G38" s="2949">
        <v>2.5</v>
      </c>
      <c r="H38" s="2949" t="s">
        <v>1331</v>
      </c>
      <c r="I38" s="2949" t="s">
        <v>1331</v>
      </c>
      <c r="J38" s="2949" t="s">
        <v>1331</v>
      </c>
      <c r="K38" s="2949" t="s">
        <v>1331</v>
      </c>
    </row>
    <row r="39" spans="1:11">
      <c r="A39" s="2949" t="s">
        <v>3187</v>
      </c>
      <c r="B39" s="2949" t="s">
        <v>3073</v>
      </c>
      <c r="C39" s="2949" t="s">
        <v>3107</v>
      </c>
      <c r="D39" s="2949" t="s">
        <v>3144</v>
      </c>
      <c r="E39" s="2949">
        <v>57753</v>
      </c>
      <c r="F39" s="2949">
        <v>115506</v>
      </c>
      <c r="G39" s="2949">
        <v>2</v>
      </c>
      <c r="H39" s="2949" t="s">
        <v>3216</v>
      </c>
      <c r="I39" s="2949" t="s">
        <v>3188</v>
      </c>
      <c r="J39" s="2949">
        <v>88020</v>
      </c>
      <c r="K39" s="2949">
        <v>7620.38</v>
      </c>
    </row>
    <row r="40" spans="1:11">
      <c r="A40" s="2949" t="s">
        <v>3189</v>
      </c>
      <c r="B40" s="2949" t="s">
        <v>3073</v>
      </c>
      <c r="C40" s="2949" t="s">
        <v>3107</v>
      </c>
      <c r="D40" s="2949" t="s">
        <v>3144</v>
      </c>
      <c r="E40" s="2949">
        <v>63940.42</v>
      </c>
      <c r="F40" s="2949">
        <v>95911</v>
      </c>
      <c r="G40" s="2949">
        <v>1.5</v>
      </c>
      <c r="H40" s="2949" t="s">
        <v>3217</v>
      </c>
      <c r="I40" s="2949" t="s">
        <v>3190</v>
      </c>
      <c r="J40" s="2949">
        <v>95910</v>
      </c>
      <c r="K40" s="2949">
        <v>9999.89</v>
      </c>
    </row>
    <row r="41" spans="1:11">
      <c r="A41" s="2949" t="s">
        <v>3191</v>
      </c>
      <c r="B41" s="2949" t="s">
        <v>3073</v>
      </c>
      <c r="C41" s="2949" t="s">
        <v>3096</v>
      </c>
      <c r="D41" s="2949" t="s">
        <v>3144</v>
      </c>
      <c r="E41" s="2949">
        <v>107749</v>
      </c>
      <c r="F41" s="2949">
        <v>237048</v>
      </c>
      <c r="G41" s="2949">
        <v>2.2000000000000002</v>
      </c>
      <c r="H41" s="2949" t="s">
        <v>3217</v>
      </c>
      <c r="I41" s="2949" t="s">
        <v>3192</v>
      </c>
      <c r="J41" s="2949">
        <v>172570.89</v>
      </c>
      <c r="K41" s="2949">
        <v>7280</v>
      </c>
    </row>
    <row r="42" spans="1:11">
      <c r="A42" s="2949" t="s">
        <v>3193</v>
      </c>
      <c r="B42" s="2949" t="s">
        <v>3073</v>
      </c>
      <c r="C42" s="2949" t="s">
        <v>3096</v>
      </c>
      <c r="D42" s="2949" t="s">
        <v>3144</v>
      </c>
      <c r="E42" s="2949">
        <v>113707.5</v>
      </c>
      <c r="F42" s="2949">
        <v>136449</v>
      </c>
      <c r="G42" s="2949">
        <v>1.2</v>
      </c>
      <c r="H42" s="2949" t="s">
        <v>3217</v>
      </c>
      <c r="I42" s="2949" t="s">
        <v>3194</v>
      </c>
      <c r="J42" s="2949">
        <v>123800</v>
      </c>
      <c r="K42" s="2949">
        <v>9072.98</v>
      </c>
    </row>
    <row r="43" spans="1:11">
      <c r="A43" s="2949" t="s">
        <v>3195</v>
      </c>
      <c r="B43" s="2949" t="s">
        <v>3073</v>
      </c>
      <c r="C43" s="2949" t="s">
        <v>3096</v>
      </c>
      <c r="D43" s="2949" t="s">
        <v>3144</v>
      </c>
      <c r="E43" s="2949">
        <v>54942.31</v>
      </c>
      <c r="F43" s="2949">
        <v>104004.6</v>
      </c>
      <c r="G43" s="2949">
        <v>1.89</v>
      </c>
      <c r="H43" s="2949" t="s">
        <v>3218</v>
      </c>
      <c r="I43" s="2949" t="s">
        <v>3197</v>
      </c>
      <c r="J43" s="2949">
        <v>29026</v>
      </c>
      <c r="K43" s="2949">
        <v>2790.84</v>
      </c>
    </row>
    <row r="44" spans="1:11">
      <c r="A44" s="2949" t="s">
        <v>3198</v>
      </c>
      <c r="B44" s="2949" t="s">
        <v>3073</v>
      </c>
      <c r="C44" s="2949" t="s">
        <v>3107</v>
      </c>
      <c r="D44" s="2949" t="s">
        <v>3144</v>
      </c>
      <c r="E44" s="2949">
        <v>48560</v>
      </c>
      <c r="F44" s="2949">
        <v>106832</v>
      </c>
      <c r="G44" s="2949">
        <v>2.2000000000000002</v>
      </c>
      <c r="H44" s="2949" t="s">
        <v>3196</v>
      </c>
      <c r="I44" s="2949" t="s">
        <v>3199</v>
      </c>
      <c r="J44" s="2949">
        <v>32266</v>
      </c>
      <c r="K44" s="2949">
        <v>3020.26</v>
      </c>
    </row>
    <row r="45" spans="1:11">
      <c r="A45" s="2949" t="s">
        <v>3200</v>
      </c>
      <c r="B45" s="2949" t="s">
        <v>3073</v>
      </c>
      <c r="C45" s="2949" t="s">
        <v>3096</v>
      </c>
      <c r="D45" s="2949" t="s">
        <v>3097</v>
      </c>
      <c r="E45" s="2949">
        <v>137090</v>
      </c>
      <c r="F45" s="2949">
        <v>364613</v>
      </c>
      <c r="G45" s="2949">
        <v>2.66</v>
      </c>
      <c r="H45" s="2949" t="s">
        <v>3201</v>
      </c>
      <c r="I45" s="2949" t="s">
        <v>3202</v>
      </c>
      <c r="J45" s="2949">
        <v>211000</v>
      </c>
      <c r="K45" s="2949">
        <v>5786.96</v>
      </c>
    </row>
    <row r="46" spans="1:11">
      <c r="A46" s="2949" t="s">
        <v>3203</v>
      </c>
      <c r="B46" s="2949" t="s">
        <v>3073</v>
      </c>
      <c r="C46" s="2949" t="s">
        <v>3107</v>
      </c>
      <c r="D46" s="2949" t="s">
        <v>3144</v>
      </c>
      <c r="E46" s="2949">
        <v>68917</v>
      </c>
      <c r="F46" s="2949">
        <v>192967</v>
      </c>
      <c r="G46" s="2949">
        <v>2.8</v>
      </c>
      <c r="H46" s="2949" t="s">
        <v>3219</v>
      </c>
      <c r="I46" s="2949" t="s">
        <v>3204</v>
      </c>
      <c r="J46" s="2949">
        <v>128000</v>
      </c>
      <c r="K46" s="2949">
        <v>6633.26</v>
      </c>
    </row>
    <row r="47" spans="1:11">
      <c r="A47" s="2949" t="s">
        <v>3200</v>
      </c>
      <c r="B47" s="2949" t="s">
        <v>3073</v>
      </c>
      <c r="C47" s="2949" t="s">
        <v>3096</v>
      </c>
      <c r="D47" s="2949" t="s">
        <v>3144</v>
      </c>
      <c r="E47" s="2949">
        <v>137090</v>
      </c>
      <c r="F47" s="2949">
        <v>364613</v>
      </c>
      <c r="G47" s="2949" t="s">
        <v>1331</v>
      </c>
      <c r="H47" s="2949" t="s">
        <v>3220</v>
      </c>
      <c r="I47" s="2949" t="s">
        <v>1331</v>
      </c>
      <c r="J47" s="2949" t="s">
        <v>1331</v>
      </c>
      <c r="K47" s="2949" t="s">
        <v>1331</v>
      </c>
    </row>
    <row r="48" spans="1:11">
      <c r="A48" s="2949" t="s">
        <v>3205</v>
      </c>
      <c r="B48" s="2949" t="s">
        <v>3073</v>
      </c>
      <c r="C48" s="2949" t="s">
        <v>3096</v>
      </c>
      <c r="D48" s="2949" t="s">
        <v>3144</v>
      </c>
      <c r="E48" s="2949">
        <v>28125</v>
      </c>
      <c r="F48" s="2949">
        <v>70313</v>
      </c>
      <c r="G48" s="2949" t="s">
        <v>1331</v>
      </c>
      <c r="H48" s="2949" t="s">
        <v>3206</v>
      </c>
      <c r="I48" s="2949" t="s">
        <v>3207</v>
      </c>
      <c r="J48" s="2949">
        <v>33750.230000000003</v>
      </c>
      <c r="K48" s="2949">
        <v>4800</v>
      </c>
    </row>
    <row r="49" spans="1:11">
      <c r="A49" s="2949" t="s">
        <v>3208</v>
      </c>
      <c r="B49" s="2949" t="s">
        <v>3073</v>
      </c>
      <c r="C49" s="2949" t="s">
        <v>3096</v>
      </c>
      <c r="D49" s="2949" t="s">
        <v>3144</v>
      </c>
      <c r="E49" s="2949">
        <v>156479</v>
      </c>
      <c r="F49" s="2949">
        <v>234719</v>
      </c>
      <c r="G49" s="2949" t="s">
        <v>1331</v>
      </c>
      <c r="H49" s="2949" t="s">
        <v>3209</v>
      </c>
      <c r="I49" s="2949" t="s">
        <v>3210</v>
      </c>
      <c r="J49" s="2949">
        <v>180733</v>
      </c>
      <c r="K49" s="2949">
        <v>7699.97</v>
      </c>
    </row>
    <row r="50" spans="1:11">
      <c r="A50" s="2949" t="s">
        <v>3211</v>
      </c>
      <c r="B50" s="2949" t="s">
        <v>3073</v>
      </c>
      <c r="C50" s="2949" t="s">
        <v>3096</v>
      </c>
      <c r="D50" s="2949" t="s">
        <v>3097</v>
      </c>
      <c r="E50" s="2949">
        <v>152307</v>
      </c>
      <c r="F50" s="2949">
        <v>152307</v>
      </c>
      <c r="G50" s="2949" t="s">
        <v>1331</v>
      </c>
      <c r="H50" s="2949" t="s">
        <v>3221</v>
      </c>
      <c r="I50" s="2949" t="s">
        <v>3212</v>
      </c>
      <c r="J50" s="2949">
        <v>230000</v>
      </c>
      <c r="K50" s="2949">
        <v>15101.07</v>
      </c>
    </row>
    <row r="51" spans="1:11">
      <c r="A51" s="2949" t="s">
        <v>3213</v>
      </c>
      <c r="B51" s="2949" t="s">
        <v>3073</v>
      </c>
      <c r="C51" s="2949" t="s">
        <v>3096</v>
      </c>
      <c r="D51" s="2949" t="s">
        <v>3097</v>
      </c>
      <c r="E51" s="2949">
        <v>34702.080000000002</v>
      </c>
      <c r="F51" s="2949">
        <v>69404.149999999994</v>
      </c>
      <c r="G51" s="2949" t="s">
        <v>1331</v>
      </c>
      <c r="H51" s="2949" t="s">
        <v>3221</v>
      </c>
      <c r="I51" s="2949" t="s">
        <v>3214</v>
      </c>
      <c r="J51" s="2949">
        <v>29000</v>
      </c>
      <c r="K51" s="2949">
        <v>4178.42</v>
      </c>
    </row>
  </sheetData>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9" t="s">
        <v>2641</v>
      </c>
      <c r="D4" s="3210"/>
      <c r="E4" s="3211" t="s">
        <v>2642</v>
      </c>
      <c r="F4" s="3212"/>
      <c r="G4" s="3209" t="s">
        <v>2643</v>
      </c>
      <c r="H4" s="3210"/>
      <c r="I4" s="3209" t="s">
        <v>2644</v>
      </c>
      <c r="J4" s="3210"/>
      <c r="K4" s="609" t="s">
        <v>2645</v>
      </c>
      <c r="L4" s="1132"/>
      <c r="M4" s="1133"/>
      <c r="N4" s="1133"/>
      <c r="O4" s="1133"/>
      <c r="P4" s="3213" t="s">
        <v>2646</v>
      </c>
      <c r="Q4" s="3214"/>
      <c r="R4" s="3219" t="s">
        <v>2642</v>
      </c>
      <c r="S4" s="3220"/>
      <c r="T4" s="3219" t="s">
        <v>2643</v>
      </c>
      <c r="U4" s="3220"/>
      <c r="V4" s="3225" t="s">
        <v>2644</v>
      </c>
      <c r="W4" s="3225"/>
      <c r="X4" s="1814"/>
      <c r="Y4" s="3219" t="s">
        <v>2646</v>
      </c>
      <c r="Z4" s="3220"/>
      <c r="AA4" s="3206" t="s">
        <v>2642</v>
      </c>
      <c r="AB4" s="3207" t="s">
        <v>2643</v>
      </c>
      <c r="AC4" s="3206" t="s">
        <v>2644</v>
      </c>
    </row>
    <row r="5" spans="1:29" ht="15">
      <c r="A5" s="403"/>
      <c r="B5" s="404"/>
      <c r="C5" s="3240" t="s">
        <v>2537</v>
      </c>
      <c r="D5" s="3229"/>
      <c r="E5" s="3242" t="s">
        <v>2538</v>
      </c>
      <c r="F5" s="3239"/>
      <c r="G5" s="3240" t="s">
        <v>2539</v>
      </c>
      <c r="H5" s="3229"/>
      <c r="I5" s="3240" t="s">
        <v>2540</v>
      </c>
      <c r="J5" s="3229"/>
      <c r="K5" s="609"/>
      <c r="L5" s="1132"/>
      <c r="M5" s="1133"/>
      <c r="N5" s="1133"/>
      <c r="O5" s="1133"/>
      <c r="P5" s="3215"/>
      <c r="Q5" s="3216"/>
      <c r="R5" s="3221"/>
      <c r="S5" s="3222"/>
      <c r="T5" s="3221"/>
      <c r="U5" s="3222"/>
      <c r="V5" s="3225"/>
      <c r="W5" s="3225"/>
      <c r="X5" s="1814"/>
      <c r="Y5" s="3221"/>
      <c r="Z5" s="3222"/>
      <c r="AA5" s="3207"/>
      <c r="AB5" s="3207"/>
      <c r="AC5" s="3207"/>
    </row>
    <row r="6" spans="1:29" ht="15.75" thickBot="1">
      <c r="A6" s="405"/>
      <c r="B6" s="406"/>
      <c r="C6" s="3265" t="s">
        <v>2792</v>
      </c>
      <c r="D6" s="3266"/>
      <c r="E6" s="3267" t="s">
        <v>2792</v>
      </c>
      <c r="F6" s="3268"/>
      <c r="G6" s="3265" t="s">
        <v>2792</v>
      </c>
      <c r="H6" s="3266"/>
      <c r="I6" s="3265" t="s">
        <v>2792</v>
      </c>
      <c r="J6" s="3266"/>
      <c r="K6" s="609" t="s">
        <v>2542</v>
      </c>
      <c r="L6" s="1132"/>
      <c r="M6" s="1133"/>
      <c r="N6" s="1133"/>
      <c r="O6" s="1133"/>
      <c r="P6" s="3217"/>
      <c r="Q6" s="3218"/>
      <c r="R6" s="3221"/>
      <c r="S6" s="3222"/>
      <c r="T6" s="3223"/>
      <c r="U6" s="3224"/>
      <c r="V6" s="3225"/>
      <c r="W6" s="3225"/>
      <c r="X6" s="1814"/>
      <c r="Y6" s="3223"/>
      <c r="Z6" s="3224"/>
      <c r="AA6" s="3208"/>
      <c r="AB6" s="3208"/>
      <c r="AC6" s="3208"/>
    </row>
    <row r="7" spans="1:29" s="116" customFormat="1" ht="15.75" thickBot="1">
      <c r="A7" s="407" t="s">
        <v>2543</v>
      </c>
      <c r="B7" s="408"/>
      <c r="C7" s="409">
        <f>'数据-取费表'!B2</f>
        <v>43165</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30" t="s">
        <v>2544</v>
      </c>
      <c r="Q7" s="3232"/>
      <c r="R7" s="769" t="s">
        <v>17</v>
      </c>
      <c r="S7" s="770">
        <f t="shared" ref="S7:S15" si="0">F7</f>
        <v>0</v>
      </c>
      <c r="T7" s="769" t="s">
        <v>17</v>
      </c>
      <c r="U7" s="770">
        <f t="shared" ref="U7:U15" si="1">H7</f>
        <v>0</v>
      </c>
      <c r="V7" s="769" t="s">
        <v>17</v>
      </c>
      <c r="W7" s="770">
        <f t="shared" ref="W7:W15" si="2">J7</f>
        <v>0</v>
      </c>
      <c r="X7" s="771"/>
      <c r="Y7" s="3230" t="s">
        <v>2544</v>
      </c>
      <c r="Z7" s="3231"/>
      <c r="AA7" s="772" t="e">
        <f>D7/F7</f>
        <v>#DIV/0!</v>
      </c>
      <c r="AB7" s="772" t="e">
        <f>D7/H7</f>
        <v>#DIV/0!</v>
      </c>
      <c r="AC7" s="772"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0" t="s">
        <v>2547</v>
      </c>
      <c r="Q8" s="3231"/>
      <c r="R8" s="769" t="s">
        <v>17</v>
      </c>
      <c r="S8" s="770">
        <f t="shared" si="0"/>
        <v>0</v>
      </c>
      <c r="T8" s="769" t="s">
        <v>17</v>
      </c>
      <c r="U8" s="770">
        <f t="shared" si="1"/>
        <v>0</v>
      </c>
      <c r="V8" s="769" t="s">
        <v>17</v>
      </c>
      <c r="W8" s="770">
        <f t="shared" si="2"/>
        <v>0</v>
      </c>
      <c r="X8" s="771"/>
      <c r="Y8" s="3230" t="s">
        <v>2547</v>
      </c>
      <c r="Z8" s="3231"/>
      <c r="AA8" s="772" t="e">
        <f t="shared" ref="AA8:AA40" si="3">D8/F8</f>
        <v>#DIV/0!</v>
      </c>
      <c r="AB8" s="772" t="e">
        <f t="shared" ref="AB8:AB40" si="4">D8/H8</f>
        <v>#DIV/0!</v>
      </c>
      <c r="AC8" s="772" t="e">
        <f t="shared" ref="AC8:AC40" si="5">D8/J8</f>
        <v>#DIV/0!</v>
      </c>
    </row>
    <row r="9" spans="1:29" s="116" customFormat="1">
      <c r="A9" s="414" t="s">
        <v>2548</v>
      </c>
      <c r="B9" s="71" t="s">
        <v>2549</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194" t="s">
        <v>2550</v>
      </c>
      <c r="Q9" s="1796" t="str">
        <f t="shared" ref="Q9:Q15" si="6">B9</f>
        <v>用途</v>
      </c>
      <c r="R9" s="769" t="s">
        <v>17</v>
      </c>
      <c r="S9" s="770">
        <f t="shared" si="0"/>
        <v>100</v>
      </c>
      <c r="T9" s="769" t="s">
        <v>17</v>
      </c>
      <c r="U9" s="770">
        <f t="shared" si="1"/>
        <v>100</v>
      </c>
      <c r="V9" s="769" t="s">
        <v>17</v>
      </c>
      <c r="W9" s="770">
        <f t="shared" si="2"/>
        <v>100</v>
      </c>
      <c r="X9" s="771"/>
      <c r="Y9" s="3019" t="s">
        <v>2551</v>
      </c>
      <c r="Z9" s="55" t="str">
        <f t="shared" ref="Z9:Z15" si="7">Q9</f>
        <v>用途</v>
      </c>
      <c r="AA9" s="772">
        <f t="shared" si="3"/>
        <v>1</v>
      </c>
      <c r="AB9" s="772">
        <f t="shared" si="4"/>
        <v>1</v>
      </c>
      <c r="AC9" s="772">
        <f t="shared" si="5"/>
        <v>1</v>
      </c>
    </row>
    <row r="10" spans="1:29" s="426" customFormat="1" ht="27">
      <c r="A10" s="420"/>
      <c r="B10" s="421" t="s">
        <v>2552</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194"/>
      <c r="Q10" s="1796" t="str">
        <f t="shared" si="6"/>
        <v>土地使用年限（年）</v>
      </c>
      <c r="R10" s="769" t="s">
        <v>17</v>
      </c>
      <c r="S10" s="770">
        <f t="shared" si="0"/>
        <v>101</v>
      </c>
      <c r="T10" s="769" t="s">
        <v>17</v>
      </c>
      <c r="U10" s="770">
        <f t="shared" si="1"/>
        <v>101</v>
      </c>
      <c r="V10" s="769" t="s">
        <v>17</v>
      </c>
      <c r="W10" s="770">
        <f t="shared" si="2"/>
        <v>101</v>
      </c>
      <c r="X10" s="771"/>
      <c r="Y10" s="3019"/>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39" t="s">
        <v>2554</v>
      </c>
      <c r="B15" s="628" t="s">
        <v>2793</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6" t="s">
        <v>2555</v>
      </c>
      <c r="Q15" s="1811" t="str">
        <f t="shared" si="6"/>
        <v>产业集聚程度</v>
      </c>
      <c r="R15" s="773" t="s">
        <v>17</v>
      </c>
      <c r="S15" s="774">
        <f t="shared" si="0"/>
        <v>100</v>
      </c>
      <c r="T15" s="773" t="s">
        <v>17</v>
      </c>
      <c r="U15" s="774">
        <f t="shared" si="1"/>
        <v>100</v>
      </c>
      <c r="V15" s="773" t="s">
        <v>17</v>
      </c>
      <c r="W15" s="774">
        <f t="shared" si="2"/>
        <v>100</v>
      </c>
      <c r="X15" s="1814"/>
      <c r="Y15" s="3196" t="s">
        <v>2555</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2"/>
      <c r="M16" s="1133"/>
      <c r="N16" s="1133"/>
      <c r="O16" s="1141"/>
      <c r="P16" s="3197"/>
      <c r="Q16" s="1811"/>
      <c r="R16" s="773"/>
      <c r="S16" s="774"/>
      <c r="T16" s="773"/>
      <c r="U16" s="774"/>
      <c r="V16" s="773"/>
      <c r="W16" s="774"/>
      <c r="X16" s="1814"/>
      <c r="Y16" s="3197"/>
      <c r="Z16" s="1815"/>
      <c r="AA16" s="1812">
        <v>1</v>
      </c>
      <c r="AB16" s="1812">
        <v>1</v>
      </c>
      <c r="AC16" s="1812">
        <v>1</v>
      </c>
    </row>
    <row r="17" spans="1:29" ht="85.5">
      <c r="A17" s="427"/>
      <c r="B17" s="630" t="s">
        <v>2704</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7"/>
      <c r="Q17" s="1811" t="str">
        <f>B17</f>
        <v>交通便捷度</v>
      </c>
      <c r="R17" s="773" t="s">
        <v>17</v>
      </c>
      <c r="S17" s="774">
        <f>F17</f>
        <v>100</v>
      </c>
      <c r="T17" s="773" t="s">
        <v>17</v>
      </c>
      <c r="U17" s="774">
        <f>H17</f>
        <v>100</v>
      </c>
      <c r="V17" s="773" t="s">
        <v>17</v>
      </c>
      <c r="W17" s="774">
        <f>J17</f>
        <v>100</v>
      </c>
      <c r="X17" s="1814"/>
      <c r="Y17" s="3197"/>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2"/>
      <c r="M18" s="1133"/>
      <c r="N18" s="1133"/>
      <c r="O18" s="1141"/>
      <c r="P18" s="3197"/>
      <c r="Q18" s="1811"/>
      <c r="R18" s="773"/>
      <c r="S18" s="774"/>
      <c r="T18" s="773"/>
      <c r="U18" s="774"/>
      <c r="V18" s="773"/>
      <c r="W18" s="774"/>
      <c r="X18" s="1814"/>
      <c r="Y18" s="3197"/>
      <c r="Z18" s="1815"/>
      <c r="AA18" s="1812">
        <v>1</v>
      </c>
      <c r="AB18" s="1812">
        <v>1</v>
      </c>
      <c r="AC18" s="1812">
        <v>1</v>
      </c>
    </row>
    <row r="19" spans="1:29" ht="15">
      <c r="A19" s="427"/>
      <c r="B19" s="630" t="s">
        <v>2743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7"/>
      <c r="Q19" s="1811" t="str">
        <f t="shared" ref="Q19:Q33" si="8">B19</f>
        <v>区域土地利用方向</v>
      </c>
      <c r="R19" s="773" t="s">
        <v>17</v>
      </c>
      <c r="S19" s="774">
        <f>F19</f>
        <v>100</v>
      </c>
      <c r="T19" s="773" t="s">
        <v>17</v>
      </c>
      <c r="U19" s="774">
        <f>H19</f>
        <v>100</v>
      </c>
      <c r="V19" s="773" t="s">
        <v>17</v>
      </c>
      <c r="W19" s="774">
        <f>J19</f>
        <v>100</v>
      </c>
      <c r="X19" s="1814"/>
      <c r="Y19" s="3197"/>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2"/>
      <c r="M20" s="1133"/>
      <c r="N20" s="1133"/>
      <c r="O20" s="1141"/>
      <c r="P20" s="3197"/>
      <c r="Q20" s="1811"/>
      <c r="R20" s="773"/>
      <c r="S20" s="774"/>
      <c r="T20" s="773"/>
      <c r="U20" s="774"/>
      <c r="V20" s="773"/>
      <c r="W20" s="774"/>
      <c r="X20" s="1814"/>
      <c r="Y20" s="3197"/>
      <c r="Z20" s="1815"/>
      <c r="AA20" s="1812"/>
      <c r="AB20" s="1812"/>
      <c r="AC20" s="1812"/>
    </row>
    <row r="21" spans="1:29" ht="71.25">
      <c r="A21" s="403"/>
      <c r="B21" s="630" t="s">
        <v>2794</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7"/>
      <c r="Q21" s="1811" t="str">
        <f t="shared" si="8"/>
        <v>环境状况</v>
      </c>
      <c r="R21" s="773" t="s">
        <v>17</v>
      </c>
      <c r="S21" s="774">
        <f>F21</f>
        <v>100</v>
      </c>
      <c r="T21" s="773" t="s">
        <v>17</v>
      </c>
      <c r="U21" s="774">
        <f>H21</f>
        <v>100</v>
      </c>
      <c r="V21" s="773" t="s">
        <v>17</v>
      </c>
      <c r="W21" s="774">
        <f>J21</f>
        <v>100</v>
      </c>
      <c r="X21" s="1814"/>
      <c r="Y21" s="3197"/>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2"/>
      <c r="M22" s="1133"/>
      <c r="N22" s="1133"/>
      <c r="O22" s="1141"/>
      <c r="P22" s="3197"/>
      <c r="Q22" s="1811"/>
      <c r="R22" s="773"/>
      <c r="S22" s="774"/>
      <c r="T22" s="773"/>
      <c r="U22" s="774"/>
      <c r="V22" s="773"/>
      <c r="W22" s="774"/>
      <c r="X22" s="1814"/>
      <c r="Y22" s="3197"/>
      <c r="Z22" s="1815"/>
      <c r="AA22" s="1812">
        <v>1</v>
      </c>
      <c r="AB22" s="1812">
        <v>1</v>
      </c>
      <c r="AC22" s="1812">
        <v>1</v>
      </c>
    </row>
    <row r="23" spans="1:29" s="116" customFormat="1" ht="42.75">
      <c r="A23" s="648"/>
      <c r="B23" s="632" t="s">
        <v>2649</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7"/>
      <c r="Q23" s="1796" t="str">
        <f t="shared" si="8"/>
        <v>公共配套设施</v>
      </c>
      <c r="R23" s="769" t="s">
        <v>17</v>
      </c>
      <c r="S23" s="770">
        <f>F23</f>
        <v>100</v>
      </c>
      <c r="T23" s="769" t="s">
        <v>17</v>
      </c>
      <c r="U23" s="770">
        <f>H23</f>
        <v>100</v>
      </c>
      <c r="V23" s="769" t="s">
        <v>17</v>
      </c>
      <c r="W23" s="770">
        <f>J23</f>
        <v>100</v>
      </c>
      <c r="X23" s="771"/>
      <c r="Y23" s="3197"/>
      <c r="Z23" s="55" t="str">
        <f>Q23</f>
        <v>公共配套设施</v>
      </c>
      <c r="AA23" s="1812">
        <f>D23/F23</f>
        <v>1</v>
      </c>
      <c r="AB23" s="1812">
        <f>D23/H23</f>
        <v>1</v>
      </c>
      <c r="AC23" s="1812">
        <f>D23/J23</f>
        <v>1</v>
      </c>
    </row>
    <row r="24" spans="1:29" s="116" customFormat="1" ht="15">
      <c r="A24" s="648"/>
      <c r="B24" s="631"/>
      <c r="C24" s="2700"/>
      <c r="D24" s="447"/>
      <c r="E24" s="2612"/>
      <c r="F24" s="447"/>
      <c r="G24" s="2612"/>
      <c r="H24" s="447"/>
      <c r="I24" s="446"/>
      <c r="J24" s="447"/>
      <c r="K24" s="671"/>
      <c r="L24" s="1134"/>
      <c r="M24" s="1135"/>
      <c r="N24" s="1135"/>
      <c r="O24" s="1136"/>
      <c r="P24" s="3197"/>
      <c r="Q24" s="1796"/>
      <c r="R24" s="769"/>
      <c r="S24" s="770"/>
      <c r="T24" s="769"/>
      <c r="U24" s="770"/>
      <c r="V24" s="769"/>
      <c r="W24" s="770"/>
      <c r="X24" s="771"/>
      <c r="Y24" s="3197"/>
      <c r="Z24" s="55"/>
      <c r="AA24" s="772">
        <v>1</v>
      </c>
      <c r="AB24" s="772">
        <v>1</v>
      </c>
      <c r="AC24" s="772">
        <v>1</v>
      </c>
    </row>
    <row r="25" spans="1:29" s="116" customFormat="1" ht="28.5">
      <c r="A25" s="648"/>
      <c r="B25" s="632" t="s">
        <v>2650</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7"/>
      <c r="Q25" s="1796" t="str">
        <f t="shared" ref="Q25" si="9">B25</f>
        <v>基础设施水平</v>
      </c>
      <c r="R25" s="769" t="s">
        <v>17</v>
      </c>
      <c r="S25" s="770">
        <f>F25</f>
        <v>100</v>
      </c>
      <c r="T25" s="769" t="s">
        <v>17</v>
      </c>
      <c r="U25" s="770">
        <f>H25</f>
        <v>100</v>
      </c>
      <c r="V25" s="769" t="s">
        <v>17</v>
      </c>
      <c r="W25" s="770">
        <f>J25</f>
        <v>100</v>
      </c>
      <c r="X25" s="771"/>
      <c r="Y25" s="3197"/>
      <c r="Z25" s="55" t="str">
        <f>Q25</f>
        <v>基础设施水平</v>
      </c>
      <c r="AA25" s="1812">
        <f>D25/F25</f>
        <v>1</v>
      </c>
      <c r="AB25" s="1812">
        <f>D25/H25</f>
        <v>1</v>
      </c>
      <c r="AC25" s="1812">
        <f>D25/J25</f>
        <v>1</v>
      </c>
    </row>
    <row r="26" spans="1:29" s="116" customFormat="1" ht="15">
      <c r="A26" s="648"/>
      <c r="B26" s="631"/>
      <c r="C26" s="2700"/>
      <c r="D26" s="447"/>
      <c r="E26" s="2701"/>
      <c r="F26" s="447"/>
      <c r="G26" s="2701"/>
      <c r="H26" s="447"/>
      <c r="I26" s="2701"/>
      <c r="J26" s="447"/>
      <c r="K26" s="671"/>
      <c r="L26" s="1134"/>
      <c r="M26" s="1135"/>
      <c r="N26" s="1135"/>
      <c r="O26" s="1136"/>
      <c r="P26" s="3197"/>
      <c r="Q26" s="1796"/>
      <c r="R26" s="769"/>
      <c r="S26" s="770"/>
      <c r="T26" s="769"/>
      <c r="U26" s="770"/>
      <c r="V26" s="769"/>
      <c r="W26" s="770"/>
      <c r="X26" s="771"/>
      <c r="Y26" s="3197"/>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7"/>
      <c r="Z27" s="1815" t="str">
        <f t="shared" ref="Z27:Z40" si="13">Q27</f>
        <v>临街状况</v>
      </c>
      <c r="AA27" s="1812">
        <f t="shared" si="3"/>
        <v>1</v>
      </c>
      <c r="AB27" s="1812">
        <f t="shared" si="4"/>
        <v>1</v>
      </c>
      <c r="AC27" s="1812">
        <f t="shared" si="5"/>
        <v>1</v>
      </c>
    </row>
    <row r="28" spans="1:29" ht="27">
      <c r="A28" s="427"/>
      <c r="B28" s="632" t="s">
        <v>2686</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7"/>
      <c r="Q28" s="1811" t="str">
        <f t="shared" si="8"/>
        <v>毗邻道路的类型与等级</v>
      </c>
      <c r="R28" s="773" t="s">
        <v>17</v>
      </c>
      <c r="S28" s="774">
        <f t="shared" si="10"/>
        <v>100</v>
      </c>
      <c r="T28" s="773" t="s">
        <v>17</v>
      </c>
      <c r="U28" s="774">
        <f t="shared" si="11"/>
        <v>100</v>
      </c>
      <c r="V28" s="773" t="s">
        <v>17</v>
      </c>
      <c r="W28" s="774">
        <f t="shared" si="12"/>
        <v>100</v>
      </c>
      <c r="X28" s="1814"/>
      <c r="Y28" s="3197"/>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2"/>
      <c r="M29" s="1133"/>
      <c r="N29" s="1133"/>
      <c r="O29" s="1141"/>
      <c r="P29" s="3197"/>
      <c r="Q29" s="1811"/>
      <c r="R29" s="773"/>
      <c r="S29" s="774"/>
      <c r="T29" s="773"/>
      <c r="U29" s="774"/>
      <c r="V29" s="773"/>
      <c r="W29" s="774"/>
      <c r="X29" s="1814"/>
      <c r="Y29" s="3197"/>
      <c r="Z29" s="1815"/>
      <c r="AA29" s="1812">
        <v>1</v>
      </c>
      <c r="AB29" s="1812">
        <v>1</v>
      </c>
      <c r="AC29" s="1812">
        <v>1</v>
      </c>
    </row>
    <row r="30" spans="1:29" ht="15">
      <c r="A30" s="427"/>
      <c r="B30" s="653" t="s">
        <v>2745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7"/>
      <c r="Q30" s="1811" t="str">
        <f t="shared" si="8"/>
        <v>土地级别</v>
      </c>
      <c r="R30" s="773" t="s">
        <v>17</v>
      </c>
      <c r="S30" s="774">
        <f t="shared" si="10"/>
        <v>100</v>
      </c>
      <c r="T30" s="773" t="s">
        <v>17</v>
      </c>
      <c r="U30" s="774">
        <f t="shared" si="11"/>
        <v>100</v>
      </c>
      <c r="V30" s="773" t="s">
        <v>17</v>
      </c>
      <c r="W30" s="774">
        <f t="shared" si="12"/>
        <v>100</v>
      </c>
      <c r="X30" s="1814"/>
      <c r="Y30" s="3197"/>
      <c r="Z30" s="1815" t="str">
        <f t="shared" si="13"/>
        <v>土地级别</v>
      </c>
      <c r="AA30" s="1812">
        <f t="shared" si="3"/>
        <v>1</v>
      </c>
      <c r="AB30" s="1812">
        <f t="shared" si="4"/>
        <v>1</v>
      </c>
      <c r="AC30" s="1812">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7"/>
      <c r="Q31" s="1811">
        <f t="shared" si="8"/>
        <v>111</v>
      </c>
      <c r="R31" s="773" t="s">
        <v>17</v>
      </c>
      <c r="S31" s="774">
        <f t="shared" si="10"/>
        <v>100</v>
      </c>
      <c r="T31" s="773" t="s">
        <v>17</v>
      </c>
      <c r="U31" s="774">
        <f t="shared" si="11"/>
        <v>100</v>
      </c>
      <c r="V31" s="773" t="s">
        <v>17</v>
      </c>
      <c r="W31" s="774">
        <f t="shared" si="12"/>
        <v>100</v>
      </c>
      <c r="X31" s="1814"/>
      <c r="Y31" s="3197"/>
      <c r="Z31" s="1815">
        <f t="shared" si="13"/>
        <v>111</v>
      </c>
      <c r="AA31" s="1812">
        <f t="shared" si="3"/>
        <v>1</v>
      </c>
      <c r="AB31" s="1812">
        <f t="shared" si="4"/>
        <v>1</v>
      </c>
      <c r="AC31" s="1812">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8" t="s">
        <v>2560</v>
      </c>
      <c r="Q32" s="1811">
        <f t="shared" si="8"/>
        <v>111</v>
      </c>
      <c r="R32" s="773" t="s">
        <v>17</v>
      </c>
      <c r="S32" s="774">
        <f t="shared" si="10"/>
        <v>100</v>
      </c>
      <c r="T32" s="773" t="s">
        <v>17</v>
      </c>
      <c r="U32" s="774">
        <f t="shared" si="11"/>
        <v>100</v>
      </c>
      <c r="V32" s="773" t="s">
        <v>17</v>
      </c>
      <c r="W32" s="774">
        <f t="shared" si="12"/>
        <v>100</v>
      </c>
      <c r="X32" s="1814"/>
      <c r="Y32" s="3201" t="s">
        <v>2560</v>
      </c>
      <c r="Z32" s="1815">
        <f t="shared" si="13"/>
        <v>111</v>
      </c>
      <c r="AA32" s="1812">
        <f t="shared" si="3"/>
        <v>1</v>
      </c>
      <c r="AB32" s="1812">
        <f t="shared" si="4"/>
        <v>1</v>
      </c>
      <c r="AC32" s="1812">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1"/>
      <c r="Q33" s="1811">
        <f t="shared" si="8"/>
        <v>111</v>
      </c>
      <c r="R33" s="776" t="s">
        <v>17</v>
      </c>
      <c r="S33" s="777">
        <f t="shared" si="10"/>
        <v>100</v>
      </c>
      <c r="T33" s="776" t="s">
        <v>17</v>
      </c>
      <c r="U33" s="777">
        <f t="shared" si="11"/>
        <v>100</v>
      </c>
      <c r="V33" s="776" t="s">
        <v>17</v>
      </c>
      <c r="W33" s="777">
        <f t="shared" si="12"/>
        <v>100</v>
      </c>
      <c r="X33" s="778"/>
      <c r="Y33" s="3201"/>
      <c r="Z33" s="779">
        <f t="shared" si="13"/>
        <v>111</v>
      </c>
      <c r="AA33" s="1812">
        <f t="shared" si="3"/>
        <v>1</v>
      </c>
      <c r="AB33" s="1812">
        <f t="shared" si="4"/>
        <v>1</v>
      </c>
      <c r="AC33" s="1812">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1"/>
      <c r="Q34" s="1811" t="str">
        <f>B34</f>
        <v>宗地面积</v>
      </c>
      <c r="R34" s="773" t="s">
        <v>17</v>
      </c>
      <c r="S34" s="774" t="e">
        <f t="shared" si="10"/>
        <v>#N/A</v>
      </c>
      <c r="T34" s="773" t="s">
        <v>17</v>
      </c>
      <c r="U34" s="774" t="e">
        <f t="shared" si="11"/>
        <v>#N/A</v>
      </c>
      <c r="V34" s="773" t="s">
        <v>17</v>
      </c>
      <c r="W34" s="774" t="e">
        <f t="shared" si="12"/>
        <v>#N/A</v>
      </c>
      <c r="X34" s="1814"/>
      <c r="Y34" s="3201"/>
      <c r="Z34" s="1815" t="str">
        <f t="shared" si="13"/>
        <v>宗地面积</v>
      </c>
      <c r="AA34" s="1812" t="e">
        <f t="shared" si="3"/>
        <v>#N/A</v>
      </c>
      <c r="AB34" s="1812" t="e">
        <f t="shared" si="4"/>
        <v>#N/A</v>
      </c>
      <c r="AC34" s="1812" t="e">
        <f t="shared" si="5"/>
        <v>#N/A</v>
      </c>
    </row>
    <row r="35" spans="1:29" ht="15">
      <c r="A35" s="471"/>
      <c r="B35" s="421" t="s">
        <v>2747</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01"/>
      <c r="Q35" s="1811" t="str">
        <f t="shared" ref="Q35:Q40" si="14">B35</f>
        <v>宗地形状</v>
      </c>
      <c r="R35" s="773" t="s">
        <v>17</v>
      </c>
      <c r="S35" s="774">
        <f t="shared" si="10"/>
        <v>100</v>
      </c>
      <c r="T35" s="773" t="s">
        <v>17</v>
      </c>
      <c r="U35" s="774">
        <f t="shared" si="11"/>
        <v>100</v>
      </c>
      <c r="V35" s="773" t="s">
        <v>17</v>
      </c>
      <c r="W35" s="774">
        <f t="shared" si="12"/>
        <v>100</v>
      </c>
      <c r="X35" s="1814"/>
      <c r="Y35" s="3201"/>
      <c r="Z35" s="1815" t="str">
        <f t="shared" si="13"/>
        <v>宗地形状</v>
      </c>
      <c r="AA35" s="1812">
        <f t="shared" si="3"/>
        <v>1</v>
      </c>
      <c r="AB35" s="1812">
        <f t="shared" si="4"/>
        <v>1</v>
      </c>
      <c r="AC35" s="1812">
        <f t="shared" si="5"/>
        <v>1</v>
      </c>
    </row>
    <row r="36" spans="1:29" s="116" customFormat="1" ht="15">
      <c r="A36" s="472"/>
      <c r="B36" s="421" t="s">
        <v>2749</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01"/>
      <c r="Q36" s="1811" t="str">
        <f t="shared" si="14"/>
        <v>宗地开发程度</v>
      </c>
      <c r="R36" s="769" t="s">
        <v>17</v>
      </c>
      <c r="S36" s="770">
        <f t="shared" si="10"/>
        <v>100</v>
      </c>
      <c r="T36" s="769" t="s">
        <v>17</v>
      </c>
      <c r="U36" s="770">
        <f t="shared" si="11"/>
        <v>100</v>
      </c>
      <c r="V36" s="769" t="s">
        <v>17</v>
      </c>
      <c r="W36" s="770">
        <f t="shared" si="12"/>
        <v>100</v>
      </c>
      <c r="X36" s="771"/>
      <c r="Y36" s="3201"/>
      <c r="Z36" s="55" t="str">
        <f t="shared" si="13"/>
        <v>宗地开发程度</v>
      </c>
      <c r="AA36" s="772">
        <f t="shared" si="3"/>
        <v>1</v>
      </c>
      <c r="AB36" s="772">
        <f t="shared" si="4"/>
        <v>1</v>
      </c>
      <c r="AC36" s="772">
        <f t="shared" si="5"/>
        <v>1</v>
      </c>
    </row>
    <row r="37" spans="1:29" ht="15">
      <c r="A37" s="471"/>
      <c r="B37" s="421" t="s">
        <v>2750</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01" t="s">
        <v>2560</v>
      </c>
      <c r="Q37" s="1811" t="str">
        <f t="shared" si="14"/>
        <v>工程地质条件</v>
      </c>
      <c r="R37" s="773" t="s">
        <v>17</v>
      </c>
      <c r="S37" s="774">
        <f t="shared" si="10"/>
        <v>100</v>
      </c>
      <c r="T37" s="773" t="s">
        <v>17</v>
      </c>
      <c r="U37" s="774">
        <f t="shared" si="11"/>
        <v>100</v>
      </c>
      <c r="V37" s="773" t="s">
        <v>17</v>
      </c>
      <c r="W37" s="774">
        <f t="shared" si="12"/>
        <v>100</v>
      </c>
      <c r="X37" s="1814"/>
      <c r="Y37" s="3201" t="s">
        <v>2560</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1"/>
      <c r="Q38" s="1811">
        <f t="shared" si="14"/>
        <v>111</v>
      </c>
      <c r="R38" s="773" t="s">
        <v>17</v>
      </c>
      <c r="S38" s="774">
        <f t="shared" si="10"/>
        <v>100</v>
      </c>
      <c r="T38" s="773" t="s">
        <v>17</v>
      </c>
      <c r="U38" s="774">
        <f t="shared" si="11"/>
        <v>100</v>
      </c>
      <c r="V38" s="773" t="s">
        <v>17</v>
      </c>
      <c r="W38" s="774">
        <f t="shared" si="12"/>
        <v>100</v>
      </c>
      <c r="X38" s="1814"/>
      <c r="Y38" s="3201"/>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1"/>
      <c r="Q39" s="1811">
        <f t="shared" si="14"/>
        <v>111</v>
      </c>
      <c r="R39" s="773" t="s">
        <v>17</v>
      </c>
      <c r="S39" s="774">
        <f t="shared" si="10"/>
        <v>100</v>
      </c>
      <c r="T39" s="773" t="s">
        <v>17</v>
      </c>
      <c r="U39" s="774">
        <f t="shared" si="11"/>
        <v>100</v>
      </c>
      <c r="V39" s="773" t="s">
        <v>17</v>
      </c>
      <c r="W39" s="774">
        <f t="shared" si="12"/>
        <v>100</v>
      </c>
      <c r="X39" s="1814"/>
      <c r="Y39" s="3201"/>
      <c r="Z39" s="1815">
        <f t="shared" si="13"/>
        <v>111</v>
      </c>
      <c r="AA39" s="1812">
        <f t="shared" si="3"/>
        <v>1</v>
      </c>
      <c r="AB39" s="1812">
        <f t="shared" si="4"/>
        <v>1</v>
      </c>
      <c r="AC39" s="1812">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1"/>
      <c r="Q40" s="1811">
        <f t="shared" si="14"/>
        <v>111</v>
      </c>
      <c r="R40" s="776" t="s">
        <v>17</v>
      </c>
      <c r="S40" s="777">
        <f t="shared" si="10"/>
        <v>100</v>
      </c>
      <c r="T40" s="776" t="s">
        <v>17</v>
      </c>
      <c r="U40" s="777">
        <f t="shared" si="11"/>
        <v>100</v>
      </c>
      <c r="V40" s="776" t="s">
        <v>17</v>
      </c>
      <c r="W40" s="777">
        <f t="shared" si="12"/>
        <v>100</v>
      </c>
      <c r="X40" s="778"/>
      <c r="Y40" s="3201"/>
      <c r="Z40" s="779">
        <f t="shared" si="13"/>
        <v>111</v>
      </c>
      <c r="AA40" s="1812">
        <f t="shared" si="3"/>
        <v>1</v>
      </c>
      <c r="AB40" s="1812">
        <f t="shared" si="4"/>
        <v>1</v>
      </c>
      <c r="AC40" s="1812">
        <f t="shared" si="5"/>
        <v>1</v>
      </c>
    </row>
    <row r="41" spans="1:29" ht="15">
      <c r="A41" s="478" t="s">
        <v>2715</v>
      </c>
      <c r="B41" s="2704" t="s">
        <v>2795</v>
      </c>
      <c r="C41" s="681" t="s">
        <v>1</v>
      </c>
      <c r="D41" s="480"/>
      <c r="E41" s="481"/>
      <c r="F41" s="482"/>
      <c r="G41" s="483"/>
      <c r="H41" s="484"/>
      <c r="I41" s="481"/>
      <c r="J41" s="484"/>
      <c r="K41" s="782"/>
      <c r="L41" s="1145"/>
      <c r="M41" s="1133"/>
      <c r="N41" s="1133"/>
      <c r="O41" s="1146"/>
      <c r="P41" s="3194" t="str">
        <f>A41</f>
        <v>成交单价</v>
      </c>
      <c r="Q41" s="3194"/>
      <c r="R41" s="3225">
        <f>E41</f>
        <v>0</v>
      </c>
      <c r="S41" s="3225"/>
      <c r="T41" s="3225">
        <f>G41</f>
        <v>0</v>
      </c>
      <c r="U41" s="3225"/>
      <c r="V41" s="3225">
        <f>I41</f>
        <v>0</v>
      </c>
      <c r="W41" s="3225"/>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5"/>
      <c r="M42" s="1133"/>
      <c r="N42" s="1133"/>
      <c r="O42" s="1146"/>
      <c r="P42" s="3194" t="str">
        <f>A42</f>
        <v>比较价值（元/平方米）</v>
      </c>
      <c r="Q42" s="3194"/>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5"/>
      <c r="M43" s="1133"/>
      <c r="N43" s="1133"/>
      <c r="O43" s="1146"/>
      <c r="P43" s="3191" t="str">
        <f>A43</f>
        <v>估价对象XX用房的比较价值（楼面单价，元/平方米）</v>
      </c>
      <c r="Q43" s="3192"/>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2753</v>
      </c>
      <c r="B50" s="684" t="s">
        <v>2754</v>
      </c>
      <c r="C50" s="2705" t="s">
        <v>2755</v>
      </c>
      <c r="D50" s="2706" t="s">
        <v>2756</v>
      </c>
      <c r="E50" s="685" t="s">
        <v>2757</v>
      </c>
      <c r="F50" s="686" t="s">
        <v>2758</v>
      </c>
      <c r="G50" s="3209" t="s">
        <v>2759</v>
      </c>
      <c r="H50" s="3261"/>
      <c r="I50" s="1815" t="s">
        <v>2796</v>
      </c>
      <c r="J50" s="1815">
        <f>项目基本情况!F35</f>
        <v>0</v>
      </c>
      <c r="K50" s="2708" t="s">
        <v>2761</v>
      </c>
      <c r="L50" s="1108"/>
      <c r="M50" s="1146"/>
      <c r="N50" s="1146"/>
      <c r="O50" s="1146"/>
    </row>
    <row r="51" spans="1:17" s="691" customFormat="1">
      <c r="A51" s="687" t="s">
        <v>2762</v>
      </c>
      <c r="B51" s="688" t="e">
        <f>C43</f>
        <v>#DIV/0!</v>
      </c>
      <c r="C51" s="689">
        <v>1</v>
      </c>
      <c r="D51" s="1165">
        <v>1</v>
      </c>
      <c r="E51" s="689">
        <f>'数据-汇总表'!E8+'数据-汇总表'!E9</f>
        <v>3196.74</v>
      </c>
      <c r="F51" s="690" t="e">
        <f t="shared" ref="F51:F60" si="15">ROUND(B51*E51/10000,0)</f>
        <v>#DIV/0!</v>
      </c>
      <c r="G51" s="3205"/>
      <c r="H51" s="3194"/>
      <c r="I51" s="944">
        <v>1</v>
      </c>
      <c r="J51" s="944">
        <v>1</v>
      </c>
      <c r="K51" s="1147"/>
      <c r="L51" s="943"/>
      <c r="M51" s="943"/>
      <c r="N51" s="943"/>
      <c r="O51" s="943"/>
    </row>
    <row r="52" spans="1:17" s="691" customFormat="1">
      <c r="A52" s="692" t="s">
        <v>2763</v>
      </c>
      <c r="B52" s="261" t="e">
        <f>ROUND($C$43*C52*D52,0)</f>
        <v>#DIV/0!</v>
      </c>
      <c r="C52" s="199">
        <f t="shared" ref="C52:C60" si="16">IF($C$50="北京市系数",I52,J52)</f>
        <v>0.6</v>
      </c>
      <c r="D52" s="1166">
        <v>0.25</v>
      </c>
      <c r="E52" s="693"/>
      <c r="F52" s="690" t="e">
        <f t="shared" si="15"/>
        <v>#DIV/0!</v>
      </c>
      <c r="G52" s="3262" t="s">
        <v>2764</v>
      </c>
      <c r="H52" s="1106" t="str">
        <f>项目基本情况!B37</f>
        <v>八级</v>
      </c>
      <c r="I52" s="944">
        <f>SUMIF(修正!A45:A56,H52,修正!B45:B56)</f>
        <v>0.6</v>
      </c>
      <c r="J52" s="945"/>
      <c r="K52" s="1146"/>
      <c r="L52" s="943"/>
      <c r="M52" s="943"/>
      <c r="N52" s="943"/>
      <c r="O52" s="943"/>
    </row>
    <row r="53" spans="1:17" s="691" customFormat="1">
      <c r="A53" s="692" t="s">
        <v>2765</v>
      </c>
      <c r="B53" s="261" t="e">
        <f t="shared" ref="B53:B60" si="17">ROUND($C$43*C53*D53,0)</f>
        <v>#DIV/0!</v>
      </c>
      <c r="C53" s="199">
        <f t="shared" si="16"/>
        <v>0.3</v>
      </c>
      <c r="D53" s="1166">
        <v>0.25</v>
      </c>
      <c r="E53" s="693"/>
      <c r="F53" s="690" t="e">
        <f t="shared" si="15"/>
        <v>#DIV/0!</v>
      </c>
      <c r="G53" s="3262"/>
      <c r="H53" s="1106" t="str">
        <f>项目基本情况!B37</f>
        <v>八级</v>
      </c>
      <c r="I53" s="944">
        <f>SUMIF(修正!A45:A56,H53,修正!C45:C56)</f>
        <v>0.3</v>
      </c>
      <c r="J53" s="945"/>
      <c r="K53" s="1147"/>
      <c r="L53" s="943"/>
      <c r="M53" s="943"/>
      <c r="N53" s="943"/>
      <c r="O53" s="943"/>
    </row>
    <row r="54" spans="1:17" s="691" customFormat="1">
      <c r="A54" s="692" t="s">
        <v>2766</v>
      </c>
      <c r="B54" s="261" t="e">
        <f t="shared" si="17"/>
        <v>#DIV/0!</v>
      </c>
      <c r="C54" s="199">
        <f t="shared" si="16"/>
        <v>0.2</v>
      </c>
      <c r="D54" s="1166">
        <v>0.25</v>
      </c>
      <c r="E54" s="693"/>
      <c r="F54" s="690" t="e">
        <f t="shared" si="15"/>
        <v>#DIV/0!</v>
      </c>
      <c r="G54" s="3262"/>
      <c r="H54" s="1106" t="str">
        <f>项目基本情况!B37</f>
        <v>八级</v>
      </c>
      <c r="I54" s="944">
        <f>SUMIF(修正!A45:A56,H54,修正!D45:D56)</f>
        <v>0.2</v>
      </c>
      <c r="J54" s="945"/>
      <c r="K54" s="1146"/>
      <c r="L54" s="943"/>
      <c r="M54" s="943"/>
      <c r="N54" s="943"/>
      <c r="O54" s="943"/>
    </row>
    <row r="55" spans="1:17" s="691" customFormat="1">
      <c r="A55" s="692" t="s">
        <v>2767</v>
      </c>
      <c r="B55" s="261" t="e">
        <f t="shared" si="17"/>
        <v>#DIV/0!</v>
      </c>
      <c r="C55" s="199">
        <f t="shared" si="16"/>
        <v>0.2</v>
      </c>
      <c r="D55" s="1166">
        <v>0.25</v>
      </c>
      <c r="E55" s="693"/>
      <c r="F55" s="690" t="e">
        <f t="shared" si="15"/>
        <v>#DIV/0!</v>
      </c>
      <c r="G55" s="3262"/>
      <c r="H55" s="1106" t="str">
        <f>项目基本情况!B37</f>
        <v>八级</v>
      </c>
      <c r="I55" s="944">
        <f>SUMIF(修正!A45:A56,H55,修正!E45:E56)</f>
        <v>0.2</v>
      </c>
      <c r="J55" s="945"/>
      <c r="K55" s="1147"/>
      <c r="L55" s="943"/>
      <c r="M55" s="943"/>
      <c r="N55" s="943"/>
      <c r="O55" s="943"/>
    </row>
    <row r="56" spans="1:17" s="691" customFormat="1">
      <c r="A56" s="692" t="s">
        <v>2768</v>
      </c>
      <c r="B56" s="261" t="e">
        <f t="shared" si="17"/>
        <v>#DIV/0!</v>
      </c>
      <c r="C56" s="199">
        <f t="shared" si="16"/>
        <v>0.2</v>
      </c>
      <c r="D56" s="1166">
        <v>0.25</v>
      </c>
      <c r="E56" s="260">
        <f>'数据-汇总表'!E11</f>
        <v>0</v>
      </c>
      <c r="F56" s="690" t="e">
        <f t="shared" si="15"/>
        <v>#DIV/0!</v>
      </c>
      <c r="G56" s="2709" t="s">
        <v>2769</v>
      </c>
      <c r="H56" s="1106" t="str">
        <f>项目基本情况!C37</f>
        <v>八级</v>
      </c>
      <c r="I56" s="944">
        <f>SUMIF(修正!A45:A56,H56,修正!F45:F56)</f>
        <v>0.2</v>
      </c>
      <c r="J56" s="945"/>
      <c r="K56" s="1146"/>
      <c r="L56" s="943"/>
      <c r="M56" s="943"/>
      <c r="N56" s="943"/>
      <c r="O56" s="943"/>
    </row>
    <row r="57" spans="1:17" s="691" customFormat="1">
      <c r="A57" s="692" t="s">
        <v>2770</v>
      </c>
      <c r="B57" s="261" t="e">
        <f t="shared" si="17"/>
        <v>#DIV/0!</v>
      </c>
      <c r="C57" s="199">
        <f t="shared" si="16"/>
        <v>0.2</v>
      </c>
      <c r="D57" s="1166">
        <v>0.25</v>
      </c>
      <c r="E57" s="260">
        <f>'数据-汇总表'!E12</f>
        <v>0</v>
      </c>
      <c r="F57" s="690" t="e">
        <f t="shared" si="15"/>
        <v>#DIV/0!</v>
      </c>
      <c r="G57" s="1111" t="s">
        <v>2771</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2772</v>
      </c>
      <c r="B58" s="261" t="e">
        <f t="shared" si="17"/>
        <v>#DIV/0!</v>
      </c>
      <c r="C58" s="199">
        <f t="shared" si="16"/>
        <v>0.15</v>
      </c>
      <c r="D58" s="1166">
        <v>0.25</v>
      </c>
      <c r="E58" s="260">
        <f>'数据-汇总表'!E13</f>
        <v>9413</v>
      </c>
      <c r="F58" s="690" t="e">
        <f t="shared" si="15"/>
        <v>#DIV/0!</v>
      </c>
      <c r="G58" s="1111" t="s">
        <v>2773</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2774</v>
      </c>
      <c r="B59" s="261" t="e">
        <f t="shared" si="17"/>
        <v>#DIV/0!</v>
      </c>
      <c r="C59" s="199">
        <f t="shared" si="16"/>
        <v>0.15</v>
      </c>
      <c r="D59" s="1166">
        <v>0.25</v>
      </c>
      <c r="E59" s="260">
        <f>'数据-汇总表'!E14</f>
        <v>0</v>
      </c>
      <c r="F59" s="690" t="e">
        <f t="shared" si="15"/>
        <v>#DIV/0!</v>
      </c>
      <c r="G59" s="2709" t="s">
        <v>2764</v>
      </c>
      <c r="H59" s="1106" t="str">
        <f>项目基本情况!B37</f>
        <v>八级</v>
      </c>
      <c r="I59" s="944">
        <f>SUMIF(修正!A45:A56,H59,修正!H45:H56)</f>
        <v>0.15</v>
      </c>
      <c r="J59" s="945"/>
      <c r="K59" s="1147"/>
      <c r="L59" s="943"/>
      <c r="M59" s="943"/>
      <c r="N59" s="943"/>
      <c r="O59" s="943"/>
    </row>
    <row r="60" spans="1:17" s="691" customFormat="1" ht="15" thickBot="1">
      <c r="A60" s="692" t="s">
        <v>2775</v>
      </c>
      <c r="B60" s="261" t="e">
        <f t="shared" si="17"/>
        <v>#DIV/0!</v>
      </c>
      <c r="C60" s="199">
        <f t="shared" si="16"/>
        <v>0.15</v>
      </c>
      <c r="D60" s="1166">
        <v>0.25</v>
      </c>
      <c r="E60" s="260">
        <f>'数据-汇总表'!E15</f>
        <v>0</v>
      </c>
      <c r="F60" s="690" t="e">
        <f t="shared" si="15"/>
        <v>#DIV/0!</v>
      </c>
      <c r="G60" s="2710" t="s">
        <v>2769</v>
      </c>
      <c r="H60" s="1116" t="str">
        <f>项目基本情况!C37</f>
        <v>八级</v>
      </c>
      <c r="I60" s="944">
        <f>SUMIF(修正!A45:A56,H60,修正!H45:H56)</f>
        <v>0.15</v>
      </c>
      <c r="J60" s="945"/>
      <c r="K60" s="1146"/>
      <c r="L60" s="943"/>
      <c r="M60" s="943"/>
      <c r="N60" s="943"/>
      <c r="O60" s="943"/>
    </row>
    <row r="61" spans="1:17" s="691" customFormat="1" ht="15" thickBot="1">
      <c r="A61" s="694" t="s">
        <v>2776</v>
      </c>
      <c r="B61" s="695" t="s">
        <v>28</v>
      </c>
      <c r="C61" s="695" t="s">
        <v>29</v>
      </c>
      <c r="D61" s="695" t="s">
        <v>1029</v>
      </c>
      <c r="E61" s="695">
        <f>IF(B41="楼面地价",SUM(E51:E60),'数据-汇总表'!D3)</f>
        <v>3435.11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2669</v>
      </c>
      <c r="B64" s="758"/>
      <c r="C64" s="763"/>
      <c r="D64" s="763"/>
      <c r="E64" s="763"/>
      <c r="F64" s="764"/>
      <c r="G64" s="764"/>
      <c r="H64" s="763"/>
      <c r="I64" s="763"/>
      <c r="J64" s="763"/>
      <c r="K64" s="765"/>
      <c r="L64" s="766"/>
      <c r="M64" s="763"/>
      <c r="N64" s="763"/>
      <c r="O64" s="1161"/>
      <c r="P64" s="502"/>
      <c r="Q64" s="503"/>
    </row>
    <row r="65" spans="1:17" s="507" customFormat="1" ht="15">
      <c r="A65" s="2711" t="s">
        <v>2777</v>
      </c>
      <c r="B65" s="1361"/>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6" t="s">
        <v>2797</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2583</v>
      </c>
      <c r="B70" s="527" t="s">
        <v>2549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2799</v>
      </c>
      <c r="B1" s="240"/>
      <c r="C1" s="244" t="s">
        <v>2800</v>
      </c>
      <c r="D1" s="387">
        <f>SUM(D29:D30,D33:D39)</f>
        <v>10000</v>
      </c>
      <c r="E1" s="2717"/>
      <c r="F1" s="2717"/>
      <c r="G1" s="2717"/>
      <c r="H1" s="2717"/>
      <c r="I1" s="2717"/>
      <c r="J1" s="2717"/>
      <c r="K1" s="1372"/>
      <c r="L1" s="2718" t="s">
        <v>2801</v>
      </c>
      <c r="M1" s="1082">
        <f>SUMPRODUCT((区片价!B5:B9=I2)*(区片价!C3:F3=E2)*(区片价!C5:F9))</f>
        <v>0</v>
      </c>
      <c r="N1" s="1085">
        <f>SUMPRODUCT((因素修正幅度!B5:B9=I2)*(因素修正幅度!C3:F3=E2)*(因素修正幅度!C5:F9))</f>
        <v>0</v>
      </c>
      <c r="O1" s="2719"/>
      <c r="P1" s="2719"/>
      <c r="Q1" s="1372"/>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4" t="s">
        <v>2807</v>
      </c>
      <c r="B2" s="247" t="e">
        <f ca="1">C26</f>
        <v>#DIV/0!</v>
      </c>
      <c r="C2" s="2721" t="s">
        <v>2808</v>
      </c>
      <c r="D2" s="2722" t="s">
        <v>2809</v>
      </c>
      <c r="E2" s="2723" t="s">
        <v>27</v>
      </c>
      <c r="F2" s="2722" t="s">
        <v>2810</v>
      </c>
      <c r="G2" s="2724" t="str">
        <f>IF(E2="商业",项目基本情况!B37,IF(E2="办公",项目基本情况!C37,IF(E2="住宅",项目基本情况!D37,项目基本情况!E37)))</f>
        <v>八级</v>
      </c>
      <c r="H2" s="2722" t="s">
        <v>2811</v>
      </c>
      <c r="I2" s="2724" t="str">
        <f>IF(E2="商业",项目基本情况!B38,IF(E2="办公",项目基本情况!C38,IF(E2="住宅",项目基本情况!D38,项目基本情况!E38)))</f>
        <v>Ⅷ-昌1</v>
      </c>
      <c r="J2" s="2725"/>
      <c r="K2" s="1372"/>
      <c r="L2" s="2726" t="s">
        <v>2812</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t="e">
        <f ca="1">ROUND($C$5*$C$18*$C$19*$C$20*S2*$C$24,0)</f>
        <v>#DIV/0!</v>
      </c>
      <c r="U2" s="1604"/>
      <c r="V2" s="1603" t="e">
        <f ca="1">ROUND(T2*U2/10000,0)</f>
        <v>#DIV/0!</v>
      </c>
      <c r="W2" s="1607"/>
      <c r="X2" s="1607"/>
      <c r="Y2" s="1607"/>
      <c r="Z2" s="1607"/>
      <c r="AA2" s="1607"/>
      <c r="AB2" s="1607"/>
      <c r="AC2" s="1608"/>
      <c r="AD2" s="1609"/>
      <c r="AE2" s="1609"/>
      <c r="AF2" s="1609"/>
      <c r="AG2" s="1609"/>
      <c r="AH2" s="1609"/>
      <c r="AI2" s="1609"/>
      <c r="AJ2" s="1610"/>
    </row>
    <row r="3" spans="1:36" ht="25.5">
      <c r="A3" s="246" t="s">
        <v>2813</v>
      </c>
      <c r="B3" s="247" t="e">
        <f ca="1">ROUND(B2*10000/D1,0)</f>
        <v>#DIV/0!</v>
      </c>
      <c r="C3" s="2721" t="s">
        <v>2814</v>
      </c>
      <c r="D3" s="2722" t="s">
        <v>2815</v>
      </c>
      <c r="E3" s="2727" t="s">
        <v>3044</v>
      </c>
      <c r="F3" s="2728" t="s">
        <v>2816</v>
      </c>
      <c r="G3" s="915">
        <f>IF(F3="宗地容积率",'数据-汇总表'!I4,IF(F3="估价对象容积率",'数据-汇总表'!I6,'数据-汇总表'!I7))</f>
        <v>2.59</v>
      </c>
      <c r="H3" s="197" t="s">
        <v>2817</v>
      </c>
      <c r="I3" s="946"/>
      <c r="J3" s="2725" t="s">
        <v>2818</v>
      </c>
      <c r="K3" s="1372"/>
      <c r="L3" s="2726" t="s">
        <v>2819</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t="e">
        <f t="shared" ref="T3:T16" ca="1" si="0">ROUND($C$5*$C$18*$C$19*$C$20*S3*$C$24,0)</f>
        <v>#DIV/0!</v>
      </c>
      <c r="U3" s="1604"/>
      <c r="V3" s="1603" t="e">
        <f t="shared" ref="V3:V16" ca="1" si="1">ROUND(T3*U3/10000,0)</f>
        <v>#DIV/0!</v>
      </c>
      <c r="W3" s="1607"/>
      <c r="X3" s="1607"/>
      <c r="Y3" s="1607"/>
      <c r="Z3" s="1607"/>
      <c r="AA3" s="1607"/>
      <c r="AB3" s="1607"/>
      <c r="AC3" s="1608"/>
      <c r="AD3" s="1609"/>
      <c r="AE3" s="1609"/>
      <c r="AF3" s="1609"/>
      <c r="AG3" s="1609"/>
      <c r="AH3" s="1609"/>
      <c r="AI3" s="1609"/>
      <c r="AJ3" s="1610"/>
    </row>
    <row r="4" spans="1:36" ht="15.75">
      <c r="A4" s="3272"/>
      <c r="B4" s="3273"/>
      <c r="C4" s="3273"/>
      <c r="D4" s="3274"/>
      <c r="E4" s="3274"/>
      <c r="F4" s="3274"/>
      <c r="G4" s="3274"/>
      <c r="H4" s="3274"/>
      <c r="I4" s="3274"/>
      <c r="J4" s="3275"/>
      <c r="K4" s="1372"/>
      <c r="L4" s="2726" t="s">
        <v>2820</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t="e">
        <f t="shared" ca="1" si="0"/>
        <v>#DIV/0!</v>
      </c>
      <c r="U4" s="1604"/>
      <c r="V4" s="1603" t="e">
        <f t="shared" ca="1" si="1"/>
        <v>#DIV/0!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2821</v>
      </c>
      <c r="C5" s="916">
        <f>ROUND(IF(E2="商业",IF(F16="增加",C6*C7+C16,C6*C7-C16),IF(E2="住宅",IF(F16="增加",C6*C12+C16,C6*C12-C16),IF(F16="增加",C6+C16,C6-C16))),0)</f>
        <v>5480</v>
      </c>
      <c r="D5" s="1788">
        <f>ROUND(IF(E2="商业",IF(F16="增加",C6+C16,C6-C16)),0)</f>
        <v>0</v>
      </c>
      <c r="E5" s="2731"/>
      <c r="F5" s="2731"/>
      <c r="G5" s="2732"/>
      <c r="H5" s="2732"/>
      <c r="I5" s="2732"/>
      <c r="J5" s="2733"/>
      <c r="K5" s="2734"/>
      <c r="L5" s="2726" t="s">
        <v>2822</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t="e">
        <f t="shared" ca="1" si="0"/>
        <v>#DIV/0!</v>
      </c>
      <c r="U5" s="1604"/>
      <c r="V5" s="1603" t="e">
        <f t="shared" ca="1" si="1"/>
        <v>#DIV/0!</v>
      </c>
      <c r="W5" s="1607"/>
      <c r="X5" s="1607"/>
      <c r="Y5" s="1607"/>
      <c r="Z5" s="1607"/>
      <c r="AA5" s="1607"/>
      <c r="AB5" s="1607"/>
      <c r="AC5" s="2735"/>
      <c r="AD5" s="2736"/>
      <c r="AE5" s="2736"/>
      <c r="AF5" s="2736"/>
      <c r="AG5" s="2736"/>
      <c r="AH5" s="2736"/>
      <c r="AI5" s="2736"/>
      <c r="AJ5" s="2737"/>
    </row>
    <row r="6" spans="1:36" ht="15.75" thickBot="1">
      <c r="A6" s="2739" t="s">
        <v>2823</v>
      </c>
      <c r="B6" s="2740" t="s">
        <v>2824</v>
      </c>
      <c r="C6" s="917">
        <f>SUMIF(L1:L12,G2,M1:M12)</f>
        <v>5500</v>
      </c>
      <c r="D6" s="2741" t="s">
        <v>2825</v>
      </c>
      <c r="E6" s="2742"/>
      <c r="F6" s="2742"/>
      <c r="G6" s="2743"/>
      <c r="H6" s="2743"/>
      <c r="I6" s="2743"/>
      <c r="J6" s="2744"/>
      <c r="K6" s="1843"/>
      <c r="L6" s="2726" t="s">
        <v>2826</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t="e">
        <f t="shared" ca="1" si="0"/>
        <v>#DIV/0!</v>
      </c>
      <c r="U6" s="1604"/>
      <c r="V6" s="1603" t="e">
        <f t="shared" ca="1" si="1"/>
        <v>#DIV/0!</v>
      </c>
      <c r="W6" s="1607"/>
      <c r="X6" s="1607"/>
      <c r="Y6" s="1607"/>
      <c r="Z6" s="1607"/>
      <c r="AA6" s="1607"/>
      <c r="AB6" s="1607"/>
      <c r="AC6" s="2735"/>
      <c r="AD6" s="2736"/>
      <c r="AE6" s="2736"/>
      <c r="AF6" s="2736"/>
      <c r="AG6" s="2736"/>
      <c r="AH6" s="2736"/>
      <c r="AI6" s="2736"/>
      <c r="AJ6" s="2737"/>
    </row>
    <row r="7" spans="1:36" ht="24">
      <c r="A7" s="3276" t="str">
        <f>IF(E2="商业",IF(C8="不临58条商业街","",2),"")</f>
        <v/>
      </c>
      <c r="B7" s="2745" t="s">
        <v>2827</v>
      </c>
      <c r="C7" s="918" t="e">
        <f>IF(C8="不临58条商业街",1,ROUND(1+(1.6*E8+1.2*E9+0.8*E10+0.4*E11)*C9,4))</f>
        <v>#DIV/0!</v>
      </c>
      <c r="D7" s="2746" t="s">
        <v>2828</v>
      </c>
      <c r="E7" s="947"/>
      <c r="F7" s="2747"/>
      <c r="G7" s="2748"/>
      <c r="H7" s="2748"/>
      <c r="I7" s="2748"/>
      <c r="J7" s="2749"/>
      <c r="K7" s="1843"/>
      <c r="L7" s="2726" t="s">
        <v>2829</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t="e">
        <f t="shared" ca="1" si="0"/>
        <v>#DIV/0!</v>
      </c>
      <c r="U7" s="1604"/>
      <c r="V7" s="1603" t="e">
        <f t="shared" ca="1" si="1"/>
        <v>#DIV/0!</v>
      </c>
      <c r="W7" s="1817" t="s">
        <v>2830</v>
      </c>
      <c r="X7" s="1605" t="str">
        <f>G2</f>
        <v>八级</v>
      </c>
      <c r="Y7" s="1605" t="s">
        <v>2831</v>
      </c>
      <c r="Z7" s="1606">
        <f>G3</f>
        <v>2.59</v>
      </c>
      <c r="AA7" s="1607"/>
      <c r="AB7" s="1607"/>
      <c r="AC7" s="1608"/>
      <c r="AD7" s="1609"/>
      <c r="AE7" s="1609"/>
      <c r="AF7" s="1609"/>
      <c r="AG7" s="1609"/>
      <c r="AH7" s="1609"/>
      <c r="AI7" s="1609"/>
      <c r="AJ7" s="1610"/>
    </row>
    <row r="8" spans="1:36" ht="15">
      <c r="A8" s="3277"/>
      <c r="B8" s="197" t="s">
        <v>2832</v>
      </c>
      <c r="C8" s="2750"/>
      <c r="D8" s="919" t="s">
        <v>139</v>
      </c>
      <c r="E8" s="920" t="e">
        <f>ROUND(C11/E7,4)</f>
        <v>#DIV/0!</v>
      </c>
      <c r="F8" s="2751" t="s">
        <v>2833</v>
      </c>
      <c r="G8" s="2752"/>
      <c r="H8" s="2752"/>
      <c r="I8" s="2752"/>
      <c r="J8" s="2753"/>
      <c r="K8" s="1372"/>
      <c r="L8" s="2726" t="s">
        <v>2834</v>
      </c>
      <c r="M8" s="1083">
        <f>SUMPRODUCT((区片价!B206:B244=I2)*(区片价!C3:F3=E2)*(区片价!C206:F244))</f>
        <v>5500</v>
      </c>
      <c r="N8" s="1085">
        <f>SUMPRODUCT((因素修正幅度!B206:B244=I2)*(因素修正幅度!C3:F3=E2)*(因素修正幅度!C206:F244))</f>
        <v>0.15</v>
      </c>
      <c r="O8" s="1372"/>
      <c r="P8" s="1372"/>
      <c r="Q8" s="1372"/>
      <c r="R8" s="1603">
        <v>7</v>
      </c>
      <c r="S8" s="1604"/>
      <c r="T8" s="1603" t="e">
        <f t="shared" ca="1" si="0"/>
        <v>#DIV/0!</v>
      </c>
      <c r="U8" s="1604"/>
      <c r="V8" s="1603" t="e">
        <f t="shared" ca="1" si="1"/>
        <v>#DIV/0!</v>
      </c>
      <c r="W8" s="3269" t="s">
        <v>2835</v>
      </c>
      <c r="X8" s="3270"/>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277"/>
      <c r="B9" s="197" t="s">
        <v>2848</v>
      </c>
      <c r="C9" s="921">
        <f>SUMIF(修正!C59:C119,C8,修正!E59:E119)</f>
        <v>0</v>
      </c>
      <c r="D9" s="199" t="s">
        <v>140</v>
      </c>
      <c r="E9" s="199" t="e">
        <f>ROUND(C11/E7,4)</f>
        <v>#DIV/0!</v>
      </c>
      <c r="F9" s="2751" t="s">
        <v>2849</v>
      </c>
      <c r="G9" s="2752"/>
      <c r="H9" s="2752"/>
      <c r="I9" s="2752"/>
      <c r="J9" s="2753"/>
      <c r="K9" s="1372"/>
      <c r="L9" s="2726" t="s">
        <v>2850</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ca="1" si="0"/>
        <v>#DIV/0!</v>
      </c>
      <c r="U9" s="1604"/>
      <c r="V9" s="1603" t="e">
        <f t="shared" ca="1" si="1"/>
        <v>#DIV/0!</v>
      </c>
      <c r="W9" s="3271"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7"/>
      <c r="B10" s="197" t="s">
        <v>2853</v>
      </c>
      <c r="C10" s="199">
        <f>SUMIF(修正!C59:C119,C8,修正!F59:F119)</f>
        <v>0</v>
      </c>
      <c r="D10" s="199" t="s">
        <v>141</v>
      </c>
      <c r="E10" s="199" t="e">
        <f>ROUND(C11/E7,4)</f>
        <v>#DIV/0!</v>
      </c>
      <c r="F10" s="2751" t="s">
        <v>2854</v>
      </c>
      <c r="G10" s="2752"/>
      <c r="H10" s="2752"/>
      <c r="I10" s="2752"/>
      <c r="J10" s="2753"/>
      <c r="K10" s="1372"/>
      <c r="L10" s="2726" t="s">
        <v>2855</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ca="1" si="0"/>
        <v>#DIV/0!</v>
      </c>
      <c r="U10" s="1604"/>
      <c r="V10" s="1603" t="e">
        <f t="shared" ca="1" si="1"/>
        <v>#DIV/0!</v>
      </c>
      <c r="W10" s="327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7"/>
      <c r="B11" s="2754" t="s">
        <v>2856</v>
      </c>
      <c r="C11" s="922">
        <f>C10/4</f>
        <v>0</v>
      </c>
      <c r="D11" s="922" t="s">
        <v>142</v>
      </c>
      <c r="E11" s="922" t="e">
        <f>ROUND(C11/E7,4)</f>
        <v>#DIV/0!</v>
      </c>
      <c r="F11" s="2755" t="s">
        <v>2857</v>
      </c>
      <c r="G11" s="2756"/>
      <c r="H11" s="2756"/>
      <c r="I11" s="2756"/>
      <c r="J11" s="2757"/>
      <c r="K11" s="1372"/>
      <c r="L11" s="2726" t="s">
        <v>2858</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ca="1" si="0"/>
        <v>#DIV/0!</v>
      </c>
      <c r="U11" s="1604"/>
      <c r="V11" s="1603" t="e">
        <f t="shared" ca="1" si="1"/>
        <v>#DIV/0!</v>
      </c>
      <c r="W11" s="3271" t="s">
        <v>2859</v>
      </c>
      <c r="X11" s="1615" t="s">
        <v>2860</v>
      </c>
      <c r="Y11" s="1616">
        <f>$G$3</f>
        <v>2.59</v>
      </c>
      <c r="Z11" s="1616">
        <f t="shared" ref="Z11:AJ11" si="3">$G$3</f>
        <v>2.59</v>
      </c>
      <c r="AA11" s="1616">
        <f t="shared" si="3"/>
        <v>2.59</v>
      </c>
      <c r="AB11" s="1616">
        <f t="shared" si="3"/>
        <v>2.59</v>
      </c>
      <c r="AC11" s="1616">
        <f t="shared" si="3"/>
        <v>2.59</v>
      </c>
      <c r="AD11" s="1616">
        <f t="shared" si="3"/>
        <v>2.59</v>
      </c>
      <c r="AE11" s="1616">
        <f t="shared" si="3"/>
        <v>2.59</v>
      </c>
      <c r="AF11" s="1616">
        <f t="shared" si="3"/>
        <v>2.59</v>
      </c>
      <c r="AG11" s="1616">
        <f t="shared" si="3"/>
        <v>2.59</v>
      </c>
      <c r="AH11" s="1616">
        <f t="shared" si="3"/>
        <v>2.59</v>
      </c>
      <c r="AI11" s="1616">
        <f t="shared" si="3"/>
        <v>2.59</v>
      </c>
      <c r="AJ11" s="1616">
        <f t="shared" si="3"/>
        <v>2.59</v>
      </c>
    </row>
    <row r="12" spans="1:36" ht="25.5" thickBot="1">
      <c r="A12" s="3276" t="s">
        <v>2861</v>
      </c>
      <c r="B12" s="2758" t="s">
        <v>2862</v>
      </c>
      <c r="C12" s="918">
        <f>ROUND(C15*D15*E15*F15*G15*H15*I15*J15,4)</f>
        <v>1</v>
      </c>
      <c r="D12" s="2759" t="s">
        <v>2863</v>
      </c>
      <c r="E12" s="2760"/>
      <c r="F12" s="2760"/>
      <c r="G12" s="2761"/>
      <c r="H12" s="2761"/>
      <c r="I12" s="2761"/>
      <c r="J12" s="2762"/>
      <c r="K12" s="1372"/>
      <c r="L12" s="2763" t="s">
        <v>2864</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ca="1" si="0"/>
        <v>#DIV/0!</v>
      </c>
      <c r="U12" s="1604"/>
      <c r="V12" s="1603" t="e">
        <f t="shared" ca="1" si="1"/>
        <v>#DIV/0!</v>
      </c>
      <c r="W12" s="3271"/>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8"/>
      <c r="B13" s="2764" t="s">
        <v>2866</v>
      </c>
      <c r="C13" s="2765" t="s">
        <v>2867</v>
      </c>
      <c r="D13" s="1809" t="s">
        <v>2868</v>
      </c>
      <c r="E13" s="1809" t="s">
        <v>2869</v>
      </c>
      <c r="F13" s="30" t="s">
        <v>2870</v>
      </c>
      <c r="G13" s="2766" t="s">
        <v>2871</v>
      </c>
      <c r="H13" s="2766" t="s">
        <v>2871</v>
      </c>
      <c r="I13" s="2766" t="s">
        <v>2871</v>
      </c>
      <c r="J13" s="2767" t="s">
        <v>2871</v>
      </c>
      <c r="K13" s="1372"/>
      <c r="L13" s="1372"/>
      <c r="M13" s="1372"/>
      <c r="N13" s="1372"/>
      <c r="O13" s="1372"/>
      <c r="P13" s="1372"/>
      <c r="Q13" s="1372"/>
      <c r="R13" s="1603">
        <v>12</v>
      </c>
      <c r="S13" s="1604"/>
      <c r="T13" s="1603" t="e">
        <f t="shared" ca="1" si="0"/>
        <v>#DIV/0!</v>
      </c>
      <c r="U13" s="1604"/>
      <c r="V13" s="1603" t="e">
        <f t="shared" ca="1" si="1"/>
        <v>#DIV/0!</v>
      </c>
      <c r="W13" s="3271"/>
      <c r="X13" s="1617"/>
      <c r="Y13" s="1614">
        <f>(-0.163*(Y12^2)-0.59*Y12+7617)*(10^(-4))/Y11</f>
        <v>0.2940926640926641</v>
      </c>
      <c r="Z13" s="1614">
        <f t="shared" ref="Z13:AJ13" si="5">(-0.163*(Z12^2)-0.59*Z12+7617)*(10^(-4))/Z11</f>
        <v>0.2940926640926641</v>
      </c>
      <c r="AA13" s="1614">
        <f t="shared" si="5"/>
        <v>0.2940926640926641</v>
      </c>
      <c r="AB13" s="1614">
        <f t="shared" si="5"/>
        <v>0.2940926640926641</v>
      </c>
      <c r="AC13" s="1614">
        <f t="shared" si="5"/>
        <v>0.2940926640926641</v>
      </c>
      <c r="AD13" s="1614">
        <f t="shared" si="5"/>
        <v>0.2940926640926641</v>
      </c>
      <c r="AE13" s="1614">
        <f t="shared" si="5"/>
        <v>0.2940926640926641</v>
      </c>
      <c r="AF13" s="1614">
        <f t="shared" si="5"/>
        <v>0.2940926640926641</v>
      </c>
      <c r="AG13" s="1614">
        <f t="shared" si="5"/>
        <v>0.2940926640926641</v>
      </c>
      <c r="AH13" s="1614">
        <f t="shared" si="5"/>
        <v>0.2940926640926641</v>
      </c>
      <c r="AI13" s="1614">
        <f t="shared" si="5"/>
        <v>0.2940926640926641</v>
      </c>
      <c r="AJ13" s="1614">
        <f t="shared" si="5"/>
        <v>0.2940926640926641</v>
      </c>
    </row>
    <row r="14" spans="1:36" ht="15">
      <c r="A14" s="3278"/>
      <c r="B14" s="2768"/>
      <c r="C14" s="2769"/>
      <c r="D14" s="2770"/>
      <c r="E14" s="2770"/>
      <c r="F14" s="2771"/>
      <c r="G14" s="2772" t="s">
        <v>2872</v>
      </c>
      <c r="H14" s="2773"/>
      <c r="I14" s="2774"/>
      <c r="J14" s="2775"/>
      <c r="K14" s="1372"/>
      <c r="L14" s="1372"/>
      <c r="M14" s="1372"/>
      <c r="N14" s="1372"/>
      <c r="O14" s="1372"/>
      <c r="P14" s="1372"/>
      <c r="Q14" s="1372"/>
      <c r="R14" s="1603">
        <v>13</v>
      </c>
      <c r="S14" s="1604"/>
      <c r="T14" s="1603" t="e">
        <f t="shared" ca="1" si="0"/>
        <v>#DIV/0!</v>
      </c>
      <c r="U14" s="1604"/>
      <c r="V14" s="1603" t="e">
        <f t="shared" ca="1" si="1"/>
        <v>#DIV/0!</v>
      </c>
      <c r="W14" s="1607"/>
      <c r="X14" s="1607"/>
      <c r="Y14" s="1607"/>
      <c r="Z14" s="1607"/>
      <c r="AA14" s="1607"/>
      <c r="AB14" s="1607"/>
      <c r="AC14" s="1608"/>
      <c r="AD14" s="1609"/>
      <c r="AE14" s="1609"/>
      <c r="AF14" s="1609"/>
      <c r="AG14" s="1609"/>
      <c r="AH14" s="1609"/>
      <c r="AI14" s="1609"/>
      <c r="AJ14" s="1610"/>
    </row>
    <row r="15" spans="1:36" ht="15.75" thickBot="1">
      <c r="A15" s="3279"/>
      <c r="B15" s="2776" t="s">
        <v>2873</v>
      </c>
      <c r="C15" s="228">
        <f>IF(C14="有",1.1,1)</f>
        <v>1</v>
      </c>
      <c r="D15" s="228">
        <f>IF(D14="有",1.1,1)</f>
        <v>1</v>
      </c>
      <c r="E15" s="228">
        <f>IF(E14="有",1.1,1)</f>
        <v>1</v>
      </c>
      <c r="F15" s="228">
        <f>IF(F14="500米范围内",1.2,IF(F14="500-1000米",1.1,1))</f>
        <v>1</v>
      </c>
      <c r="G15" s="948">
        <v>1</v>
      </c>
      <c r="H15" s="948">
        <v>1</v>
      </c>
      <c r="I15" s="948">
        <v>1</v>
      </c>
      <c r="J15" s="949">
        <v>1</v>
      </c>
      <c r="K15" s="1372"/>
      <c r="L15" s="2777" t="s">
        <v>2809</v>
      </c>
      <c r="M15" s="919" t="s">
        <v>2874</v>
      </c>
      <c r="N15" s="919" t="s">
        <v>2875</v>
      </c>
      <c r="O15" s="919" t="s">
        <v>2876</v>
      </c>
      <c r="P15" s="2778" t="s">
        <v>2877</v>
      </c>
      <c r="Q15" s="1372"/>
      <c r="R15" s="1603">
        <v>14</v>
      </c>
      <c r="S15" s="1604"/>
      <c r="T15" s="1603" t="e">
        <f t="shared" ca="1" si="0"/>
        <v>#DIV/0!</v>
      </c>
      <c r="U15" s="1604"/>
      <c r="V15" s="1603" t="e">
        <f t="shared" ca="1" si="1"/>
        <v>#DIV/0!</v>
      </c>
      <c r="W15" s="1607"/>
      <c r="X15" s="1607"/>
      <c r="Y15" s="1607"/>
      <c r="Z15" s="1607"/>
      <c r="AA15" s="1607"/>
      <c r="AB15" s="1607"/>
      <c r="AC15" s="1608"/>
      <c r="AD15" s="1609"/>
      <c r="AE15" s="1609"/>
      <c r="AF15" s="1609"/>
      <c r="AG15" s="1609"/>
      <c r="AH15" s="1609"/>
      <c r="AI15" s="1609"/>
      <c r="AJ15" s="1610"/>
    </row>
    <row r="16" spans="1:36" ht="24">
      <c r="A16" s="3276" t="s">
        <v>2878</v>
      </c>
      <c r="B16" s="2745" t="s">
        <v>2879</v>
      </c>
      <c r="C16" s="1802">
        <f>ROUND(SUM(G17:J17)/C17,0)</f>
        <v>20</v>
      </c>
      <c r="D16" s="2779" t="s">
        <v>2880</v>
      </c>
      <c r="E16" s="2780" t="s">
        <v>3045</v>
      </c>
      <c r="F16" s="2781" t="s">
        <v>3046</v>
      </c>
      <c r="G16" s="2782" t="s">
        <v>3047</v>
      </c>
      <c r="H16" s="2782"/>
      <c r="I16" s="2782"/>
      <c r="J16" s="2783"/>
      <c r="K16" s="1372"/>
      <c r="L16" s="2784" t="s">
        <v>2881</v>
      </c>
      <c r="M16" s="921">
        <v>0.25</v>
      </c>
      <c r="N16" s="921">
        <v>0.2</v>
      </c>
      <c r="O16" s="921">
        <v>0.15</v>
      </c>
      <c r="P16" s="1371">
        <v>0.1</v>
      </c>
      <c r="Q16" s="1372"/>
      <c r="R16" s="1603">
        <v>15</v>
      </c>
      <c r="S16" s="1604"/>
      <c r="T16" s="1603" t="e">
        <f t="shared" ca="1" si="0"/>
        <v>#DIV/0!</v>
      </c>
      <c r="U16" s="1604"/>
      <c r="V16" s="1603" t="e">
        <f t="shared" ca="1" si="1"/>
        <v>#DIV/0!</v>
      </c>
      <c r="W16" s="1607"/>
      <c r="X16" s="1607"/>
      <c r="Y16" s="1607"/>
      <c r="Z16" s="1607"/>
      <c r="AA16" s="1607"/>
      <c r="AB16" s="1607"/>
      <c r="AC16" s="1608"/>
      <c r="AD16" s="1609"/>
      <c r="AE16" s="1609"/>
      <c r="AF16" s="1609"/>
      <c r="AG16" s="1609"/>
      <c r="AH16" s="1609"/>
      <c r="AI16" s="1609"/>
      <c r="AJ16" s="1610"/>
    </row>
    <row r="17" spans="1:37" ht="13.5" thickBot="1">
      <c r="A17" s="3277"/>
      <c r="B17" s="2785" t="s">
        <v>2882</v>
      </c>
      <c r="C17" s="923">
        <f>SUMPRODUCT((修正!A2:A5=E2)*(修正!B1:M1=G2)*(修正!B2:M5))</f>
        <v>2</v>
      </c>
      <c r="D17" s="2786" t="s">
        <v>2883</v>
      </c>
      <c r="E17" s="922" t="str">
        <f>IF(OR(G2="八级",G2="九级",G2="十级",G2="十一级",G2="十二级"),"五通一平","七通一平")</f>
        <v>五通一平</v>
      </c>
      <c r="F17" s="923" t="s">
        <v>2884</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2"/>
      <c r="L17" s="2787" t="s">
        <v>2885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2886</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2887</v>
      </c>
      <c r="C19" s="926">
        <f>ROUND(IF(H19="按公示增长率计算",SUMPRODUCT((地价!A3:A21=YEAR(G19)&amp;"-"&amp;ROUNDUP(MONTH(G19)/3,0))*(地价!X2:AB2=E2)*(地价!X3:AB21)),IF(H19="地价指数",M20/M19,(1+I19)^O19)),4)</f>
        <v>1.2636000000000001</v>
      </c>
      <c r="D19" s="2797" t="s">
        <v>2888</v>
      </c>
      <c r="E19" s="927">
        <v>41640</v>
      </c>
      <c r="F19" s="2797" t="s">
        <v>2889</v>
      </c>
      <c r="G19" s="928">
        <f>'数据-取费表'!B2</f>
        <v>43165</v>
      </c>
      <c r="H19" s="2798" t="s">
        <v>2890</v>
      </c>
      <c r="I19" s="929" t="str">
        <f>IF(H19="季度增幅（自定义）",SUMIF(N21:N24,E2,O21:O24),"")</f>
        <v/>
      </c>
      <c r="J19" s="2795"/>
      <c r="K19" s="1379"/>
      <c r="L19" s="2799" t="s">
        <v>2891</v>
      </c>
      <c r="M19" s="1735">
        <f>ROUND(SUMIF(地价!B2:F2,E2,地价!B21:F21),0)</f>
        <v>258</v>
      </c>
      <c r="N19" s="2800" t="s">
        <v>2892</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2893</v>
      </c>
      <c r="C20" s="931" t="e">
        <f ca="1">ROUND(POWER(1+G20,J20-I20)*(POWER(1+G20,I20)-1)/(POWER(1+G20,J20)-1),4)</f>
        <v>#DIV/0!</v>
      </c>
      <c r="D20" s="2806" t="s">
        <v>2894</v>
      </c>
      <c r="E20" s="1769">
        <f ca="1">存贷款利率!D4/100</f>
        <v>4.3499999999999997E-2</v>
      </c>
      <c r="F20" s="2806" t="s">
        <v>2885</v>
      </c>
      <c r="G20" s="936">
        <f ca="1">SUMIF(M15:P15,E2,M17:P17)</f>
        <v>5.1999999999999998E-2</v>
      </c>
      <c r="H20" s="2806" t="s">
        <v>2895</v>
      </c>
      <c r="I20" s="937" t="e">
        <f>SUMIF('数据-取费表'!C6:C15,E2,'数据-取费表'!F6:F15)/COUNTIF('数据-取费表'!C6:C15,E2)</f>
        <v>#DIV/0!</v>
      </c>
      <c r="J20" s="938">
        <f>IF(E2="住宅",70,IF(E2="商业",40,50))</f>
        <v>50</v>
      </c>
      <c r="K20" s="1379"/>
      <c r="L20" s="2807" t="s">
        <v>2896</v>
      </c>
      <c r="M20" s="1736">
        <f>ROUND(SUMPRODUCT((地价!A4:A21=YEAR(G19)&amp;"-"&amp;ROUNDUP(MONTH(G19)/3,0))*(地价!B2:F2=E2)*(地价!B4:F21)),0)</f>
        <v>326</v>
      </c>
      <c r="N20" s="2808" t="s">
        <v>2897</v>
      </c>
      <c r="O20" s="2809" t="s">
        <v>2898</v>
      </c>
      <c r="P20" s="2810" t="s">
        <v>2899</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3048</v>
      </c>
      <c r="C21" s="939">
        <f>IF(B21="容积率修正",IF(G3&lt;=10,D22,J22),C23)</f>
        <v>0.91600000000000004</v>
      </c>
      <c r="D21" s="2813"/>
      <c r="E21" s="2813"/>
      <c r="F21" s="2813"/>
      <c r="G21" s="2813"/>
      <c r="H21" s="2813"/>
      <c r="I21" s="2813"/>
      <c r="J21" s="2814"/>
      <c r="K21" s="1379"/>
      <c r="N21" s="2815" t="s">
        <v>2900</v>
      </c>
      <c r="O21" s="1562"/>
      <c r="P21" s="1563">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8" customFormat="1" ht="14.25">
      <c r="A22" s="2664" t="s">
        <v>2901</v>
      </c>
      <c r="B22" s="2816" t="s">
        <v>2902</v>
      </c>
      <c r="C22" s="1811" t="s">
        <v>2903</v>
      </c>
      <c r="D22" s="1811">
        <f>IF(E22=G22,F22,IF(G3&lt;=10,ROUND(F22+(H22-F22)*(G3-E22)/(G22-E22),4),"——"))</f>
        <v>0.91600000000000004</v>
      </c>
      <c r="E22" s="915">
        <f>ROUNDDOWN(G3,1)</f>
        <v>2.5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915">
        <f>ROUNDUP(G3,1)</f>
        <v>2.6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0.91469999999999996</v>
      </c>
      <c r="I22" s="1811" t="s">
        <v>155</v>
      </c>
      <c r="J22" s="940" t="str">
        <f>IF(G3&gt;10,D113,"——")</f>
        <v>——</v>
      </c>
      <c r="K22" s="1379"/>
      <c r="N22" s="2815" t="s">
        <v>2904</v>
      </c>
      <c r="O22" s="1562"/>
      <c r="P22" s="1563">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4" t="s">
        <v>2905</v>
      </c>
      <c r="B23" s="2817" t="s">
        <v>2906</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2907</v>
      </c>
      <c r="O23" s="1562"/>
      <c r="P23" s="1563">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2908</v>
      </c>
      <c r="C24" s="926">
        <f>SUMIF(A45:A88,E2,B45:B88)</f>
        <v>1.0377000000000001</v>
      </c>
      <c r="D24" s="2793"/>
      <c r="E24" s="2823"/>
      <c r="F24" s="2823"/>
      <c r="G24" s="2823"/>
      <c r="H24" s="2823"/>
      <c r="I24" s="2823"/>
      <c r="J24" s="2824"/>
      <c r="K24" s="1379"/>
      <c r="N24" s="2825" t="s">
        <v>2909</v>
      </c>
      <c r="O24" s="1564"/>
      <c r="P24" s="1565">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2910</v>
      </c>
      <c r="C25" s="932"/>
      <c r="D25" s="2748"/>
      <c r="E25" s="2748"/>
      <c r="F25" s="2827"/>
      <c r="G25" s="2748"/>
      <c r="H25" s="2748"/>
      <c r="I25" s="2748"/>
      <c r="J25" s="2749"/>
      <c r="K25" s="1372"/>
      <c r="N25" s="2828" t="s">
        <v>2911</v>
      </c>
      <c r="O25" s="1566"/>
      <c r="P25" s="1565">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2912</v>
      </c>
      <c r="C26" s="205" t="e">
        <f ca="1">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2913</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2914</v>
      </c>
      <c r="C28" s="2840" t="s">
        <v>2915</v>
      </c>
      <c r="D28" s="2840" t="s">
        <v>2916</v>
      </c>
      <c r="E28" s="2841" t="s">
        <v>2917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2918</v>
      </c>
      <c r="C29" s="205" t="e">
        <f ca="1">ROUND(C5*C18*C19*C20*C21*C24,0)</f>
        <v>#DIV/0!</v>
      </c>
      <c r="D29" s="2845">
        <v>10000</v>
      </c>
      <c r="E29" s="944" t="e">
        <f ca="1">ROUND(C29*D29/10000,0)</f>
        <v>#DIV/0!</v>
      </c>
      <c r="F29" s="2846" t="s">
        <v>2919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2920</v>
      </c>
      <c r="C30" s="228" t="e">
        <f ca="1">ROUND(IF(E2="工业",C29*M39,C29*M38),0)</f>
        <v>#DIV/0!</v>
      </c>
      <c r="D30" s="2851"/>
      <c r="E30" s="944" t="e">
        <f ca="1">ROUND(C30*D30/10000,0)</f>
        <v>#DIV/0!</v>
      </c>
      <c r="F30" s="2852" t="s">
        <v>2921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2922</v>
      </c>
      <c r="C31" s="2857" t="s">
        <v>2923</v>
      </c>
      <c r="D31" s="2761"/>
      <c r="E31" s="2857"/>
      <c r="F31" s="2857"/>
      <c r="G31" s="2759" t="s">
        <v>2924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2915</v>
      </c>
      <c r="D32" s="497" t="s">
        <v>2916</v>
      </c>
      <c r="E32" s="497" t="s">
        <v>2917</v>
      </c>
      <c r="F32" s="387" t="s">
        <v>2925</v>
      </c>
      <c r="G32" s="2860" t="s">
        <v>2915</v>
      </c>
      <c r="H32" s="2860" t="s">
        <v>2916</v>
      </c>
      <c r="I32" s="2860" t="s">
        <v>2917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6" t="s">
        <v>2926</v>
      </c>
      <c r="B33" s="2861" t="s">
        <v>2927</v>
      </c>
      <c r="C33" s="205" t="e">
        <f ca="1">ROUND(D5*C19*C20*C24*F33,0)</f>
        <v>#DIV/0!</v>
      </c>
      <c r="D33" s="2845"/>
      <c r="E33" s="199" t="e">
        <f ca="1">ROUND(C33*D33/10000,0)</f>
        <v>#DIV/0!</v>
      </c>
      <c r="F33" s="199">
        <f>SUMIF(修正!A45:A56,G2,修正!B45:B56)</f>
        <v>0.6</v>
      </c>
      <c r="G33" s="199" t="e">
        <f t="shared" ref="G33:G39" ca="1" si="6">ROUND(IF(E2="工业",C33*$M$39,C33*$M$38),0)</f>
        <v>#DIV/0!</v>
      </c>
      <c r="H33" s="199">
        <f>D33</f>
        <v>0</v>
      </c>
      <c r="I33" s="199" t="e">
        <f ca="1">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7"/>
      <c r="B34" s="2765" t="s">
        <v>2928</v>
      </c>
      <c r="C34" s="205" t="e">
        <f ca="1">ROUND(D5*C19*C20*C24*F34,0)</f>
        <v>#DIV/0!</v>
      </c>
      <c r="D34" s="2845"/>
      <c r="E34" s="199" t="e">
        <f t="shared" ref="E34:E39" ca="1" si="7">ROUND(C34*D34/10000,0)</f>
        <v>#DIV/0!</v>
      </c>
      <c r="F34" s="199">
        <f>SUMIF(修正!A45:A56,G2,修正!C45:C56)</f>
        <v>0.3</v>
      </c>
      <c r="G34" s="199" t="e">
        <f t="shared" ca="1" si="6"/>
        <v>#DIV/0!</v>
      </c>
      <c r="H34" s="199">
        <f t="shared" ref="H34:H39" si="8">D34</f>
        <v>0</v>
      </c>
      <c r="I34" s="199" t="e">
        <f t="shared" ref="I34:I39" ca="1"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7"/>
      <c r="B35" s="2765" t="s">
        <v>2929</v>
      </c>
      <c r="C35" s="205" t="e">
        <f ca="1">ROUND(D5*C19*C20*C24*F35,0)</f>
        <v>#DIV/0!</v>
      </c>
      <c r="D35" s="2845"/>
      <c r="E35" s="199" t="e">
        <f t="shared" ca="1" si="7"/>
        <v>#DIV/0!</v>
      </c>
      <c r="F35" s="199">
        <f>SUMIF(修正!A45:A56,G2,修正!D45:D56)</f>
        <v>0.2</v>
      </c>
      <c r="G35" s="199" t="e">
        <f t="shared" ca="1" si="6"/>
        <v>#DIV/0!</v>
      </c>
      <c r="H35" s="199">
        <f t="shared" si="8"/>
        <v>0</v>
      </c>
      <c r="I35" s="199" t="e">
        <f t="shared" ca="1"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8"/>
      <c r="B36" s="2765" t="s">
        <v>2930</v>
      </c>
      <c r="C36" s="205" t="e">
        <f ca="1">ROUND(D5*C19*C20*C24*F36,0)</f>
        <v>#DIV/0!</v>
      </c>
      <c r="D36" s="2845"/>
      <c r="E36" s="199" t="e">
        <f t="shared" ca="1" si="7"/>
        <v>#DIV/0!</v>
      </c>
      <c r="F36" s="199">
        <f>SUMIF(修正!A45:A56,G2,修正!E45:E56)</f>
        <v>0.2</v>
      </c>
      <c r="G36" s="199" t="e">
        <f t="shared" ca="1" si="6"/>
        <v>#DIV/0!</v>
      </c>
      <c r="H36" s="199">
        <f t="shared" si="8"/>
        <v>0</v>
      </c>
      <c r="I36" s="199" t="e">
        <f t="shared" ca="1"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2931</v>
      </c>
      <c r="C37" s="199" t="e">
        <f ca="1">ROUND(C5*C19*C20*C24*F37,0)</f>
        <v>#DIV/0!</v>
      </c>
      <c r="D37" s="2845"/>
      <c r="E37" s="199" t="e">
        <f t="shared" ca="1" si="7"/>
        <v>#DIV/0!</v>
      </c>
      <c r="F37" s="205">
        <f>SUMIF(修正!A45:A56,G2,修正!F45:F56)</f>
        <v>0.2</v>
      </c>
      <c r="G37" s="199" t="e">
        <f t="shared" ca="1" si="6"/>
        <v>#DIV/0!</v>
      </c>
      <c r="H37" s="199">
        <f t="shared" si="8"/>
        <v>0</v>
      </c>
      <c r="I37" s="199" t="e">
        <f t="shared" ca="1" si="9"/>
        <v>#DIV/0!</v>
      </c>
      <c r="J37" s="2862"/>
      <c r="K37" s="1372"/>
      <c r="L37" s="2864" t="s">
        <v>2932</v>
      </c>
      <c r="M37" s="2865"/>
      <c r="N37" s="1372"/>
      <c r="O37" s="1372"/>
      <c r="P37" s="1372"/>
      <c r="Q37" s="1372"/>
      <c r="R37" s="1372"/>
      <c r="S37" s="1372"/>
      <c r="T37" s="1372"/>
      <c r="U37" s="1372"/>
      <c r="V37" s="1372"/>
      <c r="W37" s="1372"/>
      <c r="X37" s="1372"/>
      <c r="Y37" s="1372"/>
      <c r="Z37" s="1373"/>
    </row>
    <row r="38" spans="1:37">
      <c r="A38" s="2863"/>
      <c r="B38" s="2765" t="s">
        <v>2933</v>
      </c>
      <c r="C38" s="199" t="e">
        <f ca="1">ROUND(C5*C19*C20*C24*F38,0)</f>
        <v>#DIV/0!</v>
      </c>
      <c r="D38" s="2845"/>
      <c r="E38" s="199" t="e">
        <f t="shared" ca="1" si="7"/>
        <v>#DIV/0!</v>
      </c>
      <c r="F38" s="205">
        <f>SUMIF(修正!A45:A56,G2,修正!G45:G56)</f>
        <v>0.2</v>
      </c>
      <c r="G38" s="199" t="e">
        <f t="shared" ca="1" si="6"/>
        <v>#DIV/0!</v>
      </c>
      <c r="H38" s="199">
        <f t="shared" si="8"/>
        <v>0</v>
      </c>
      <c r="I38" s="199" t="e">
        <f t="shared" ca="1" si="9"/>
        <v>#DIV/0!</v>
      </c>
      <c r="J38" s="2862"/>
      <c r="K38" s="1372"/>
      <c r="L38" s="1888" t="s">
        <v>2934</v>
      </c>
      <c r="M38" s="2866">
        <v>0.25</v>
      </c>
      <c r="N38" s="1372"/>
      <c r="O38" s="1372"/>
      <c r="P38" s="1372"/>
      <c r="Q38" s="1372"/>
      <c r="R38" s="1372"/>
      <c r="S38" s="1372"/>
      <c r="T38" s="1372"/>
      <c r="U38" s="1372"/>
      <c r="V38" s="1372"/>
      <c r="W38" s="1372"/>
      <c r="X38" s="1372"/>
      <c r="Y38" s="1372"/>
      <c r="Z38" s="1373"/>
    </row>
    <row r="39" spans="1:37" ht="13.5" thickBot="1">
      <c r="A39" s="2849"/>
      <c r="B39" s="2867" t="s">
        <v>2935</v>
      </c>
      <c r="C39" s="228" t="e">
        <f ca="1">ROUND(C5*C19*C20*C24*F39,0)</f>
        <v>#DIV/0!</v>
      </c>
      <c r="D39" s="2851"/>
      <c r="E39" s="228" t="e">
        <f t="shared" ca="1" si="7"/>
        <v>#DIV/0!</v>
      </c>
      <c r="F39" s="934">
        <f>SUMIF(修正!A45:A56,G2,修正!H45:H56)</f>
        <v>0.15</v>
      </c>
      <c r="G39" s="228" t="e">
        <f t="shared" si="6"/>
        <v>#DIV/0!</v>
      </c>
      <c r="H39" s="228">
        <f t="shared" si="8"/>
        <v>0</v>
      </c>
      <c r="I39" s="228" t="e">
        <f t="shared" si="9"/>
        <v>#DIV/0!</v>
      </c>
      <c r="J39" s="2868"/>
      <c r="K39" s="1372"/>
      <c r="L39" s="2869" t="s">
        <v>2877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2937</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2938</v>
      </c>
      <c r="B47" s="1810" t="s">
        <v>2939</v>
      </c>
      <c r="C47" s="1810" t="s">
        <v>2940</v>
      </c>
      <c r="D47" s="1810" t="s">
        <v>2941</v>
      </c>
      <c r="E47" s="818" t="s">
        <v>2942</v>
      </c>
      <c r="F47" s="2879" t="s">
        <v>2943</v>
      </c>
      <c r="G47" s="1810" t="s">
        <v>754</v>
      </c>
      <c r="H47" s="2880" t="s">
        <v>2944</v>
      </c>
      <c r="I47" s="1810" t="s">
        <v>2945</v>
      </c>
      <c r="J47" s="602" t="s">
        <v>2592</v>
      </c>
      <c r="K47" s="602" t="s">
        <v>2593</v>
      </c>
      <c r="L47" s="602" t="s">
        <v>2594</v>
      </c>
      <c r="M47" s="602" t="s">
        <v>2595</v>
      </c>
      <c r="N47" s="602" t="s">
        <v>2596</v>
      </c>
      <c r="AA47" s="1373"/>
      <c r="AB47" s="1373"/>
      <c r="AC47" s="1373"/>
      <c r="AD47" s="1373"/>
      <c r="AE47" s="1373"/>
      <c r="AF47" s="1373"/>
      <c r="AG47" s="1373"/>
      <c r="AH47" s="1373"/>
      <c r="AI47" s="1373"/>
      <c r="AJ47" s="1373"/>
      <c r="AK47" s="1373"/>
    </row>
    <row r="48" spans="1:37" s="1372" customFormat="1" ht="38.25">
      <c r="A48" s="2878" t="s">
        <v>2946</v>
      </c>
      <c r="B48" s="2881" t="str">
        <f>估价对象房地状况!C4</f>
        <v>估价对象位于XX商圈，周边商业氛围成熟，人流量大，商业繁华度好</v>
      </c>
      <c r="C48" s="2770"/>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2947</v>
      </c>
      <c r="B49" s="2882" t="str">
        <f>估价对象房地状况!C18</f>
        <v>估价对象周边道路状况、公共交通通达情况、停车便捷程度，综合评价交通便捷度较好</v>
      </c>
      <c r="C49" s="2770"/>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2948</v>
      </c>
      <c r="B50" s="2882">
        <f>估价对象房地状况!C19</f>
        <v>0</v>
      </c>
      <c r="C50" s="2770"/>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2949</v>
      </c>
      <c r="B51" s="2883" t="s">
        <v>2950</v>
      </c>
      <c r="C51" s="2770"/>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2951</v>
      </c>
      <c r="B52" s="2882">
        <f>估价对象房地状况!C24</f>
        <v>0</v>
      </c>
      <c r="C52" s="2770"/>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2952</v>
      </c>
      <c r="B53" s="2884" t="s">
        <v>2953</v>
      </c>
      <c r="C53" s="2770"/>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2954</v>
      </c>
      <c r="B54" s="1726" t="str">
        <f>估价对象房地状况!C21</f>
        <v>估价对象所在区域公共配套设施齐备情况</v>
      </c>
      <c r="C54" s="2770"/>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2955</v>
      </c>
      <c r="B55" s="2882" t="str">
        <f>估价对象房地状况!C22</f>
        <v>估价对象所在区域基础设施水平</v>
      </c>
      <c r="C55" s="2770"/>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2956</v>
      </c>
      <c r="B56" s="2887" t="str">
        <f>估价对象房地状况!C20</f>
        <v>区域自然环境：；人文环境；综合评价环境状况一般</v>
      </c>
      <c r="C56" s="2770"/>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2957</v>
      </c>
      <c r="B57" s="2875">
        <f>1+E59</f>
        <v>1.0377000000000001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2938</v>
      </c>
      <c r="B58" s="1810"/>
      <c r="C58" s="1810" t="s">
        <v>2940</v>
      </c>
      <c r="D58" s="1810" t="s">
        <v>2941</v>
      </c>
      <c r="E58" s="818" t="s">
        <v>2942</v>
      </c>
      <c r="F58" s="2879" t="s">
        <v>2958</v>
      </c>
      <c r="G58" s="1810" t="s">
        <v>754</v>
      </c>
      <c r="H58" s="2880" t="s">
        <v>2944</v>
      </c>
      <c r="I58" s="1810" t="s">
        <v>2945</v>
      </c>
      <c r="J58" s="602" t="s">
        <v>2592</v>
      </c>
      <c r="K58" s="602" t="s">
        <v>2593</v>
      </c>
      <c r="L58" s="602" t="s">
        <v>2594</v>
      </c>
      <c r="M58" s="602" t="s">
        <v>2595</v>
      </c>
      <c r="N58" s="602" t="s">
        <v>2596</v>
      </c>
      <c r="AA58" s="1373"/>
      <c r="AB58" s="1373"/>
      <c r="AC58" s="1373"/>
      <c r="AD58" s="1373"/>
      <c r="AE58" s="1373"/>
      <c r="AF58" s="1373"/>
      <c r="AG58" s="1373"/>
      <c r="AH58" s="1373"/>
      <c r="AI58" s="1373"/>
      <c r="AJ58" s="1373"/>
      <c r="AK58" s="1373"/>
    </row>
    <row r="59" spans="1:37" s="1372" customFormat="1" ht="38.25">
      <c r="A59" s="2878" t="s">
        <v>2959</v>
      </c>
      <c r="B59" s="2881" t="str">
        <f>估价对象房地状况!C17</f>
        <v>估价对象位于XX商圈，周边办公楼项目较多，入驻率高，办公集聚程度较好</v>
      </c>
      <c r="C59" s="2770" t="s">
        <v>3049</v>
      </c>
      <c r="D59" s="1288">
        <f t="shared" ref="D59:D67" si="15">SUMIF($J$58:$N$58,C59,J59:N59)</f>
        <v>9.1000000000000004E-3</v>
      </c>
      <c r="E59" s="820">
        <f>ROUND(SUM(D59:D67),4)</f>
        <v>3.7699999999999997E-2</v>
      </c>
      <c r="F59" s="2502">
        <f>IF(E2="办公",SUMIF(L1:L12,G2,N1:N12),"——")</f>
        <v>0.15</v>
      </c>
      <c r="G59" s="2939">
        <v>9.1000000000000004E-3</v>
      </c>
      <c r="H59" s="1290">
        <f t="shared" ref="H59:H67" si="16">IFERROR(ROUNDDOWN($F$59*I59/2,4),"——")</f>
        <v>1.7999999999999999E-2</v>
      </c>
      <c r="I59" s="819">
        <v>0.24</v>
      </c>
      <c r="J59" s="1287">
        <f t="shared" ref="J59:J67" si="17">K59+$G59</f>
        <v>1.8200000000000001E-2</v>
      </c>
      <c r="K59" s="1287">
        <f t="shared" ref="K59:K67" si="18">$L59+$G59</f>
        <v>9.1000000000000004E-3</v>
      </c>
      <c r="L59" s="1287">
        <v>0</v>
      </c>
      <c r="M59" s="1287">
        <f t="shared" ref="M59:N67" si="19">L59-$G59</f>
        <v>-9.1000000000000004E-3</v>
      </c>
      <c r="N59" s="1287">
        <f t="shared" si="19"/>
        <v>-1.8200000000000001E-2</v>
      </c>
      <c r="AA59" s="1373"/>
      <c r="AB59" s="1373"/>
      <c r="AC59" s="1373"/>
      <c r="AD59" s="1373"/>
      <c r="AE59" s="1373"/>
      <c r="AF59" s="1373"/>
      <c r="AG59" s="1373"/>
      <c r="AH59" s="1373"/>
      <c r="AI59" s="1373"/>
      <c r="AJ59" s="1373"/>
      <c r="AK59" s="1373"/>
    </row>
    <row r="60" spans="1:37" s="1372" customFormat="1" ht="51">
      <c r="A60" s="2878" t="s">
        <v>2947</v>
      </c>
      <c r="B60" s="2882" t="str">
        <f>估价对象房地状况!C18</f>
        <v>估价对象周边道路状况、公共交通通达情况、停车便捷程度，综合评价交通便捷度较好</v>
      </c>
      <c r="C60" s="2770" t="s">
        <v>3049</v>
      </c>
      <c r="D60" s="1288">
        <f t="shared" si="15"/>
        <v>1.14E-2</v>
      </c>
      <c r="E60" s="821"/>
      <c r="F60" s="2502"/>
      <c r="G60" s="2939">
        <v>1.14E-2</v>
      </c>
      <c r="H60" s="1290">
        <f t="shared" si="16"/>
        <v>2.2499999999999999E-2</v>
      </c>
      <c r="I60" s="819">
        <v>0.3</v>
      </c>
      <c r="J60" s="1287">
        <f t="shared" si="17"/>
        <v>2.2800000000000001E-2</v>
      </c>
      <c r="K60" s="1287">
        <f t="shared" si="18"/>
        <v>1.14E-2</v>
      </c>
      <c r="L60" s="1287">
        <v>0</v>
      </c>
      <c r="M60" s="1287">
        <f t="shared" si="19"/>
        <v>-1.14E-2</v>
      </c>
      <c r="N60" s="1287">
        <f t="shared" si="19"/>
        <v>-2.2800000000000001E-2</v>
      </c>
      <c r="AA60" s="1373"/>
      <c r="AB60" s="1373"/>
      <c r="AC60" s="1373"/>
      <c r="AD60" s="1373"/>
      <c r="AE60" s="1373"/>
      <c r="AF60" s="1373"/>
      <c r="AG60" s="1373"/>
      <c r="AH60" s="1373"/>
      <c r="AI60" s="1373"/>
      <c r="AJ60" s="1373"/>
      <c r="AK60" s="1373"/>
    </row>
    <row r="61" spans="1:37" s="1372" customFormat="1" ht="24">
      <c r="A61" s="2878" t="s">
        <v>2948</v>
      </c>
      <c r="B61" s="2882">
        <f>估价对象房地状况!C19</f>
        <v>0</v>
      </c>
      <c r="C61" s="2770" t="s">
        <v>3049</v>
      </c>
      <c r="D61" s="1288">
        <f t="shared" si="15"/>
        <v>3.0000000000000001E-3</v>
      </c>
      <c r="E61" s="821"/>
      <c r="F61" s="2502"/>
      <c r="G61" s="2939">
        <v>3.0000000000000001E-3</v>
      </c>
      <c r="H61" s="1290">
        <f t="shared" si="16"/>
        <v>6.0000000000000001E-3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8" t="s">
        <v>2949</v>
      </c>
      <c r="B62" s="2883" t="s">
        <v>2950</v>
      </c>
      <c r="C62" s="2770" t="s">
        <v>3049</v>
      </c>
      <c r="D62" s="1288">
        <f t="shared" si="15"/>
        <v>1.5E-3</v>
      </c>
      <c r="E62" s="821"/>
      <c r="F62" s="2502"/>
      <c r="G62" s="2939">
        <v>1.5E-3</v>
      </c>
      <c r="H62" s="1290">
        <f t="shared" si="16"/>
        <v>3.0000000000000001E-3</v>
      </c>
      <c r="I62" s="819">
        <v>0.04</v>
      </c>
      <c r="J62" s="1287">
        <f t="shared" si="17"/>
        <v>3.0000000000000001E-3</v>
      </c>
      <c r="K62" s="1287">
        <f t="shared" si="18"/>
        <v>1.5E-3</v>
      </c>
      <c r="L62" s="1287">
        <v>0</v>
      </c>
      <c r="M62" s="1287">
        <f t="shared" si="19"/>
        <v>-1.5E-3</v>
      </c>
      <c r="N62" s="1287">
        <f t="shared" si="19"/>
        <v>-3.0000000000000001E-3</v>
      </c>
      <c r="AA62" s="1373"/>
      <c r="AB62" s="1373"/>
      <c r="AC62" s="1373"/>
      <c r="AD62" s="1373"/>
      <c r="AE62" s="1373"/>
      <c r="AF62" s="1373"/>
      <c r="AG62" s="1373"/>
      <c r="AH62" s="1373"/>
      <c r="AI62" s="1373"/>
      <c r="AJ62" s="1373"/>
      <c r="AK62" s="1373"/>
    </row>
    <row r="63" spans="1:37" s="1372" customFormat="1" ht="24">
      <c r="A63" s="2878" t="s">
        <v>2951</v>
      </c>
      <c r="B63" s="2882">
        <f>估价对象房地状况!C24</f>
        <v>0</v>
      </c>
      <c r="C63" s="2770" t="s">
        <v>3049</v>
      </c>
      <c r="D63" s="1288">
        <f t="shared" si="15"/>
        <v>1.9E-3</v>
      </c>
      <c r="E63" s="821"/>
      <c r="F63" s="2502"/>
      <c r="G63" s="2939">
        <v>1.9E-3</v>
      </c>
      <c r="H63" s="1290">
        <f t="shared" si="16"/>
        <v>3.7000000000000002E-3</v>
      </c>
      <c r="I63" s="819">
        <v>0.05</v>
      </c>
      <c r="J63" s="1287">
        <f t="shared" si="17"/>
        <v>3.8E-3</v>
      </c>
      <c r="K63" s="1287">
        <f t="shared" si="18"/>
        <v>1.9E-3</v>
      </c>
      <c r="L63" s="1287">
        <v>0</v>
      </c>
      <c r="M63" s="1287">
        <f t="shared" si="19"/>
        <v>-1.9E-3</v>
      </c>
      <c r="N63" s="1287">
        <f t="shared" si="19"/>
        <v>-3.8E-3</v>
      </c>
      <c r="AA63" s="1373"/>
      <c r="AB63" s="1373"/>
      <c r="AC63" s="1373"/>
      <c r="AD63" s="1373"/>
      <c r="AE63" s="1373"/>
      <c r="AF63" s="1373"/>
      <c r="AG63" s="1373"/>
      <c r="AH63" s="1373"/>
      <c r="AI63" s="1373"/>
      <c r="AJ63" s="1373"/>
      <c r="AK63" s="1373"/>
    </row>
    <row r="64" spans="1:37" s="1372" customFormat="1" ht="24">
      <c r="A64" s="2878" t="s">
        <v>2952</v>
      </c>
      <c r="B64" s="2884" t="s">
        <v>2953</v>
      </c>
      <c r="C64" s="2770" t="s">
        <v>3049</v>
      </c>
      <c r="D64" s="1288">
        <f t="shared" si="15"/>
        <v>1.9E-3</v>
      </c>
      <c r="E64" s="821"/>
      <c r="F64" s="2502"/>
      <c r="G64" s="2939">
        <v>1.9E-3</v>
      </c>
      <c r="H64" s="1290">
        <f t="shared" si="16"/>
        <v>3.7000000000000002E-3</v>
      </c>
      <c r="I64" s="819">
        <v>0.05</v>
      </c>
      <c r="J64" s="1287">
        <f t="shared" si="17"/>
        <v>3.8E-3</v>
      </c>
      <c r="K64" s="1287">
        <f t="shared" si="18"/>
        <v>1.9E-3</v>
      </c>
      <c r="L64" s="1287">
        <v>0</v>
      </c>
      <c r="M64" s="1287">
        <f t="shared" si="19"/>
        <v>-1.9E-3</v>
      </c>
      <c r="N64" s="1287">
        <f t="shared" si="19"/>
        <v>-3.8E-3</v>
      </c>
      <c r="AA64" s="1373"/>
      <c r="AB64" s="1373"/>
      <c r="AC64" s="1373"/>
      <c r="AD64" s="1373"/>
      <c r="AE64" s="1373"/>
      <c r="AF64" s="1373"/>
      <c r="AG64" s="1373"/>
      <c r="AH64" s="1373"/>
      <c r="AI64" s="1373"/>
      <c r="AJ64" s="1373"/>
      <c r="AK64" s="1373"/>
    </row>
    <row r="65" spans="1:37" s="1372" customFormat="1" ht="25.5">
      <c r="A65" s="2878" t="s">
        <v>2954</v>
      </c>
      <c r="B65" s="1726" t="str">
        <f>估价对象房地状况!C21</f>
        <v>估价对象所在区域公共配套设施齐备情况</v>
      </c>
      <c r="C65" s="2770" t="s">
        <v>3049</v>
      </c>
      <c r="D65" s="1288">
        <f t="shared" si="15"/>
        <v>2.2000000000000001E-3</v>
      </c>
      <c r="E65" s="821"/>
      <c r="F65" s="2502"/>
      <c r="G65" s="2939">
        <v>2.2000000000000001E-3</v>
      </c>
      <c r="H65" s="1290">
        <f t="shared" si="16"/>
        <v>4.4999999999999997E-3</v>
      </c>
      <c r="I65" s="819">
        <v>0.06</v>
      </c>
      <c r="J65" s="1287">
        <f t="shared" si="17"/>
        <v>4.4000000000000003E-3</v>
      </c>
      <c r="K65" s="1287">
        <f t="shared" si="18"/>
        <v>2.2000000000000001E-3</v>
      </c>
      <c r="L65" s="1287">
        <v>0</v>
      </c>
      <c r="M65" s="1287">
        <f t="shared" si="19"/>
        <v>-2.2000000000000001E-3</v>
      </c>
      <c r="N65" s="1287">
        <f t="shared" si="19"/>
        <v>-4.4000000000000003E-3</v>
      </c>
      <c r="AA65" s="1373"/>
      <c r="AB65" s="1373"/>
      <c r="AC65" s="1373"/>
      <c r="AD65" s="1373"/>
      <c r="AE65" s="1373"/>
      <c r="AF65" s="1373"/>
      <c r="AG65" s="1373"/>
      <c r="AH65" s="1373"/>
      <c r="AI65" s="1373"/>
      <c r="AJ65" s="1373"/>
      <c r="AK65" s="1373"/>
    </row>
    <row r="66" spans="1:37" s="1372" customFormat="1" ht="25.5">
      <c r="A66" s="2878" t="s">
        <v>2955</v>
      </c>
      <c r="B66" s="1726" t="str">
        <f>估价对象房地状况!C22</f>
        <v>估价对象所在区域基础设施水平</v>
      </c>
      <c r="C66" s="2770" t="s">
        <v>3049</v>
      </c>
      <c r="D66" s="1288">
        <f t="shared" si="15"/>
        <v>4.4999999999999997E-3</v>
      </c>
      <c r="E66" s="821"/>
      <c r="F66" s="2502"/>
      <c r="G66" s="2939">
        <v>4.4999999999999997E-3</v>
      </c>
      <c r="H66" s="1290">
        <f t="shared" si="16"/>
        <v>8.9999999999999993E-3</v>
      </c>
      <c r="I66" s="819">
        <v>0.12</v>
      </c>
      <c r="J66" s="1287">
        <f t="shared" si="17"/>
        <v>8.9999999999999993E-3</v>
      </c>
      <c r="K66" s="1287">
        <f t="shared" si="18"/>
        <v>4.4999999999999997E-3</v>
      </c>
      <c r="L66" s="1287">
        <v>0</v>
      </c>
      <c r="M66" s="1287">
        <f t="shared" si="19"/>
        <v>-4.4999999999999997E-3</v>
      </c>
      <c r="N66" s="1287">
        <f t="shared" si="19"/>
        <v>-8.9999999999999993E-3</v>
      </c>
      <c r="AA66" s="1373"/>
      <c r="AB66" s="1373"/>
      <c r="AC66" s="1373"/>
      <c r="AD66" s="1373"/>
      <c r="AE66" s="1373"/>
      <c r="AF66" s="1373"/>
      <c r="AG66" s="1373"/>
      <c r="AH66" s="1373"/>
      <c r="AI66" s="1373"/>
      <c r="AJ66" s="1373"/>
      <c r="AK66" s="1373"/>
    </row>
    <row r="67" spans="1:37" s="1372" customFormat="1" ht="39" thickBot="1">
      <c r="A67" s="2886" t="s">
        <v>2956</v>
      </c>
      <c r="B67" s="2888" t="str">
        <f>估价对象房地状况!C20</f>
        <v>区域自然环境：；人文环境；综合评价环境状况一般</v>
      </c>
      <c r="C67" s="2770" t="s">
        <v>3049</v>
      </c>
      <c r="D67" s="1288">
        <f t="shared" si="15"/>
        <v>2.2000000000000001E-3</v>
      </c>
      <c r="E67" s="824"/>
      <c r="F67" s="2502"/>
      <c r="G67" s="2939">
        <v>2.2000000000000001E-3</v>
      </c>
      <c r="H67" s="1290">
        <f t="shared" si="16"/>
        <v>4.4999999999999997E-3</v>
      </c>
      <c r="I67" s="823">
        <v>0.06</v>
      </c>
      <c r="J67" s="1287">
        <f t="shared" si="17"/>
        <v>4.4000000000000003E-3</v>
      </c>
      <c r="K67" s="1287">
        <f t="shared" si="18"/>
        <v>2.2000000000000001E-3</v>
      </c>
      <c r="L67" s="1287">
        <v>0</v>
      </c>
      <c r="M67" s="1287">
        <f t="shared" si="19"/>
        <v>-2.2000000000000001E-3</v>
      </c>
      <c r="N67" s="1287">
        <f t="shared" si="19"/>
        <v>-4.4000000000000003E-3</v>
      </c>
      <c r="AA67" s="1373"/>
      <c r="AB67" s="1373"/>
      <c r="AC67" s="1373"/>
      <c r="AD67" s="1373"/>
      <c r="AE67" s="1373"/>
      <c r="AF67" s="1373"/>
      <c r="AG67" s="1373"/>
      <c r="AH67" s="1373"/>
      <c r="AI67" s="1373"/>
      <c r="AJ67" s="1373"/>
      <c r="AK67" s="1373"/>
    </row>
    <row r="68" spans="1:37" s="1372" customFormat="1" ht="15">
      <c r="A68" s="2874" t="s">
        <v>2960</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2938</v>
      </c>
      <c r="B69" s="1810"/>
      <c r="C69" s="1810" t="s">
        <v>2940</v>
      </c>
      <c r="D69" s="1810" t="s">
        <v>2941</v>
      </c>
      <c r="E69" s="818" t="s">
        <v>2942</v>
      </c>
      <c r="F69" s="2879" t="s">
        <v>2958</v>
      </c>
      <c r="G69" s="1810" t="s">
        <v>754</v>
      </c>
      <c r="H69" s="2880" t="s">
        <v>2944</v>
      </c>
      <c r="I69" s="1810" t="s">
        <v>2945</v>
      </c>
      <c r="J69" s="602" t="s">
        <v>2592</v>
      </c>
      <c r="K69" s="602" t="s">
        <v>2593</v>
      </c>
      <c r="L69" s="602" t="s">
        <v>2594</v>
      </c>
      <c r="M69" s="602" t="s">
        <v>2595</v>
      </c>
      <c r="N69" s="602" t="s">
        <v>2596</v>
      </c>
      <c r="AA69" s="1373"/>
      <c r="AB69" s="1373"/>
      <c r="AC69" s="1373"/>
      <c r="AD69" s="1373"/>
      <c r="AE69" s="1373"/>
      <c r="AF69" s="1373"/>
      <c r="AG69" s="1373"/>
      <c r="AH69" s="1373"/>
      <c r="AI69" s="1373"/>
      <c r="AJ69" s="1373"/>
      <c r="AK69" s="1373"/>
    </row>
    <row r="70" spans="1:37" s="1372" customFormat="1" ht="51">
      <c r="A70" s="2878" t="s">
        <v>2961</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2947</v>
      </c>
      <c r="B71" s="2882" t="str">
        <f>估价对象房地状况!C18</f>
        <v>估价对象周边道路状况、公共交通通达情况、停车便捷程度，综合评价交通便捷度较好</v>
      </c>
      <c r="C71" s="2770"/>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2948</v>
      </c>
      <c r="B72" s="2882">
        <f>估价对象房地状况!C19</f>
        <v>0</v>
      </c>
      <c r="C72" s="2770"/>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2962</v>
      </c>
      <c r="B73" s="2882">
        <f>估价对象房地状况!C24</f>
        <v>0</v>
      </c>
      <c r="C73" s="2770"/>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2954</v>
      </c>
      <c r="B74" s="1726" t="str">
        <f>估价对象房地状况!C21</f>
        <v>估价对象所在区域公共配套设施齐备情况</v>
      </c>
      <c r="C74" s="2770"/>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2955</v>
      </c>
      <c r="B75" s="1726" t="str">
        <f>估价对象房地状况!C22</f>
        <v>估价对象所在区域基础设施水平</v>
      </c>
      <c r="C75" s="2770"/>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2952</v>
      </c>
      <c r="B76" s="2884" t="s">
        <v>2953</v>
      </c>
      <c r="C76" s="2770"/>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2956</v>
      </c>
      <c r="B77" s="2881" t="str">
        <f>估价对象房地状况!C20</f>
        <v>区域自然环境：；人文环境；综合评价环境状况一般</v>
      </c>
      <c r="C77" s="2770"/>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2963</v>
      </c>
      <c r="B78" s="2890"/>
      <c r="C78" s="2770"/>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2964</v>
      </c>
      <c r="B79" s="2875">
        <f>1+E81</f>
        <v>1</v>
      </c>
      <c r="C79" s="813"/>
      <c r="D79" s="813"/>
      <c r="E79" s="814"/>
      <c r="F79" s="2877"/>
      <c r="G79" s="6"/>
      <c r="H79" s="6"/>
      <c r="I79" s="6"/>
      <c r="J79" s="7"/>
      <c r="K79" s="7"/>
      <c r="L79" s="7"/>
      <c r="M79" s="7"/>
      <c r="N79" s="7"/>
      <c r="Z79" s="2720"/>
      <c r="AA79" s="2796"/>
      <c r="AG79" s="1374"/>
      <c r="AK79" s="2796"/>
    </row>
    <row r="80" spans="1:37" ht="24.75">
      <c r="A80" s="2878" t="s">
        <v>2938</v>
      </c>
      <c r="B80" s="1810"/>
      <c r="C80" s="1810" t="s">
        <v>2940</v>
      </c>
      <c r="D80" s="1810" t="s">
        <v>2941</v>
      </c>
      <c r="E80" s="818" t="s">
        <v>2942</v>
      </c>
      <c r="F80" s="2879" t="s">
        <v>2958</v>
      </c>
      <c r="G80" s="1810" t="s">
        <v>754</v>
      </c>
      <c r="H80" s="2880" t="s">
        <v>2944</v>
      </c>
      <c r="I80" s="1810" t="s">
        <v>2945</v>
      </c>
      <c r="J80" s="602" t="s">
        <v>2592</v>
      </c>
      <c r="K80" s="602" t="s">
        <v>2593</v>
      </c>
      <c r="L80" s="602" t="s">
        <v>2594</v>
      </c>
      <c r="M80" s="602" t="s">
        <v>2595</v>
      </c>
      <c r="N80" s="602" t="s">
        <v>2596</v>
      </c>
      <c r="Z80" s="2720"/>
      <c r="AA80" s="2796"/>
      <c r="AG80" s="1374"/>
      <c r="AK80" s="2796"/>
    </row>
    <row r="81" spans="1:37" ht="38.25">
      <c r="A81" s="2878" t="s">
        <v>2965</v>
      </c>
      <c r="B81" s="2882" t="str">
        <f>估价对象房地状况!G15</f>
        <v>估价对象位于XX开发区，园区建设成熟度XX，产业集聚程度XX</v>
      </c>
      <c r="C81" s="2770"/>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2947</v>
      </c>
      <c r="B82" s="2882" t="str">
        <f>估价对象房地状况!G16</f>
        <v>估价对象周边道路状况、公共交通通达情况、停车便捷程度，综合评价交通便捷度较好</v>
      </c>
      <c r="C82" s="2770"/>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2948</v>
      </c>
      <c r="B83" s="2882">
        <f>估价对象房地状况!G17</f>
        <v>0</v>
      </c>
      <c r="C83" s="2770"/>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2962</v>
      </c>
      <c r="B84" s="2882">
        <f>估价对象房地状况!G22</f>
        <v>0</v>
      </c>
      <c r="C84" s="2770"/>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2954</v>
      </c>
      <c r="B85" s="1726" t="str">
        <f>估价对象房地状况!G19</f>
        <v>估价对象所在区域公共配套设施齐备情况</v>
      </c>
      <c r="C85" s="2770"/>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2955</v>
      </c>
      <c r="B86" s="1726" t="str">
        <f>估价对象房地状况!G20</f>
        <v>估价对象所在区域基础设施水平</v>
      </c>
      <c r="C86" s="2770"/>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2952</v>
      </c>
      <c r="B87" s="2884" t="s">
        <v>2966</v>
      </c>
      <c r="C87" s="2770"/>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2967</v>
      </c>
      <c r="B88" s="2891" t="str">
        <f>估价对象房地状况!G18</f>
        <v>该园区内是否有污染型企业，绿化情况，卫生条件，整体环境状况判断</v>
      </c>
      <c r="C88" s="2770"/>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80" t="s">
        <v>2968</v>
      </c>
      <c r="B90" s="3280"/>
      <c r="C90" s="3280"/>
      <c r="D90" s="3280"/>
      <c r="E90" s="3280"/>
      <c r="F90" s="3280"/>
      <c r="G90" s="3280"/>
      <c r="H90" s="3280"/>
      <c r="I90" s="3280"/>
      <c r="J90" s="3280"/>
      <c r="K90" s="2892"/>
      <c r="L90" s="2892"/>
      <c r="M90" s="2892"/>
      <c r="N90" s="2892"/>
    </row>
    <row r="91" spans="1:37">
      <c r="A91" s="3282" t="s">
        <v>2969</v>
      </c>
      <c r="B91" s="3282" t="s">
        <v>2970</v>
      </c>
      <c r="C91" s="2846" t="s">
        <v>2971</v>
      </c>
      <c r="D91" s="2847"/>
      <c r="E91" s="2847"/>
      <c r="F91" s="2847"/>
      <c r="G91" s="2847"/>
      <c r="H91" s="2847"/>
      <c r="I91" s="2847"/>
      <c r="J91" s="2893"/>
      <c r="K91" s="2894"/>
      <c r="L91" s="2894"/>
      <c r="M91" s="2894"/>
      <c r="N91" s="2894"/>
    </row>
    <row r="92" spans="1:37">
      <c r="A92" s="3282"/>
      <c r="B92" s="3282"/>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283" t="s">
        <v>2972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4"/>
      <c r="B99" s="2895" t="s">
        <v>2852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3" t="s">
        <v>2973</v>
      </c>
      <c r="B101" s="2899" t="s">
        <v>2974</v>
      </c>
      <c r="C101" s="2900">
        <f>$G$3</f>
        <v>2.59</v>
      </c>
      <c r="D101" s="2900">
        <f t="shared" ref="D101:N101" si="31">$G$3</f>
        <v>2.59</v>
      </c>
      <c r="E101" s="2900">
        <f t="shared" si="31"/>
        <v>2.59</v>
      </c>
      <c r="F101" s="2900">
        <f t="shared" si="31"/>
        <v>2.59</v>
      </c>
      <c r="G101" s="2900">
        <f t="shared" si="31"/>
        <v>2.59</v>
      </c>
      <c r="H101" s="2900">
        <f t="shared" si="31"/>
        <v>2.59</v>
      </c>
      <c r="I101" s="2900">
        <f t="shared" si="31"/>
        <v>2.59</v>
      </c>
      <c r="J101" s="2900">
        <f t="shared" si="31"/>
        <v>2.59</v>
      </c>
      <c r="K101" s="2900">
        <f t="shared" si="31"/>
        <v>2.59</v>
      </c>
      <c r="L101" s="2900">
        <f t="shared" si="31"/>
        <v>2.59</v>
      </c>
      <c r="M101" s="2900">
        <f t="shared" si="31"/>
        <v>2.59</v>
      </c>
      <c r="N101" s="2900">
        <f t="shared" si="31"/>
        <v>2.59</v>
      </c>
    </row>
    <row r="102" spans="1:14">
      <c r="A102" s="3284"/>
      <c r="B102" s="2895">
        <v>1</v>
      </c>
      <c r="C102" s="2896">
        <f>1.9362/C101</f>
        <v>0.74756756756756759</v>
      </c>
      <c r="D102" s="2896">
        <f>1.9362/D101</f>
        <v>0.74756756756756759</v>
      </c>
      <c r="E102" s="2896">
        <f>1.8629/E101</f>
        <v>0.71926640926640928</v>
      </c>
      <c r="F102" s="2896">
        <f>1.8629/F101</f>
        <v>0.71926640926640928</v>
      </c>
      <c r="G102" s="2896">
        <f>1.8629/G101</f>
        <v>0.71926640926640928</v>
      </c>
      <c r="H102" s="2896">
        <f>1.8629/H101</f>
        <v>0.71926640926640928</v>
      </c>
      <c r="I102" s="2896">
        <f>1.8629/I101</f>
        <v>0.71926640926640928</v>
      </c>
      <c r="J102" s="2896">
        <f>1.942/J101</f>
        <v>0.74980694980694984</v>
      </c>
      <c r="K102" s="2896">
        <f>1.942/K101</f>
        <v>0.74980694980694984</v>
      </c>
      <c r="L102" s="2896">
        <f>1.942/L101</f>
        <v>0.74980694980694984</v>
      </c>
      <c r="M102" s="2896">
        <f>1.942/M101</f>
        <v>0.74980694980694984</v>
      </c>
      <c r="N102" s="2896">
        <f>1.942/N101</f>
        <v>0.74980694980694984</v>
      </c>
    </row>
    <row r="103" spans="1:14">
      <c r="A103" s="3284"/>
      <c r="B103" s="2895">
        <v>2</v>
      </c>
      <c r="C103" s="2896">
        <f>1.4198/C101</f>
        <v>0.54818532818532817</v>
      </c>
      <c r="D103" s="2896">
        <f>1.4198/D101</f>
        <v>0.54818532818532817</v>
      </c>
      <c r="E103" s="2896">
        <f>1.3372/E101</f>
        <v>0.51629343629343627</v>
      </c>
      <c r="F103" s="2896">
        <f>1.3372/F101</f>
        <v>0.51629343629343627</v>
      </c>
      <c r="G103" s="2896">
        <f>1.3372/G101</f>
        <v>0.51629343629343627</v>
      </c>
      <c r="H103" s="2896">
        <f>1.3372/H101</f>
        <v>0.51629343629343627</v>
      </c>
      <c r="I103" s="2896">
        <f>1.3372/I101</f>
        <v>0.51629343629343627</v>
      </c>
      <c r="J103" s="2896">
        <f>1.2799/J101</f>
        <v>0.49416988416988422</v>
      </c>
      <c r="K103" s="2896">
        <f>1.2799/K101</f>
        <v>0.49416988416988422</v>
      </c>
      <c r="L103" s="2896">
        <f>1.2799/L101</f>
        <v>0.49416988416988422</v>
      </c>
      <c r="M103" s="2896">
        <f>1.2799/M101</f>
        <v>0.49416988416988422</v>
      </c>
      <c r="N103" s="2896">
        <f>1.2799/N101</f>
        <v>0.49416988416988422</v>
      </c>
    </row>
    <row r="104" spans="1:14">
      <c r="A104" s="3284"/>
      <c r="B104" s="2895">
        <v>3</v>
      </c>
      <c r="C104" s="2896">
        <f>1.1594/C101</f>
        <v>0.44764478764478766</v>
      </c>
      <c r="D104" s="2896">
        <f>1.1594/D101</f>
        <v>0.44764478764478766</v>
      </c>
      <c r="E104" s="2896">
        <f>1.0788/E101</f>
        <v>0.41652509652509656</v>
      </c>
      <c r="F104" s="2896">
        <f>1.0788/F101</f>
        <v>0.41652509652509656</v>
      </c>
      <c r="G104" s="2896">
        <f>1.0788/G101</f>
        <v>0.41652509652509656</v>
      </c>
      <c r="H104" s="2896">
        <f>1.0788/H101</f>
        <v>0.41652509652509656</v>
      </c>
      <c r="I104" s="2896">
        <f>1.0788/I101</f>
        <v>0.41652509652509656</v>
      </c>
      <c r="J104" s="2896">
        <f>1.0072/J101</f>
        <v>0.38888030888030894</v>
      </c>
      <c r="K104" s="2896">
        <f>1.0072/K101</f>
        <v>0.38888030888030894</v>
      </c>
      <c r="L104" s="2896">
        <f>1.0072/L101</f>
        <v>0.38888030888030894</v>
      </c>
      <c r="M104" s="2896">
        <f>1.0072/M101</f>
        <v>0.38888030888030894</v>
      </c>
      <c r="N104" s="2896">
        <f>1.0072/N101</f>
        <v>0.38888030888030894</v>
      </c>
    </row>
    <row r="105" spans="1:14">
      <c r="A105" s="3284"/>
      <c r="B105" s="2895">
        <v>4</v>
      </c>
      <c r="C105" s="2896">
        <f>0.9622/C101</f>
        <v>0.37150579150579155</v>
      </c>
      <c r="D105" s="2896">
        <f>0.9622/D101</f>
        <v>0.37150579150579155</v>
      </c>
      <c r="E105" s="2896">
        <f>0.8656/E101</f>
        <v>0.33420849420849424</v>
      </c>
      <c r="F105" s="2896">
        <f>0.8656/F101</f>
        <v>0.33420849420849424</v>
      </c>
      <c r="G105" s="2896">
        <f>0.8656/G101</f>
        <v>0.33420849420849424</v>
      </c>
      <c r="H105" s="2896">
        <f>0.8656/H101</f>
        <v>0.33420849420849424</v>
      </c>
      <c r="I105" s="2896">
        <f>0.8656/I101</f>
        <v>0.33420849420849424</v>
      </c>
      <c r="J105" s="2896">
        <f>0.7525/J101</f>
        <v>0.29054054054054052</v>
      </c>
      <c r="K105" s="2896">
        <f>0.7525/K101</f>
        <v>0.29054054054054052</v>
      </c>
      <c r="L105" s="2896">
        <f>0.7525/L101</f>
        <v>0.29054054054054052</v>
      </c>
      <c r="M105" s="2896">
        <f>0.7525/M101</f>
        <v>0.29054054054054052</v>
      </c>
      <c r="N105" s="2896">
        <f>0.7525/N101</f>
        <v>0.29054054054054052</v>
      </c>
    </row>
    <row r="106" spans="1:14">
      <c r="A106" s="3284"/>
      <c r="B106" s="2895">
        <v>5</v>
      </c>
      <c r="C106" s="2896">
        <f>0.8417/C101</f>
        <v>0.32498069498069498</v>
      </c>
      <c r="D106" s="2896">
        <f>0.8417/D101</f>
        <v>0.32498069498069498</v>
      </c>
      <c r="E106" s="2896">
        <f>0.7371/E101</f>
        <v>0.28459459459459457</v>
      </c>
      <c r="F106" s="2896">
        <f>0.7371/F101</f>
        <v>0.28459459459459457</v>
      </c>
      <c r="G106" s="2896">
        <f>0.7371/G101</f>
        <v>0.28459459459459457</v>
      </c>
      <c r="H106" s="2896">
        <f>0.7371/H101</f>
        <v>0.28459459459459457</v>
      </c>
      <c r="I106" s="2896">
        <f>0.7371/I101</f>
        <v>0.28459459459459457</v>
      </c>
      <c r="J106" s="2896">
        <f>0.5659/J101</f>
        <v>0.2184942084942085</v>
      </c>
      <c r="K106" s="2896">
        <f>0.5659/K101</f>
        <v>0.2184942084942085</v>
      </c>
      <c r="L106" s="2896">
        <f>0.5659/L101</f>
        <v>0.2184942084942085</v>
      </c>
      <c r="M106" s="2896">
        <f>0.5659/M101</f>
        <v>0.2184942084942085</v>
      </c>
      <c r="N106" s="2896">
        <f>0.5659/N101</f>
        <v>0.2184942084942085</v>
      </c>
    </row>
    <row r="107" spans="1:14">
      <c r="A107" s="3284"/>
      <c r="B107" s="2895">
        <v>6</v>
      </c>
      <c r="C107" s="2896">
        <f>0.7608/C101</f>
        <v>0.29374517374517378</v>
      </c>
      <c r="D107" s="2896">
        <f>0.7608/D101</f>
        <v>0.29374517374517378</v>
      </c>
      <c r="E107" s="2896">
        <f>0.6482/E101</f>
        <v>0.25027027027027027</v>
      </c>
      <c r="F107" s="2896">
        <f>0.6482/F101</f>
        <v>0.25027027027027027</v>
      </c>
      <c r="G107" s="2896">
        <f>0.6482/G101</f>
        <v>0.25027027027027027</v>
      </c>
      <c r="H107" s="2896">
        <f>0.6482/H101</f>
        <v>0.25027027027027027</v>
      </c>
      <c r="I107" s="2896">
        <f>0.6482/I101</f>
        <v>0.25027027027027027</v>
      </c>
      <c r="J107" s="2896">
        <f>0.4525/J101</f>
        <v>0.17471042471042472</v>
      </c>
      <c r="K107" s="2896">
        <f>0.4525/K101</f>
        <v>0.17471042471042472</v>
      </c>
      <c r="L107" s="2896">
        <f>0.4525/L101</f>
        <v>0.17471042471042472</v>
      </c>
      <c r="M107" s="2896">
        <f>0.4525/M101</f>
        <v>0.17471042471042472</v>
      </c>
      <c r="N107" s="2896">
        <f>0.4525/N101</f>
        <v>0.17471042471042472</v>
      </c>
    </row>
    <row r="108" spans="1:14">
      <c r="A108" s="3284"/>
      <c r="B108" s="3134" t="s">
        <v>2975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5"/>
      <c r="B109" s="3135"/>
      <c r="C109" s="2898">
        <f>(-0.163*(C108^2)-0.59*C108+7617)*(10^(-4))/C101</f>
        <v>0.2940926640926641</v>
      </c>
      <c r="D109" s="2898">
        <f>(-0.163*(D108^2)-0.59*D108+7617)*(10^(-4))/D101</f>
        <v>0.2940926640926641</v>
      </c>
      <c r="E109" s="2898">
        <f>(-0.161*(E108^2)-7.509*E108+6533)*(10^(-4))/E101</f>
        <v>0.25223938223938225</v>
      </c>
      <c r="F109" s="2898">
        <f>(-0.161*(F108^2)-7.509*F108+6533)*(10^(-4))/F101</f>
        <v>0.25223938223938225</v>
      </c>
      <c r="G109" s="2898">
        <f>(-0.161*(G108^2)-7.509*G108+6533)*(10^(-4))/G101</f>
        <v>0.25223938223938225</v>
      </c>
      <c r="H109" s="2898">
        <f>(-0.161*(H108^2)-7.509*H108+6533)*(10^(-4))/H101</f>
        <v>0.25223938223938225</v>
      </c>
      <c r="I109" s="2898">
        <f>(-0.161*(I108^2)-7.509*I108+6533)*(10^(-4))/I101</f>
        <v>0.25223938223938225</v>
      </c>
      <c r="J109" s="2898">
        <f>(-0.214*(J108^2)-21.991*J108+4665)*(10^(-4))/J101</f>
        <v>0.18011583011583013</v>
      </c>
      <c r="K109" s="2898">
        <f>(-0.214*(K108^2)-21.991*K108+4665)*(10^(-4))/K101</f>
        <v>0.18011583011583013</v>
      </c>
      <c r="L109" s="2898">
        <f>(-0.214*(L108^2)-21.991*L108+4665)*(10^(-4))/L101</f>
        <v>0.18011583011583013</v>
      </c>
      <c r="M109" s="2898">
        <f>(-0.214*(M108^2)-21.991*M108+4665)*(10^(-4))/M101</f>
        <v>0.18011583011583013</v>
      </c>
      <c r="N109" s="2898">
        <f>(-0.214*(N108^2)-21.991*N108+4665)*(10^(-4))/N101</f>
        <v>0.18011583011583013</v>
      </c>
    </row>
    <row r="110" spans="1:14">
      <c r="A110" s="3281" t="s">
        <v>2976</v>
      </c>
      <c r="B110" s="3281"/>
      <c r="C110" s="3281"/>
      <c r="D110" s="3281"/>
      <c r="E110" s="3281"/>
      <c r="F110" s="3281"/>
      <c r="G110" s="3281"/>
      <c r="H110" s="3281"/>
      <c r="I110" s="3281"/>
      <c r="J110" s="3281"/>
      <c r="K110" s="2901"/>
      <c r="L110" s="2901"/>
      <c r="M110" s="2901"/>
      <c r="N110" s="2901"/>
    </row>
    <row r="112" spans="1:14" ht="13.5" thickBot="1"/>
    <row r="113" spans="1:13" ht="25.5" thickBot="1">
      <c r="A113" s="902" t="s">
        <v>2977</v>
      </c>
      <c r="B113" s="1289">
        <f>G3</f>
        <v>2.59</v>
      </c>
      <c r="C113" s="903" t="s">
        <v>2978</v>
      </c>
      <c r="D113" s="904">
        <f>SUMPRODUCT((A115:A118=F113)*(B114:M114=H113)*B115:M118)</f>
        <v>0.73309999999999997</v>
      </c>
      <c r="E113" s="2724" t="s">
        <v>2809</v>
      </c>
      <c r="F113" s="2903" t="str">
        <f>E2</f>
        <v>办公</v>
      </c>
      <c r="G113" s="2724" t="s">
        <v>2810</v>
      </c>
      <c r="H113" s="2903" t="str">
        <f>G2</f>
        <v>八级</v>
      </c>
      <c r="I113" s="2724"/>
      <c r="J113" s="2904"/>
      <c r="K113" s="2904"/>
      <c r="L113" s="2904"/>
      <c r="M113" s="2904"/>
    </row>
    <row r="114" spans="1:13">
      <c r="A114" s="907"/>
      <c r="B114" s="2905" t="s">
        <v>2979</v>
      </c>
      <c r="C114" s="2905" t="s">
        <v>2980</v>
      </c>
      <c r="D114" s="2905" t="s">
        <v>2981</v>
      </c>
      <c r="E114" s="2906" t="s">
        <v>2982</v>
      </c>
      <c r="F114" s="2906" t="s">
        <v>2983</v>
      </c>
      <c r="G114" s="2906" t="s">
        <v>2984</v>
      </c>
      <c r="H114" s="2907" t="s">
        <v>2985</v>
      </c>
      <c r="I114" s="2907" t="s">
        <v>2986</v>
      </c>
      <c r="J114" s="2908" t="s">
        <v>2987</v>
      </c>
      <c r="K114" s="2908" t="s">
        <v>2988</v>
      </c>
      <c r="L114" s="2908" t="s">
        <v>2989</v>
      </c>
      <c r="M114" s="2909" t="s">
        <v>2990</v>
      </c>
    </row>
    <row r="115" spans="1:13">
      <c r="A115" s="908" t="s">
        <v>2874</v>
      </c>
      <c r="B115" s="909">
        <f>ROUND(0.9335-0.0094*B113,4)</f>
        <v>0.90920000000000001</v>
      </c>
      <c r="C115" s="909">
        <f>B115</f>
        <v>0.90920000000000001</v>
      </c>
      <c r="D115" s="909">
        <f>ROUND(0.8331-0.0109*B113,4)</f>
        <v>0.80489999999999995</v>
      </c>
      <c r="E115" s="909">
        <f>D115</f>
        <v>0.80489999999999995</v>
      </c>
      <c r="F115" s="909">
        <f>E115</f>
        <v>0.80489999999999995</v>
      </c>
      <c r="G115" s="909">
        <f>F115</f>
        <v>0.80489999999999995</v>
      </c>
      <c r="H115" s="909">
        <f>G115</f>
        <v>0.80489999999999995</v>
      </c>
      <c r="I115" s="909">
        <f>ROUND(0.689-0.0155*B113,4)</f>
        <v>0.64890000000000003</v>
      </c>
      <c r="J115" s="909">
        <f t="shared" ref="J115:M118" si="33">I115</f>
        <v>0.64890000000000003</v>
      </c>
      <c r="K115" s="909">
        <f t="shared" si="33"/>
        <v>0.64890000000000003</v>
      </c>
      <c r="L115" s="909">
        <f t="shared" si="33"/>
        <v>0.64890000000000003</v>
      </c>
      <c r="M115" s="910">
        <f t="shared" si="33"/>
        <v>0.64890000000000003</v>
      </c>
    </row>
    <row r="116" spans="1:13">
      <c r="A116" s="908" t="s">
        <v>2875</v>
      </c>
      <c r="B116" s="909">
        <f>ROUND(0.949-0.012*B113,4)</f>
        <v>0.91790000000000005</v>
      </c>
      <c r="C116" s="909">
        <f>B116</f>
        <v>0.91790000000000005</v>
      </c>
      <c r="D116" s="909">
        <f>ROUND(0.8567-0.013*B113,4)</f>
        <v>0.82299999999999995</v>
      </c>
      <c r="E116" s="909">
        <f t="shared" ref="E116:H117" si="34">D116</f>
        <v>0.82299999999999995</v>
      </c>
      <c r="F116" s="909">
        <f t="shared" si="34"/>
        <v>0.82299999999999995</v>
      </c>
      <c r="G116" s="909">
        <f t="shared" si="34"/>
        <v>0.82299999999999995</v>
      </c>
      <c r="H116" s="909">
        <f t="shared" si="34"/>
        <v>0.82299999999999995</v>
      </c>
      <c r="I116" s="909">
        <f>ROUND(0.7694-0.014*B113,4)</f>
        <v>0.73309999999999997</v>
      </c>
      <c r="J116" s="909">
        <f t="shared" si="33"/>
        <v>0.73309999999999997</v>
      </c>
      <c r="K116" s="909">
        <f t="shared" si="33"/>
        <v>0.73309999999999997</v>
      </c>
      <c r="L116" s="909">
        <f t="shared" si="33"/>
        <v>0.73309999999999997</v>
      </c>
      <c r="M116" s="910">
        <f t="shared" si="33"/>
        <v>0.73309999999999997</v>
      </c>
    </row>
    <row r="117" spans="1:13">
      <c r="A117" s="908" t="s">
        <v>2876</v>
      </c>
      <c r="B117" s="909">
        <f>ROUND(0.8808-0.006*B113,4)</f>
        <v>0.86529999999999996</v>
      </c>
      <c r="C117" s="909">
        <f>B117</f>
        <v>0.86529999999999996</v>
      </c>
      <c r="D117" s="909">
        <f>ROUND(0.8748-0.008*B113,4)</f>
        <v>0.85409999999999997</v>
      </c>
      <c r="E117" s="909">
        <f t="shared" si="34"/>
        <v>0.85409999999999997</v>
      </c>
      <c r="F117" s="909">
        <f t="shared" si="34"/>
        <v>0.85409999999999997</v>
      </c>
      <c r="G117" s="909">
        <f t="shared" si="34"/>
        <v>0.85409999999999997</v>
      </c>
      <c r="H117" s="909">
        <f t="shared" si="34"/>
        <v>0.85409999999999997</v>
      </c>
      <c r="I117" s="909">
        <f>ROUND(0.7412-0.0095*B113,4)</f>
        <v>0.71660000000000001</v>
      </c>
      <c r="J117" s="909">
        <f t="shared" si="33"/>
        <v>0.71660000000000001</v>
      </c>
      <c r="K117" s="909">
        <f t="shared" si="33"/>
        <v>0.71660000000000001</v>
      </c>
      <c r="L117" s="909">
        <f t="shared" si="33"/>
        <v>0.71660000000000001</v>
      </c>
      <c r="M117" s="910">
        <f t="shared" si="33"/>
        <v>0.71660000000000001</v>
      </c>
    </row>
    <row r="118" spans="1:13" ht="13.5" thickBot="1">
      <c r="A118" s="713" t="s">
        <v>2877</v>
      </c>
      <c r="B118" s="911">
        <f>ROUND(0.7275-0.01*B113,4)</f>
        <v>0.7016</v>
      </c>
      <c r="C118" s="911">
        <f>B118</f>
        <v>0.7016</v>
      </c>
      <c r="D118" s="911">
        <f>ROUND(0.7043-0.012*B113,4)</f>
        <v>0.67320000000000002</v>
      </c>
      <c r="E118" s="911">
        <f>D118</f>
        <v>0.67320000000000002</v>
      </c>
      <c r="F118" s="911">
        <f>E118</f>
        <v>0.67320000000000002</v>
      </c>
      <c r="G118" s="911">
        <f>ROUND(0.6299-0.0122*B113,4)</f>
        <v>0.59830000000000005</v>
      </c>
      <c r="H118" s="911">
        <f>G118</f>
        <v>0.59830000000000005</v>
      </c>
      <c r="I118" s="911">
        <f>ROUND(0.5667-0.0136*B113,4)</f>
        <v>0.53149999999999997</v>
      </c>
      <c r="J118" s="911">
        <f t="shared" si="33"/>
        <v>0.53149999999999997</v>
      </c>
      <c r="K118" s="911">
        <f t="shared" si="33"/>
        <v>0.53149999999999997</v>
      </c>
      <c r="L118" s="911">
        <f t="shared" si="33"/>
        <v>0.53149999999999997</v>
      </c>
      <c r="M118" s="912">
        <f t="shared" si="33"/>
        <v>0.53149999999999997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0.92730000000000001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2999</v>
      </c>
    </row>
    <row r="2" spans="1:5" ht="15.75">
      <c r="A2" s="2910" t="s">
        <v>2991</v>
      </c>
      <c r="B2" s="2911" t="e">
        <f ca="1">SUMIF(B6:B13,"&lt;&gt;#ref!",B6:B13)</f>
        <v>#DIV/0!</v>
      </c>
      <c r="C2" s="2910" t="s">
        <v>2992</v>
      </c>
      <c r="D2" s="2910" t="s">
        <v>2993</v>
      </c>
      <c r="E2" s="2911" t="e">
        <f ca="1">SUM(E6:E13)</f>
        <v>#REF!</v>
      </c>
    </row>
    <row r="3" spans="1:5" ht="15.75">
      <c r="A3" s="2910" t="s">
        <v>2994</v>
      </c>
      <c r="B3" s="2911" t="e">
        <f ca="1">ROUND(B2*10000/E2,0)</f>
        <v>#DIV/0!</v>
      </c>
      <c r="C3" s="2910" t="s">
        <v>3000</v>
      </c>
      <c r="D3" s="2912"/>
      <c r="E3" s="2912"/>
    </row>
    <row r="4" spans="1:5" ht="15.75">
      <c r="A4" s="2913"/>
      <c r="B4" s="2912"/>
      <c r="C4" s="2912"/>
      <c r="D4" s="2912"/>
      <c r="E4" s="2912"/>
    </row>
    <row r="5" spans="1:5" ht="28.5">
      <c r="A5" s="2914" t="s">
        <v>2995</v>
      </c>
      <c r="B5" s="2910" t="s">
        <v>2996</v>
      </c>
      <c r="C5" s="2911"/>
      <c r="D5" s="2912"/>
      <c r="E5" s="2910" t="s">
        <v>2997</v>
      </c>
    </row>
    <row r="6" spans="1:5" ht="15.75">
      <c r="A6" s="2915" t="s">
        <v>2998</v>
      </c>
      <c r="B6" s="2911" t="e">
        <f ca="1">SUMIF(INDIRECT("'"&amp;A6&amp;"'"&amp;"!A:A"),"总价",INDIRECT("'"&amp;A6&amp;"'"&amp;"!B:B"))</f>
        <v>#DIV/0!</v>
      </c>
      <c r="C6" s="2910" t="s">
        <v>2992</v>
      </c>
      <c r="D6" s="2912"/>
      <c r="E6" s="2576">
        <f ca="1">SUMIF(INDIRECT("'"&amp;A6&amp;"'"&amp;"!C:C"),"建筑面积",INDIRECT("'"&amp;A6&amp;"'"&amp;"!D:D"))</f>
        <v>10000</v>
      </c>
    </row>
    <row r="7" spans="1:5" ht="15.75">
      <c r="A7" s="2915"/>
      <c r="B7" s="2911" t="e">
        <f ca="1">SUMIF(INDIRECT("'"&amp;A7&amp;"'"&amp;"!A:A"),"总价",INDIRECT("'"&amp;A7&amp;"'"&amp;"!B:B"))</f>
        <v>#REF!</v>
      </c>
      <c r="C7" s="2910" t="s">
        <v>2992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2992</v>
      </c>
      <c r="D8" s="2912"/>
      <c r="E8" s="2576" t="e">
        <f t="shared" ca="1" si="0"/>
        <v>#REF!</v>
      </c>
    </row>
    <row r="9" spans="1:5" ht="15.75">
      <c r="A9" s="2915"/>
      <c r="B9" s="2911" t="e">
        <f t="shared" ca="1" si="1"/>
        <v>#REF!</v>
      </c>
      <c r="C9" s="2910" t="s">
        <v>2992</v>
      </c>
      <c r="D9" s="2912"/>
      <c r="E9" s="2576" t="e">
        <f t="shared" ca="1" si="0"/>
        <v>#REF!</v>
      </c>
    </row>
    <row r="10" spans="1:5" ht="15.75">
      <c r="A10" s="2915"/>
      <c r="B10" s="2911" t="e">
        <f t="shared" ca="1" si="1"/>
        <v>#REF!</v>
      </c>
      <c r="C10" s="2910" t="s">
        <v>2992</v>
      </c>
      <c r="D10" s="2912"/>
      <c r="E10" s="2576" t="e">
        <f t="shared" ca="1" si="0"/>
        <v>#REF!</v>
      </c>
    </row>
    <row r="11" spans="1:5" ht="15.75">
      <c r="A11" s="2915"/>
      <c r="B11" s="2911" t="e">
        <f t="shared" ca="1" si="1"/>
        <v>#REF!</v>
      </c>
      <c r="C11" s="2910" t="s">
        <v>2992</v>
      </c>
      <c r="D11" s="2912"/>
      <c r="E11" s="2576" t="e">
        <f t="shared" ca="1" si="0"/>
        <v>#REF!</v>
      </c>
    </row>
    <row r="12" spans="1:5" ht="15.75">
      <c r="A12" s="2915"/>
      <c r="B12" s="2911" t="e">
        <f t="shared" ca="1" si="1"/>
        <v>#REF!</v>
      </c>
      <c r="C12" s="2910" t="s">
        <v>2992</v>
      </c>
      <c r="D12" s="2912"/>
      <c r="E12" s="2576" t="e">
        <f t="shared" ca="1" si="0"/>
        <v>#REF!</v>
      </c>
    </row>
    <row r="13" spans="1:5" ht="15.75">
      <c r="A13" s="2915"/>
      <c r="B13" s="2911" t="e">
        <f t="shared" ca="1" si="1"/>
        <v>#REF!</v>
      </c>
      <c r="C13" s="2910" t="s">
        <v>2992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5" t="s">
        <v>1150</v>
      </c>
      <c r="C1" s="3295"/>
      <c r="D1" s="3295"/>
      <c r="E1" s="3295"/>
      <c r="F1" s="3295"/>
      <c r="G1" s="3294" t="s">
        <v>1151</v>
      </c>
      <c r="H1" s="3294"/>
      <c r="I1" s="3294"/>
      <c r="J1" s="3294"/>
      <c r="K1" s="3294"/>
      <c r="L1" s="3294"/>
      <c r="N1" s="3294" t="s">
        <v>1152</v>
      </c>
      <c r="O1" s="3294"/>
      <c r="P1" s="3294"/>
      <c r="Q1" s="3294"/>
      <c r="R1" s="1447"/>
      <c r="S1" s="3294" t="s">
        <v>1153</v>
      </c>
      <c r="T1" s="3294"/>
      <c r="U1" s="3294"/>
      <c r="V1" s="3294"/>
      <c r="X1" s="3293" t="s">
        <v>1154</v>
      </c>
      <c r="Y1" s="3294"/>
      <c r="Z1" s="3294"/>
      <c r="AA1" s="3294"/>
      <c r="AB1" s="3294"/>
      <c r="AD1" s="3293" t="s">
        <v>1155</v>
      </c>
      <c r="AE1" s="3294"/>
      <c r="AF1" s="3294"/>
      <c r="AG1" s="3294"/>
      <c r="AH1" s="329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3038</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3037</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6">
        <v>2018</v>
      </c>
      <c r="H5" s="1731">
        <v>1</v>
      </c>
      <c r="I5" s="2924">
        <v>0</v>
      </c>
      <c r="J5" s="2924">
        <v>0</v>
      </c>
      <c r="K5" s="2924">
        <v>0</v>
      </c>
      <c r="L5" s="2924">
        <v>0</v>
      </c>
      <c r="N5" s="1468">
        <f t="shared" ref="N5:N10" si="7">I5/100</f>
        <v>0</v>
      </c>
      <c r="O5" s="1468">
        <f t="shared" ref="O5" si="8">J5/100</f>
        <v>0</v>
      </c>
      <c r="P5" s="1468">
        <f t="shared" ref="P5" si="9">K5/100</f>
        <v>0</v>
      </c>
      <c r="Q5" s="1468">
        <f t="shared" ref="Q5" si="10">L5/100</f>
        <v>0</v>
      </c>
      <c r="R5" s="1733"/>
      <c r="S5" s="1734"/>
      <c r="T5" s="1733"/>
      <c r="U5" s="1733"/>
      <c r="V5" s="1733"/>
      <c r="W5" s="2928" t="s">
        <v>3039</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3034</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6">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3035</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2"/>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1"/>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2"/>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9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9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9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9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9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9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9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9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9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9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9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9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9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9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9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9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9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9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9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9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9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9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9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9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9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9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9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9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9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9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9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9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9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9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9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9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9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9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9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9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9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9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9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9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9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9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9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9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9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9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9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9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9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9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9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9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9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9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9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9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2"/>
      <c r="B4" s="2979" t="s">
        <v>1631</v>
      </c>
      <c r="C4" s="2979"/>
      <c r="D4" s="2979"/>
      <c r="E4" s="1962"/>
    </row>
    <row r="5" spans="1:5" ht="16.5" thickTop="1">
      <c r="A5" s="1960"/>
      <c r="B5" s="2977" t="s">
        <v>1623</v>
      </c>
      <c r="C5" s="1963" t="s">
        <v>1624</v>
      </c>
      <c r="D5" s="1042">
        <f ca="1">结果表!H101</f>
        <v>16579</v>
      </c>
      <c r="E5" s="1960"/>
    </row>
    <row r="6" spans="1:5" ht="15.75">
      <c r="A6" s="1960"/>
      <c r="B6" s="2977"/>
      <c r="C6" s="1963" t="s">
        <v>1625</v>
      </c>
      <c r="D6" s="1042" t="str">
        <f ca="1">NUMBERSTRING(INT(D5*10000),2)&amp;"元整"</f>
        <v>壹亿陆仟伍佰柒拾玖万元整</v>
      </c>
      <c r="E6" s="1960"/>
    </row>
    <row r="7" spans="1:5" ht="15.75">
      <c r="A7" s="1960"/>
      <c r="B7" s="2982"/>
      <c r="C7" s="1964" t="s">
        <v>1626</v>
      </c>
      <c r="D7" s="1043">
        <f ca="1">结果表!H102</f>
        <v>13148</v>
      </c>
      <c r="E7" s="1960"/>
    </row>
    <row r="8" spans="1:5" ht="15.75">
      <c r="A8" s="1960"/>
      <c r="B8" s="2983" t="str">
        <f>结果表!E103</f>
        <v>2.估价师知悉的法定优先受偿款</v>
      </c>
      <c r="C8" s="1965" t="s">
        <v>1627</v>
      </c>
      <c r="D8" s="1043">
        <f>结果表!H103</f>
        <v>1737</v>
      </c>
      <c r="E8" s="1960"/>
    </row>
    <row r="9" spans="1:5" ht="15.75">
      <c r="A9" s="1960"/>
      <c r="B9" s="2985"/>
      <c r="C9" s="1963" t="s">
        <v>1625</v>
      </c>
      <c r="D9" s="1042" t="str">
        <f>NUMBERSTRING(INT(D8*10000),2)&amp;"元整"</f>
        <v>壹仟柒佰叁拾柒万元整</v>
      </c>
      <c r="E9" s="1960"/>
    </row>
    <row r="10" spans="1:5" ht="15">
      <c r="A10" s="1960"/>
      <c r="B10" s="1966" t="s">
        <v>1630</v>
      </c>
      <c r="C10" s="1967" t="s">
        <v>1628</v>
      </c>
      <c r="D10" s="1044">
        <f>结果表!H104</f>
        <v>0</v>
      </c>
      <c r="E10" s="1960"/>
    </row>
    <row r="11" spans="1:5" ht="15">
      <c r="A11" s="1960"/>
      <c r="B11" s="1966" t="s">
        <v>1632</v>
      </c>
      <c r="C11" s="1967" t="s">
        <v>1633</v>
      </c>
      <c r="D11" s="1044">
        <f>结果表!H105</f>
        <v>1737</v>
      </c>
      <c r="E11" s="1960"/>
    </row>
    <row r="12" spans="1:5" ht="15">
      <c r="A12" s="1960"/>
      <c r="B12" s="1966" t="s">
        <v>1634</v>
      </c>
      <c r="C12" s="1967" t="s">
        <v>1633</v>
      </c>
      <c r="D12" s="1044">
        <f>结果表!H106</f>
        <v>0</v>
      </c>
      <c r="E12" s="1960"/>
    </row>
    <row r="13" spans="1:5" ht="15.75">
      <c r="A13" s="1960"/>
      <c r="B13" s="2976" t="str">
        <f>结果表!E107</f>
        <v>——</v>
      </c>
      <c r="C13" s="1968" t="s">
        <v>1624</v>
      </c>
      <c r="D13" s="1045" t="str">
        <f>结果表!H107</f>
        <v>——</v>
      </c>
      <c r="E13" s="1960"/>
    </row>
    <row r="14" spans="1:5" ht="15.75">
      <c r="A14" s="1960"/>
      <c r="B14" s="2977"/>
      <c r="C14" s="1963" t="s">
        <v>1625</v>
      </c>
      <c r="D14" s="1042" t="e">
        <f>NUMBERSTRING(INT(D13*10000),2)&amp;"元整"</f>
        <v>#VALUE!</v>
      </c>
      <c r="E14" s="1960"/>
    </row>
    <row r="15" spans="1:5" ht="15">
      <c r="A15" s="1960"/>
      <c r="B15" s="2982"/>
      <c r="C15" s="1964" t="s">
        <v>1635</v>
      </c>
      <c r="D15" s="1054" t="e">
        <f>结果表!H108</f>
        <v>#VALUE!</v>
      </c>
      <c r="E15" s="1960"/>
    </row>
    <row r="16" spans="1:5" ht="15">
      <c r="A16" s="1960"/>
      <c r="B16" s="2983" t="str">
        <f>结果表!E109</f>
        <v>3.抵押担保权已注销时的房地产抵押价值</v>
      </c>
      <c r="C16" s="1968" t="s">
        <v>1636</v>
      </c>
      <c r="D16" s="1969">
        <f ca="1">结果表!H109</f>
        <v>14842</v>
      </c>
      <c r="E16" s="1960"/>
    </row>
    <row r="17" spans="1:5" ht="15.75">
      <c r="A17" s="1960"/>
      <c r="B17" s="2984"/>
      <c r="C17" s="1963" t="s">
        <v>1637</v>
      </c>
      <c r="D17" s="1042" t="str">
        <f ca="1">NUMBERSTRING(INT(D16*10000),2)&amp;"元整"</f>
        <v>壹亿肆仟捌佰肆拾贰万元整</v>
      </c>
      <c r="E17" s="1960"/>
    </row>
    <row r="18" spans="1:5" ht="15">
      <c r="A18" s="1960"/>
      <c r="B18" s="2985"/>
      <c r="C18" s="1964" t="s">
        <v>1626</v>
      </c>
      <c r="D18" s="1054">
        <f ca="1">结果表!H110</f>
        <v>11770</v>
      </c>
      <c r="E18" s="1960"/>
    </row>
    <row r="19" spans="1:5" ht="15.75">
      <c r="A19" s="1960"/>
      <c r="B19" s="2976" t="str">
        <f>结果表!E111</f>
        <v>——</v>
      </c>
      <c r="C19" s="1968" t="s">
        <v>1624</v>
      </c>
      <c r="D19" s="1043" t="str">
        <f>结果表!H111</f>
        <v>——</v>
      </c>
      <c r="E19" s="1960"/>
    </row>
    <row r="20" spans="1:5" ht="15.75">
      <c r="A20" s="1960"/>
      <c r="B20" s="2977"/>
      <c r="C20" s="1963" t="s">
        <v>1637</v>
      </c>
      <c r="D20" s="1042" t="e">
        <f>NUMBERSTRING(INT(D19*10000),2)&amp;"元整"</f>
        <v>#VALUE!</v>
      </c>
      <c r="E20" s="1960"/>
    </row>
    <row r="21" spans="1:5" ht="15.75" thickBot="1">
      <c r="A21" s="1960"/>
      <c r="B21" s="2978"/>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3001</v>
      </c>
      <c r="C1" s="3301" t="s">
        <v>3002</v>
      </c>
      <c r="D1" s="3302"/>
      <c r="E1" s="3302"/>
      <c r="F1" s="3302"/>
      <c r="G1" s="3302"/>
      <c r="H1" s="3302"/>
      <c r="I1" s="3302"/>
      <c r="J1" s="3302"/>
      <c r="K1" s="3302"/>
      <c r="L1" s="3302"/>
      <c r="M1" s="3302"/>
      <c r="N1" s="3302"/>
      <c r="O1" s="3302"/>
      <c r="P1" s="3302"/>
      <c r="Q1" s="3302"/>
      <c r="R1" s="3302"/>
      <c r="S1" s="3303"/>
      <c r="T1" s="1206" t="s">
        <v>3003</v>
      </c>
    </row>
    <row r="2" spans="1:45" s="706" customFormat="1">
      <c r="A2" s="1207"/>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3005</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3006</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3007</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3011</v>
      </c>
      <c r="B17" s="2917" t="s">
        <v>3012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3013</v>
      </c>
      <c r="E19" s="1793"/>
      <c r="F19" s="1793"/>
      <c r="G19" s="1793"/>
      <c r="H19" s="1282"/>
      <c r="I19" s="167"/>
      <c r="J19" s="167"/>
      <c r="K19" s="167"/>
      <c r="L19" s="167"/>
      <c r="M19" s="167"/>
      <c r="N19" s="167"/>
      <c r="O19" s="167"/>
      <c r="P19" s="167"/>
      <c r="Q19" s="167"/>
      <c r="R19" s="787"/>
      <c r="S19" s="137"/>
    </row>
    <row r="20" spans="1:45" ht="16.5" thickBot="1">
      <c r="A20" s="714" t="s">
        <v>3014</v>
      </c>
      <c r="B20" s="337" t="e">
        <f ca="1">IF(D20="——",S22,S22-F20)</f>
        <v>#REF!</v>
      </c>
      <c r="C20" s="167"/>
      <c r="D20" s="2919" t="s">
        <v>3015</v>
      </c>
      <c r="E20" s="1794"/>
      <c r="F20" s="1206" t="e">
        <f ca="1">SUMIF(INDIRECT("'"&amp;H20&amp;"'"&amp;"!A:A"),"承租人权益价值",INDIRECT("'"&amp;H20&amp;"'"&amp;"!c:c"))</f>
        <v>#REF!</v>
      </c>
      <c r="G20" s="1206" t="s">
        <v>3016</v>
      </c>
      <c r="H20" s="2920"/>
      <c r="I20" s="167"/>
      <c r="J20" s="167"/>
      <c r="K20" s="167"/>
      <c r="L20" s="167"/>
      <c r="M20" s="167"/>
      <c r="N20" s="167"/>
      <c r="O20" s="167"/>
      <c r="P20" s="167"/>
      <c r="Q20" s="167"/>
      <c r="R20" s="787"/>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156" t="s">
        <v>33</v>
      </c>
      <c r="D22" s="3157"/>
      <c r="E22" s="3157"/>
      <c r="F22" s="3157"/>
      <c r="G22" s="3157"/>
      <c r="H22" s="3157"/>
      <c r="I22" s="3157"/>
      <c r="J22" s="3157"/>
      <c r="K22" s="3157"/>
      <c r="L22" s="3157"/>
      <c r="M22" s="3157"/>
      <c r="N22" s="3157"/>
      <c r="O22" s="3157"/>
      <c r="P22" s="3157"/>
      <c r="Q22" s="3300"/>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27033</v>
      </c>
      <c r="C2" s="2" t="s">
        <v>133</v>
      </c>
      <c r="D2" s="242"/>
      <c r="E2" s="242"/>
      <c r="F2" s="242"/>
      <c r="G2" s="242"/>
    </row>
    <row r="3" spans="1:7" s="243" customFormat="1" ht="18" customHeight="1" thickBot="1">
      <c r="A3" s="246" t="s">
        <v>85</v>
      </c>
      <c r="B3" s="247">
        <f ca="1">ROUND(B2*10000/'数据-汇总表'!E3,0)</f>
        <v>21438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48</v>
      </c>
      <c r="D9" s="1034">
        <f>'数据-汇总表'!E5</f>
        <v>3196.74</v>
      </c>
      <c r="E9" s="268">
        <f>'数据-取费表'!B27</f>
        <v>150</v>
      </c>
      <c r="F9" s="264"/>
      <c r="G9" s="269"/>
    </row>
    <row r="10" spans="1:7" s="257" customFormat="1" ht="13.5" customHeight="1">
      <c r="A10" s="952" t="s">
        <v>801</v>
      </c>
      <c r="B10" s="267" t="s">
        <v>94</v>
      </c>
      <c r="C10" s="268">
        <f>ROUND(D10*E10/10000,0)</f>
        <v>179</v>
      </c>
      <c r="D10" s="1034">
        <f>'数据-汇总表'!E6</f>
        <v>9413</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252</v>
      </c>
      <c r="D19" s="1038">
        <f>'数据-汇总表'!E3</f>
        <v>12609.74</v>
      </c>
      <c r="E19" s="254">
        <f>'数据-取费表'!B31</f>
        <v>200</v>
      </c>
      <c r="F19" s="274"/>
      <c r="G19" s="1" t="s">
        <v>1074</v>
      </c>
    </row>
    <row r="20" spans="1:7" s="257" customFormat="1" ht="13.5" customHeight="1">
      <c r="A20" s="950" t="s">
        <v>1057</v>
      </c>
      <c r="B20" s="253" t="s">
        <v>104</v>
      </c>
      <c r="C20" s="275">
        <f>ROUND((C5+C19)*F20,0)</f>
        <v>313</v>
      </c>
      <c r="D20" s="275"/>
      <c r="E20" s="275"/>
      <c r="F20" s="276">
        <f>'数据-取费表'!B37</f>
        <v>1.4999999999999999E-2</v>
      </c>
      <c r="G20" s="1291" t="s">
        <v>1068</v>
      </c>
    </row>
    <row r="21" spans="1:7" s="257" customFormat="1" ht="13.5" customHeight="1">
      <c r="A21" s="950" t="s">
        <v>1059</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998</v>
      </c>
      <c r="D22" s="278">
        <f ca="1">C26</f>
        <v>4.0000000000000002E-4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12</v>
      </c>
      <c r="D24" s="281"/>
      <c r="E24" s="281"/>
      <c r="F24" s="282"/>
      <c r="G24" s="283" t="s">
        <v>109</v>
      </c>
    </row>
    <row r="25" spans="1:7" s="257" customFormat="1" ht="24">
      <c r="A25" s="953" t="s">
        <v>793</v>
      </c>
      <c r="B25" s="258" t="s">
        <v>1058</v>
      </c>
      <c r="C25" s="1357">
        <f ca="1">ROUND(IF('数据-取费表'!B22&lt;=1,C20*F22*'数据-取费表'!B23/2,C20*(POWER((1+F22),'数据-取费表'!B23/2)-1)),0)</f>
        <v>7</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706</v>
      </c>
      <c r="D27" s="278">
        <f>C29</f>
        <v>5.0000000000000001E-4</v>
      </c>
      <c r="E27" s="279" t="s">
        <v>126</v>
      </c>
      <c r="F27" s="289">
        <f>'数据-取费表'!Q16</f>
        <v>0.1</v>
      </c>
      <c r="G27" s="290" t="s">
        <v>1069</v>
      </c>
    </row>
    <row r="28" spans="1:7" s="257" customFormat="1" ht="13.5" customHeight="1">
      <c r="A28" s="953" t="s">
        <v>794</v>
      </c>
      <c r="B28" s="291" t="s">
        <v>1062</v>
      </c>
      <c r="C28" s="292">
        <f>ROUND((C5+C19+C20)*F27*'数据-取费表'!B21/'数据-取费表'!B20,0)</f>
        <v>706</v>
      </c>
      <c r="D28" s="278"/>
      <c r="E28" s="279"/>
      <c r="F28" s="289"/>
      <c r="G28" s="290"/>
    </row>
    <row r="29" spans="1:7" s="257" customFormat="1" ht="13.5" customHeight="1">
      <c r="A29" s="953" t="s">
        <v>792</v>
      </c>
      <c r="B29" s="291" t="s">
        <v>1063</v>
      </c>
      <c r="C29" s="281">
        <f>ROUND(C21*F27*'数据-取费表'!B21/'数据-取费表'!B20,4)</f>
        <v>5.0000000000000001E-4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24556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2022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1785</v>
      </c>
      <c r="D34" s="260"/>
      <c r="E34" s="263"/>
      <c r="F34" s="300">
        <f>IF('数据-取费表'!B24=0,1,'数据-取费表'!N16)</f>
        <v>0.5</v>
      </c>
      <c r="G34" s="262" t="s">
        <v>116</v>
      </c>
    </row>
    <row r="35" spans="1:7" ht="13.5" customHeight="1">
      <c r="A35" s="953" t="s">
        <v>796</v>
      </c>
      <c r="B35" s="258" t="s">
        <v>60</v>
      </c>
      <c r="C35" s="263">
        <f>ROUND(C34*F35,0)</f>
        <v>54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30</v>
      </c>
      <c r="D36" s="263"/>
      <c r="E36" s="263"/>
      <c r="F36" s="302">
        <f>'数据-取费表'!B34</f>
        <v>0.05</v>
      </c>
      <c r="G36" s="303" t="s">
        <v>62</v>
      </c>
    </row>
    <row r="37" spans="1:7" s="301" customFormat="1" ht="13.5" customHeight="1">
      <c r="A37" s="953" t="s">
        <v>798</v>
      </c>
      <c r="B37" s="258" t="s">
        <v>118</v>
      </c>
      <c r="C37" s="292">
        <f>ROUND(E37*D37*F34/10000,0)</f>
        <v>126</v>
      </c>
      <c r="D37" s="260">
        <f>'数据-汇总表'!E3</f>
        <v>12609.74</v>
      </c>
      <c r="E37" s="292">
        <f>'数据-取费表'!B35</f>
        <v>200</v>
      </c>
      <c r="F37" s="302"/>
      <c r="G37" s="304" t="s">
        <v>119</v>
      </c>
    </row>
    <row r="38" spans="1:7" ht="13.5" customHeight="1">
      <c r="A38" s="953" t="s">
        <v>799</v>
      </c>
      <c r="B38" s="258" t="s">
        <v>63</v>
      </c>
      <c r="C38" s="263">
        <f>ROUND(C34*F38,0)</f>
        <v>27</v>
      </c>
      <c r="D38" s="263"/>
      <c r="E38" s="263"/>
      <c r="F38" s="302">
        <f>'数据-取费表'!B36</f>
        <v>1.4999999999999999E-2</v>
      </c>
      <c r="G38" s="262" t="s">
        <v>117</v>
      </c>
    </row>
    <row r="39" spans="1:7" s="257" customFormat="1" ht="13.5" customHeight="1">
      <c r="A39" s="950" t="s">
        <v>783</v>
      </c>
      <c r="B39" s="253" t="s">
        <v>104</v>
      </c>
      <c r="C39" s="275">
        <f>ROUND(C33*F20,0)</f>
        <v>30</v>
      </c>
      <c r="D39" s="275"/>
      <c r="E39" s="275"/>
      <c r="F39" s="276"/>
      <c r="G39" s="1291" t="s">
        <v>1071</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48</v>
      </c>
      <c r="D41" s="278">
        <f ca="1">C44</f>
        <v>4.0000000000000002E-4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47</v>
      </c>
      <c r="D42" s="281"/>
      <c r="E42" s="281"/>
      <c r="F42" s="282"/>
      <c r="G42" s="3161" t="s">
        <v>121</v>
      </c>
    </row>
    <row r="43" spans="1:7" ht="13.5" customHeight="1">
      <c r="A43" s="953" t="s">
        <v>792</v>
      </c>
      <c r="B43" s="258" t="s">
        <v>1064</v>
      </c>
      <c r="C43" s="281">
        <f ca="1">ROUND(IF('数据-取费表'!B22&lt;=1,C39*F22*'数据-取费表'!B21/2,C39*(POWER((1+F22),'数据-取费表'!B21/2)-1)),0)</f>
        <v>1</v>
      </c>
      <c r="D43" s="281"/>
      <c r="E43" s="281"/>
      <c r="F43" s="282"/>
      <c r="G43" s="3162"/>
    </row>
    <row r="44" spans="1:7" ht="13.5" customHeight="1">
      <c r="A44" s="953" t="s">
        <v>793</v>
      </c>
      <c r="B44" s="258" t="s">
        <v>1066</v>
      </c>
      <c r="C44" s="281">
        <f ca="1">ROUND(IF('数据-取费表'!B22&lt;=1,C40*F22*'数据-取费表'!B21/2,C40*(POWER((1+F22),'数据-取费表'!B21/2)-1)),4)</f>
        <v>4.0000000000000002E-4</v>
      </c>
      <c r="D44" s="281"/>
      <c r="E44" s="281"/>
      <c r="F44" s="282"/>
      <c r="G44" s="3163"/>
    </row>
    <row r="45" spans="1:7" s="257" customFormat="1" ht="13.5" customHeight="1">
      <c r="A45" s="950" t="s">
        <v>786</v>
      </c>
      <c r="B45" s="287" t="s">
        <v>112</v>
      </c>
      <c r="C45" s="288">
        <f>C46</f>
        <v>205</v>
      </c>
      <c r="D45" s="278">
        <f>C47</f>
        <v>1.5E-3</v>
      </c>
      <c r="E45" s="279" t="s">
        <v>129</v>
      </c>
      <c r="F45" s="289"/>
      <c r="G45" s="290" t="s">
        <v>1072</v>
      </c>
    </row>
    <row r="46" spans="1:7" s="257" customFormat="1" ht="13.5" customHeight="1">
      <c r="A46" s="953" t="s">
        <v>794</v>
      </c>
      <c r="B46" s="291" t="s">
        <v>1065</v>
      </c>
      <c r="C46" s="292">
        <f>ROUND((C33+C39)*F27,0)</f>
        <v>205</v>
      </c>
      <c r="D46" s="306"/>
      <c r="E46" s="279"/>
      <c r="F46" s="289"/>
      <c r="G46" s="290"/>
    </row>
    <row r="47" spans="1:7" s="257" customFormat="1" ht="13.5" customHeight="1">
      <c r="A47" s="953" t="s">
        <v>792</v>
      </c>
      <c r="B47" s="291" t="s">
        <v>1067</v>
      </c>
      <c r="C47" s="281">
        <f>ROUND(C40*F27,4)</f>
        <v>1.5E-3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2477</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2477</v>
      </c>
      <c r="D51" s="275"/>
      <c r="E51" s="275"/>
      <c r="F51" s="307"/>
      <c r="G51" s="277" t="s">
        <v>64</v>
      </c>
    </row>
    <row r="52" spans="1:7" s="251" customFormat="1" ht="16.5" thickBot="1">
      <c r="A52" s="308" t="s">
        <v>65</v>
      </c>
      <c r="B52" s="309"/>
      <c r="C52" s="310">
        <f ca="1">C31+C51</f>
        <v>27033</v>
      </c>
      <c r="D52" s="309"/>
      <c r="E52" s="309"/>
      <c r="F52" s="309"/>
      <c r="G52" s="311"/>
    </row>
    <row r="55" spans="1:7" ht="15">
      <c r="B55" s="313" t="s">
        <v>66</v>
      </c>
      <c r="C55" s="314"/>
    </row>
    <row r="56" spans="1:7">
      <c r="B56" s="316" t="s">
        <v>67</v>
      </c>
      <c r="C56" s="317">
        <f ca="1">ROUND(C51/C52,3)</f>
        <v>9.1999999999999998E-2</v>
      </c>
    </row>
    <row r="57" spans="1:7">
      <c r="B57" s="316" t="s">
        <v>68</v>
      </c>
      <c r="C57" s="318">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4" t="s">
        <v>156</v>
      </c>
      <c r="B1" s="3304"/>
      <c r="C1" s="3304"/>
      <c r="D1" s="3304"/>
      <c r="E1" s="3304"/>
      <c r="F1" s="330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5" t="s">
        <v>169</v>
      </c>
      <c r="B2" s="3305"/>
      <c r="C2" s="3305"/>
      <c r="D2" s="3305"/>
      <c r="E2" s="3305"/>
      <c r="F2" s="330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4" t="s">
        <v>871</v>
      </c>
      <c r="B1" s="330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43165</v>
      </c>
      <c r="D1" s="1701" t="s">
        <v>1301</v>
      </c>
      <c r="E1" s="1696">
        <f>'数据-取费表'!B22</f>
        <v>3</v>
      </c>
      <c r="F1" s="1701" t="s">
        <v>1302</v>
      </c>
      <c r="G1" s="1697">
        <f ca="1">INDIRECT("d"&amp;$K$1)/100</f>
        <v>4.7500000000000001E-2</v>
      </c>
      <c r="H1" s="1701" t="s">
        <v>1332</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1642</v>
      </c>
      <c r="B2" s="2996" t="s">
        <v>1643</v>
      </c>
      <c r="C2" s="2996" t="s">
        <v>1644</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6" t="s">
        <v>1639</v>
      </c>
      <c r="E3" s="1046" t="s">
        <v>1645</v>
      </c>
      <c r="F3" s="1046" t="s">
        <v>1639</v>
      </c>
      <c r="G3" s="1046" t="s">
        <v>1640</v>
      </c>
      <c r="H3" s="1046" t="s">
        <v>1639</v>
      </c>
      <c r="I3" s="1046" t="s">
        <v>1640</v>
      </c>
    </row>
    <row r="4" spans="1:9" ht="60">
      <c r="A4" s="1974" t="str">
        <f>项目基本情况!S2</f>
        <v>北京市昌平区南邵镇（中关村科技园昌平园东区二期）0303-54地块出让国有建设用地使用权及在建建筑物房地产</v>
      </c>
      <c r="B4" s="1046">
        <f>项目基本情况!C17</f>
        <v>12609.74</v>
      </c>
      <c r="C4" s="1046">
        <f>项目基本情况!C18</f>
        <v>3435.11</v>
      </c>
      <c r="D4" s="1046">
        <f ca="1">结果表!D118</f>
        <v>13827</v>
      </c>
      <c r="E4" s="1046">
        <f ca="1">结果表!E118</f>
        <v>10966</v>
      </c>
      <c r="F4" s="1046">
        <f ca="1">结果表!F118</f>
        <v>2752</v>
      </c>
      <c r="G4" s="1046">
        <f ca="1">结果表!G118</f>
        <v>2182</v>
      </c>
      <c r="H4" s="1046">
        <f ca="1">结果表!H118</f>
        <v>16579</v>
      </c>
      <c r="I4" s="1046">
        <f ca="1">结果表!I118</f>
        <v>13148</v>
      </c>
    </row>
    <row r="5" spans="1:9" ht="30" customHeight="1">
      <c r="A5" s="2990" t="s">
        <v>1641</v>
      </c>
      <c r="B5" s="2990"/>
      <c r="C5" s="2990"/>
      <c r="D5" s="2991" t="str">
        <f ca="1">结果表!D119</f>
        <v>壹亿叁仟捌佰贰拾柒万元整</v>
      </c>
      <c r="E5" s="2991"/>
      <c r="F5" s="2991" t="str">
        <f ca="1">结果表!F119</f>
        <v>贰仟柒佰伍拾贰万元整</v>
      </c>
      <c r="G5" s="2991"/>
      <c r="H5" s="2991" t="str">
        <f ca="1">结果表!H119</f>
        <v>壹亿陆仟伍佰柒拾玖万元整</v>
      </c>
      <c r="I5" s="2991"/>
    </row>
    <row r="6" spans="1:9" ht="15.75">
      <c r="A6" s="2989" t="str">
        <f>结果表!A120</f>
        <v>估价师知悉的法定优先受偿款</v>
      </c>
      <c r="B6" s="2989"/>
      <c r="C6" s="2989"/>
      <c r="D6" s="2989">
        <f>结果表!D120</f>
        <v>1737</v>
      </c>
      <c r="E6" s="2989"/>
      <c r="F6" s="2989"/>
      <c r="G6" s="2989"/>
      <c r="H6" s="2989"/>
      <c r="I6" s="2989"/>
    </row>
    <row r="7" spans="1:9" ht="15">
      <c r="A7" s="2990" t="s">
        <v>1641</v>
      </c>
      <c r="B7" s="2990"/>
      <c r="C7" s="2990"/>
      <c r="D7" s="2992" t="str">
        <f>结果表!D121</f>
        <v>壹仟柒佰叁拾柒万元整</v>
      </c>
      <c r="E7" s="2993"/>
      <c r="F7" s="2993"/>
      <c r="G7" s="2993"/>
      <c r="H7" s="2993"/>
      <c r="I7" s="2994"/>
    </row>
    <row r="8" spans="1:9" ht="15.75">
      <c r="A8" s="2989" t="str">
        <f>结果表!A122</f>
        <v/>
      </c>
      <c r="B8" s="2989"/>
      <c r="C8" s="2989"/>
      <c r="D8" s="2989" t="str">
        <f>结果表!D122</f>
        <v>——</v>
      </c>
      <c r="E8" s="2989"/>
      <c r="F8" s="2989"/>
      <c r="G8" s="2989"/>
      <c r="H8" s="2989"/>
      <c r="I8" s="2989"/>
    </row>
    <row r="9" spans="1:9" ht="15">
      <c r="A9" s="2990" t="s">
        <v>1641</v>
      </c>
      <c r="B9" s="2990"/>
      <c r="C9" s="2990"/>
      <c r="D9" s="2991" t="e">
        <f>结果表!D123</f>
        <v>#VALUE!</v>
      </c>
      <c r="E9" s="2991"/>
      <c r="F9" s="2991"/>
      <c r="G9" s="2991"/>
      <c r="H9" s="2991"/>
      <c r="I9" s="2991"/>
    </row>
    <row r="10" spans="1:9" ht="15.75">
      <c r="A10" s="2989" t="str">
        <f>结果表!A124</f>
        <v>抵押担保权已注销时的房地产抵押价值</v>
      </c>
      <c r="B10" s="2989"/>
      <c r="C10" s="2989"/>
      <c r="D10" s="2989">
        <f ca="1">结果表!D124</f>
        <v>14842</v>
      </c>
      <c r="E10" s="2989"/>
      <c r="F10" s="2989"/>
      <c r="G10" s="2989"/>
      <c r="H10" s="2989"/>
      <c r="I10" s="2989"/>
    </row>
    <row r="11" spans="1:9" ht="15">
      <c r="A11" s="2990" t="s">
        <v>1641</v>
      </c>
      <c r="B11" s="2990"/>
      <c r="C11" s="2990"/>
      <c r="D11" s="2991" t="str">
        <f ca="1">结果表!D125</f>
        <v>壹亿肆仟捌佰肆拾贰万元整</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1641</v>
      </c>
      <c r="B13" s="2986"/>
      <c r="C13" s="2986"/>
      <c r="D13" s="2987" t="e">
        <f>结果表!D127</f>
        <v>#VALUE!</v>
      </c>
      <c r="E13" s="2987"/>
      <c r="F13" s="2987"/>
      <c r="G13" s="2987"/>
      <c r="H13" s="2987"/>
      <c r="I13" s="2987"/>
    </row>
    <row r="14" spans="1:9" ht="15" thickTop="1">
      <c r="A14" s="2988" t="s">
        <v>1646</v>
      </c>
      <c r="B14" s="2988"/>
      <c r="C14" s="2988"/>
      <c r="D14" s="2988"/>
      <c r="E14" s="2988"/>
      <c r="F14" s="2988"/>
      <c r="G14" s="2988"/>
      <c r="H14" s="2988"/>
      <c r="I14" s="2988"/>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3" t="s">
        <v>1663</v>
      </c>
      <c r="B1" s="3003"/>
      <c r="C1" s="3003"/>
      <c r="D1" s="3003"/>
    </row>
    <row r="2" spans="1:4" ht="18">
      <c r="A2" s="3004" t="s">
        <v>1647</v>
      </c>
      <c r="B2" s="3004"/>
      <c r="C2" s="3004"/>
      <c r="D2" s="3004"/>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3004" t="s">
        <v>1653</v>
      </c>
      <c r="B6" s="3004"/>
      <c r="C6" s="3004"/>
      <c r="D6" s="3004"/>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3005" t="s">
        <v>1656</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1657</v>
      </c>
      <c r="B16" s="2999"/>
      <c r="C16" s="2999"/>
      <c r="D16" s="2999"/>
    </row>
    <row r="17" spans="1:4" ht="144" customHeight="1">
      <c r="A17" s="2999" t="s">
        <v>1658</v>
      </c>
      <c r="B17" s="2999"/>
      <c r="C17" s="2999"/>
      <c r="D17" s="2999"/>
    </row>
    <row r="18" spans="1:4" ht="15.75" customHeight="1">
      <c r="A18" s="2997" t="str">
        <f>IF(项目基本情况!B8="抵押",结果表!K120,"——")</f>
        <v>故，本次评估估价师知悉的法定优先受偿款为人民币1737万元整。</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1659</v>
      </c>
      <c r="B22" s="3001"/>
      <c r="C22" s="3001"/>
      <c r="D22" s="3001"/>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11" t="s">
        <v>1670</v>
      </c>
      <c r="B15" s="3006" t="s">
        <v>136</v>
      </c>
      <c r="C15" s="3007"/>
    </row>
    <row r="16" spans="1:7" ht="13.5">
      <c r="A16" s="3012"/>
      <c r="B16" s="3006" t="s">
        <v>69</v>
      </c>
      <c r="C16" s="3007"/>
    </row>
    <row r="17" spans="1:3" ht="13.5">
      <c r="A17" s="3012"/>
      <c r="B17" s="3009" t="s">
        <v>1671</v>
      </c>
      <c r="C17" s="2001" t="s">
        <v>1670</v>
      </c>
    </row>
    <row r="18" spans="1:3" ht="13.5">
      <c r="A18" s="3012"/>
      <c r="B18" s="3009"/>
      <c r="C18" s="2001" t="s">
        <v>1672</v>
      </c>
    </row>
    <row r="19" spans="1:3" ht="13.5">
      <c r="A19" s="3012"/>
      <c r="B19" s="3009"/>
      <c r="C19" s="2001" t="s">
        <v>1673</v>
      </c>
    </row>
    <row r="20" spans="1:3" ht="13.5">
      <c r="A20" s="3013"/>
      <c r="B20" s="3008" t="s">
        <v>1674</v>
      </c>
      <c r="C20" s="3007"/>
    </row>
    <row r="21" spans="1:3" ht="13.5">
      <c r="A21" s="2002" t="s">
        <v>1675</v>
      </c>
      <c r="B21" s="2003"/>
      <c r="C21" s="2004"/>
    </row>
    <row r="22" spans="1:3" ht="13.5">
      <c r="A22" s="3010" t="s">
        <v>1676</v>
      </c>
      <c r="B22" s="3008" t="s">
        <v>1677</v>
      </c>
      <c r="C22" s="3007"/>
    </row>
    <row r="23" spans="1:3" ht="13.5">
      <c r="A23" s="3010"/>
      <c r="B23" s="3008" t="s">
        <v>1678</v>
      </c>
      <c r="C23" s="3007"/>
    </row>
    <row r="24" spans="1:3" ht="13.5">
      <c r="A24" s="3010"/>
      <c r="B24" s="3008" t="s">
        <v>1679</v>
      </c>
      <c r="C24" s="3007"/>
    </row>
    <row r="25" spans="1:3" ht="13.5">
      <c r="A25" s="3010"/>
      <c r="B25" s="3009" t="s">
        <v>1680</v>
      </c>
      <c r="C25" s="2001" t="s">
        <v>1681</v>
      </c>
    </row>
    <row r="26" spans="1:3" ht="13.5">
      <c r="A26" s="3010"/>
      <c r="B26" s="3009"/>
      <c r="C26" s="2001" t="s">
        <v>1682</v>
      </c>
    </row>
    <row r="27" spans="1:3" ht="13.5">
      <c r="A27" s="3010"/>
      <c r="B27" s="3009"/>
      <c r="C27" s="2001" t="s">
        <v>1683</v>
      </c>
    </row>
    <row r="28" spans="1:3" ht="13.5">
      <c r="A28" s="3010"/>
      <c r="B28" s="3009"/>
      <c r="C28" s="2001" t="s">
        <v>1684</v>
      </c>
    </row>
    <row r="29" spans="1:3" ht="13.5">
      <c r="A29" s="3010"/>
      <c r="B29" s="3009"/>
      <c r="C29" s="2001" t="s">
        <v>1685</v>
      </c>
    </row>
    <row r="30" spans="1:3" ht="13.5">
      <c r="A30" s="3010"/>
      <c r="B30" s="3009"/>
      <c r="C30" s="2001" t="s">
        <v>1686</v>
      </c>
    </row>
    <row r="31" spans="1:3" ht="13.5">
      <c r="A31" s="3010"/>
      <c r="B31" s="3009"/>
      <c r="C31" s="2001" t="s">
        <v>1687</v>
      </c>
    </row>
    <row r="32" spans="1:3" ht="13.5">
      <c r="A32" s="3010"/>
      <c r="B32" s="3009"/>
      <c r="C32" s="2001" t="s">
        <v>1688</v>
      </c>
    </row>
    <row r="33" spans="1:3" ht="13.5">
      <c r="A33" s="3010"/>
      <c r="B33" s="3009"/>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43200</v>
      </c>
      <c r="C2" s="1021" t="s">
        <v>826</v>
      </c>
      <c r="D2" s="1021"/>
    </row>
    <row r="3" spans="1:6" ht="24" customHeight="1">
      <c r="A3" s="1022" t="s">
        <v>827</v>
      </c>
      <c r="B3" s="1023" t="s">
        <v>828</v>
      </c>
      <c r="C3" s="2345" t="s">
        <v>829</v>
      </c>
      <c r="D3" s="2348" t="s">
        <v>830</v>
      </c>
      <c r="E3" s="1024" t="s">
        <v>831</v>
      </c>
      <c r="F3" s="1023" t="s">
        <v>829</v>
      </c>
    </row>
    <row r="4" spans="1:6" ht="24" customHeight="1">
      <c r="A4" s="1703" t="s">
        <v>832</v>
      </c>
      <c r="B4" s="1024">
        <f ca="1">IF(C4&lt;B2,"已过期",1119970066)</f>
        <v>1119970066</v>
      </c>
      <c r="C4" s="2346">
        <v>43849</v>
      </c>
      <c r="D4" s="2349" t="s">
        <v>832</v>
      </c>
      <c r="E4" s="1024">
        <f ca="1">IF(F4&lt;B2,"已过期",96010014)</f>
        <v>96010014</v>
      </c>
      <c r="F4" s="1032">
        <v>47118</v>
      </c>
    </row>
    <row r="5" spans="1:6" ht="24" customHeight="1">
      <c r="A5" s="1703" t="s">
        <v>833</v>
      </c>
      <c r="B5" s="1024">
        <f ca="1">IF(C5&lt;B2,"已过期",1119970074)</f>
        <v>1119970074</v>
      </c>
      <c r="C5" s="2346">
        <v>43849</v>
      </c>
      <c r="D5" s="2349" t="s">
        <v>833</v>
      </c>
      <c r="E5" s="1024">
        <f ca="1">IF(F5&lt;B2,"已过期",2002110027)</f>
        <v>2002110027</v>
      </c>
      <c r="F5" s="1032">
        <v>46752</v>
      </c>
    </row>
    <row r="6" spans="1:6" ht="24" customHeight="1">
      <c r="A6" s="1703" t="s">
        <v>834</v>
      </c>
      <c r="B6" s="1024">
        <f ca="1">IF(C6&lt;B2,"已过期",1119970111)</f>
        <v>1119970111</v>
      </c>
      <c r="C6" s="2346">
        <v>43849</v>
      </c>
      <c r="D6" s="2349" t="s">
        <v>834</v>
      </c>
      <c r="E6" s="1024">
        <f ca="1">IF(F6&lt;B2,"已过期",94010078)</f>
        <v>94010078</v>
      </c>
      <c r="F6" s="1032">
        <v>46387</v>
      </c>
    </row>
    <row r="7" spans="1:6" ht="24" customHeight="1">
      <c r="A7" s="1703" t="s">
        <v>835</v>
      </c>
      <c r="B7" s="1024">
        <f ca="1">IF(C7&lt;B2,"已过期",1120050019)</f>
        <v>1120050019</v>
      </c>
      <c r="C7" s="2346">
        <v>43359</v>
      </c>
      <c r="D7" s="2349" t="s">
        <v>835</v>
      </c>
      <c r="E7" s="1024">
        <f ca="1">IF(F7&lt;B2,"已过期",2002110030)</f>
        <v>2002110030</v>
      </c>
      <c r="F7" s="1032">
        <v>46387</v>
      </c>
    </row>
    <row r="8" spans="1:6" ht="24" customHeight="1">
      <c r="A8" s="1703" t="s">
        <v>836</v>
      </c>
      <c r="B8" s="1024">
        <f ca="1">IF(C8&lt;B2,"已过期",1120000080)</f>
        <v>1120000080</v>
      </c>
      <c r="C8" s="2346">
        <v>43849</v>
      </c>
      <c r="D8" s="2349" t="s">
        <v>836</v>
      </c>
      <c r="E8" s="1024">
        <f ca="1">IF(F8&lt;B2,"已过期",2000110082)</f>
        <v>2000110082</v>
      </c>
      <c r="F8" s="1032">
        <v>46387</v>
      </c>
    </row>
    <row r="9" spans="1:6" ht="24" customHeight="1">
      <c r="A9" s="1703" t="s">
        <v>837</v>
      </c>
      <c r="B9" s="1024">
        <f ca="1">IF(C9&lt;B2,"已过期",1419970001)</f>
        <v>1419970001</v>
      </c>
      <c r="C9" s="2346">
        <v>43867</v>
      </c>
      <c r="D9" s="2349" t="s">
        <v>837</v>
      </c>
      <c r="E9" s="1024">
        <f ca="1">IF(F9&lt;B2,"已过期",2002110125)</f>
        <v>2002110125</v>
      </c>
      <c r="F9" s="1032">
        <v>47118</v>
      </c>
    </row>
    <row r="10" spans="1:6" ht="24" customHeight="1">
      <c r="A10" s="1703" t="s">
        <v>838</v>
      </c>
      <c r="B10" s="1024">
        <f ca="1">IF(C10&lt;B2,"已过期",1120060040)</f>
        <v>1120060040</v>
      </c>
      <c r="C10" s="2346">
        <v>43483</v>
      </c>
      <c r="D10" s="2349" t="s">
        <v>838</v>
      </c>
      <c r="E10" s="1024">
        <f ca="1">IF(F10&lt;B2,"已过期",2004110096)</f>
        <v>2004110096</v>
      </c>
      <c r="F10" s="1032">
        <v>47118</v>
      </c>
    </row>
    <row r="11" spans="1:6" ht="24" customHeight="1">
      <c r="A11" s="1703" t="s">
        <v>839</v>
      </c>
      <c r="B11" s="1024">
        <f ca="1">IF(C11&lt;B2,"已过期",1120100036)</f>
        <v>1120100036</v>
      </c>
      <c r="C11" s="2346">
        <v>43622</v>
      </c>
      <c r="D11" s="2349" t="s">
        <v>839</v>
      </c>
      <c r="E11" s="1024">
        <f ca="1">IF(F11&lt;B2,"已过期",2010110070)</f>
        <v>2010110070</v>
      </c>
      <c r="F11" s="1032">
        <v>47907</v>
      </c>
    </row>
    <row r="12" spans="1:6" ht="24" customHeight="1">
      <c r="A12" s="1703"/>
      <c r="B12" s="1024"/>
      <c r="C12" s="2346"/>
      <c r="D12" s="2349"/>
      <c r="E12" s="1024"/>
      <c r="F12" s="1024"/>
    </row>
    <row r="13" spans="1:6" ht="24" customHeight="1">
      <c r="A13" s="1703" t="s">
        <v>840</v>
      </c>
      <c r="B13" s="1024">
        <f ca="1">IF(C13&lt;B2,"已过期",1120070131)</f>
        <v>1120070131</v>
      </c>
      <c r="C13" s="2346">
        <v>43814</v>
      </c>
      <c r="D13" s="2349" t="s">
        <v>840</v>
      </c>
      <c r="E13" s="1024">
        <v>2014110011</v>
      </c>
      <c r="F13" s="1032">
        <v>49302</v>
      </c>
    </row>
    <row r="14" spans="1:6" ht="24" customHeight="1">
      <c r="A14" s="1703" t="s">
        <v>841</v>
      </c>
      <c r="B14" s="1024">
        <f ca="1">IF(C14&lt;B2,"已过期",1120130020)</f>
        <v>1120130020</v>
      </c>
      <c r="C14" s="2346">
        <v>43622</v>
      </c>
      <c r="D14" s="2349"/>
      <c r="E14" s="1024"/>
      <c r="F14" s="1024"/>
    </row>
    <row r="15" spans="1:6" ht="24" customHeight="1">
      <c r="A15" s="1704" t="s">
        <v>1149</v>
      </c>
      <c r="B15" s="1024">
        <v>1120070085</v>
      </c>
      <c r="C15" s="2346">
        <v>43814</v>
      </c>
      <c r="D15" s="2350" t="s">
        <v>1149</v>
      </c>
      <c r="E15" s="1024">
        <v>2004110128</v>
      </c>
      <c r="F15" s="1025">
        <v>47118</v>
      </c>
    </row>
    <row r="16" spans="1:6" ht="24" customHeight="1">
      <c r="A16" s="1703" t="s">
        <v>842</v>
      </c>
      <c r="B16" s="1024">
        <f ca="1">IF(C16&lt;B2,"已过期",1120140022)</f>
        <v>1120140022</v>
      </c>
      <c r="C16" s="2346">
        <v>44029</v>
      </c>
      <c r="D16" s="2349" t="s">
        <v>842</v>
      </c>
      <c r="E16" s="1024">
        <f ca="1">IF(F16&lt;B2,"已过期",2008110059)</f>
        <v>2008110059</v>
      </c>
      <c r="F16" s="1032">
        <v>47177</v>
      </c>
    </row>
    <row r="17" spans="1:7" ht="24" customHeight="1">
      <c r="A17" s="1703"/>
      <c r="B17" s="1024"/>
      <c r="C17" s="2346"/>
      <c r="D17" s="2349"/>
      <c r="E17" s="1024"/>
      <c r="F17" s="1032"/>
    </row>
    <row r="18" spans="1:7" ht="24" customHeight="1">
      <c r="A18" s="1703"/>
      <c r="B18" s="1024"/>
      <c r="C18" s="2346"/>
      <c r="D18" s="2349"/>
      <c r="E18" s="1024"/>
      <c r="F18" s="1032"/>
    </row>
    <row r="19" spans="1:7" ht="24" customHeight="1">
      <c r="A19" s="1703"/>
      <c r="B19" s="1024"/>
      <c r="C19" s="2346"/>
      <c r="D19" s="2349"/>
      <c r="E19" s="1024"/>
      <c r="F19" s="1024"/>
    </row>
    <row r="20" spans="1:7" ht="24" customHeight="1">
      <c r="A20" s="1703"/>
      <c r="B20" s="1024"/>
      <c r="C20" s="2346"/>
      <c r="D20" s="2349"/>
      <c r="E20" s="1024"/>
      <c r="F20" s="1024"/>
    </row>
    <row r="21" spans="1:7" ht="24" customHeight="1">
      <c r="A21" s="1703"/>
      <c r="B21" s="1024"/>
      <c r="C21" s="2346"/>
      <c r="D21" s="2349" t="s">
        <v>843</v>
      </c>
      <c r="E21" s="1024">
        <f ca="1">IF(F21&lt;B2,"已过期",2011110090)</f>
        <v>2011110090</v>
      </c>
      <c r="F21" s="1032">
        <v>48302</v>
      </c>
    </row>
    <row r="22" spans="1:7" ht="24" customHeight="1">
      <c r="A22" s="1703" t="s">
        <v>844</v>
      </c>
      <c r="B22" s="1024">
        <f ca="1">IF(C22&lt;B2,"已过期",1120020033)</f>
        <v>1120020033</v>
      </c>
      <c r="C22" s="2346">
        <v>43304</v>
      </c>
      <c r="D22" s="2349" t="s">
        <v>844</v>
      </c>
      <c r="E22" s="1024">
        <f ca="1">IF(F22&lt;B2,"已过期",2000110137)</f>
        <v>2000110137</v>
      </c>
      <c r="F22" s="1032">
        <v>46387</v>
      </c>
    </row>
    <row r="23" spans="1:7" ht="24" customHeight="1">
      <c r="A23" s="1703" t="s">
        <v>845</v>
      </c>
      <c r="B23" s="1024">
        <f ca="1">IF(C23&lt;B2,"已过期",1120130048)</f>
        <v>1120130048</v>
      </c>
      <c r="C23" s="2346">
        <v>43686</v>
      </c>
      <c r="D23" s="2349"/>
      <c r="E23" s="1024"/>
      <c r="F23" s="1024"/>
    </row>
    <row r="24" spans="1:7" s="1026" customFormat="1" ht="24" customHeight="1">
      <c r="A24" s="1704" t="s">
        <v>1333</v>
      </c>
      <c r="B24" s="1704" t="s">
        <v>1333</v>
      </c>
      <c r="C24" s="2347" t="s">
        <v>1333</v>
      </c>
      <c r="D24" s="2350" t="s">
        <v>1333</v>
      </c>
      <c r="E24" s="1704" t="s">
        <v>1333</v>
      </c>
      <c r="F24" s="1704" t="s">
        <v>1333</v>
      </c>
    </row>
    <row r="25" spans="1:7" ht="24" customHeight="1">
      <c r="A25" s="3014" t="s">
        <v>846</v>
      </c>
      <c r="B25" s="3014"/>
      <c r="C25" s="3014"/>
      <c r="D25" s="3014"/>
      <c r="E25" s="3014"/>
      <c r="F25" s="3014"/>
      <c r="G25" s="3014"/>
    </row>
    <row r="26" spans="1:7" s="1027" customFormat="1" ht="24" customHeight="1">
      <c r="A26" s="3015" t="s">
        <v>847</v>
      </c>
      <c r="B26" s="3015"/>
      <c r="C26" s="3016"/>
      <c r="D26" s="3017" t="s">
        <v>848</v>
      </c>
      <c r="E26" s="3015"/>
      <c r="F26" s="301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2" priority="55">
      <formula>AND($C28-TODAY()&lt;30,TODAY()&lt;$C28)</formula>
    </cfRule>
  </conditionalFormatting>
  <conditionalFormatting sqref="C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F28">
    <cfRule type="expression" dxfId="156" priority="12">
      <formula>AND($E28-TODAY()&lt;30,TODAY()&lt;$E28)</formula>
    </cfRule>
  </conditionalFormatting>
  <conditionalFormatting sqref="F28">
    <cfRule type="cellIs" dxfId="155" priority="13" stopIfTrue="1" operator="lessThan">
      <formula>$B$2</formula>
    </cfRule>
  </conditionalFormatting>
  <conditionalFormatting sqref="F29">
    <cfRule type="expression" dxfId="154" priority="8" stopIfTrue="1">
      <formula>AND($E29-TODAY()&lt;30,TODAY()&lt;$E29)</formula>
    </cfRule>
  </conditionalFormatting>
  <conditionalFormatting sqref="F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2018-04-10T06:11:44Z</dcterms:modified>
</cp:coreProperties>
</file>