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案例 (2)"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案例" sheetId="80" state="hidden" r:id="rId30"/>
    <sheet name="比较法-工业" sheetId="37" state="hidden" r:id="rId31"/>
    <sheet name="案例 (3)" sheetId="82"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5" i="74" l="1"/>
  <c r="C15" i="74" l="1"/>
  <c r="B15" i="74"/>
  <c r="A6" i="1"/>
  <c r="G1" i="67"/>
  <c r="I5" i="3"/>
  <c r="F19" i="6"/>
  <c r="E19" i="6"/>
  <c r="K6" i="1"/>
  <c r="D3" i="4"/>
  <c r="C1" i="73"/>
  <c r="L1" i="73" s="1"/>
  <c r="B43" i="1"/>
  <c r="B41" i="1" s="1"/>
  <c r="F32" i="67"/>
  <c r="B2" i="1"/>
  <c r="C42" i="1"/>
  <c r="F33" i="67"/>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BQ5" i="3"/>
  <c r="BS5" i="3"/>
  <c r="F28" i="6"/>
  <c r="BR5" i="3"/>
  <c r="BT5" i="3"/>
  <c r="G28" i="6" s="1"/>
  <c r="E28" i="6" s="1"/>
  <c r="E20" i="6"/>
  <c r="E21" i="6"/>
  <c r="E22" i="6"/>
  <c r="E23" i="6"/>
  <c r="E24" i="6"/>
  <c r="E25" i="6"/>
  <c r="E26" i="6"/>
  <c r="L19" i="6"/>
  <c r="B52" i="1"/>
  <c r="F34" i="67"/>
  <c r="F15" i="67"/>
  <c r="B35" i="1"/>
  <c r="F17" i="67"/>
  <c r="F18" i="67"/>
  <c r="F20" i="67"/>
  <c r="J1" i="73"/>
  <c r="F13" i="73"/>
  <c r="B22" i="1"/>
  <c r="E1" i="73"/>
  <c r="K1" i="73" s="1"/>
  <c r="F23" i="67"/>
  <c r="F21" i="67"/>
  <c r="F28" i="67"/>
  <c r="C28" i="67" s="1"/>
  <c r="N19" i="1"/>
  <c r="N6" i="1" s="1"/>
  <c r="Y6" i="1" s="1"/>
  <c r="F105" i="34"/>
  <c r="G105" i="34"/>
  <c r="H105" i="34" s="1"/>
  <c r="D14" i="9"/>
  <c r="A4" i="81"/>
  <c r="I5" i="34" s="1"/>
  <c r="F3" i="81"/>
  <c r="F4" i="81"/>
  <c r="K14" i="4"/>
  <c r="K15" i="4"/>
  <c r="E4" i="82"/>
  <c r="I41" i="37"/>
  <c r="E3" i="82"/>
  <c r="G41" i="37"/>
  <c r="E2" i="82"/>
  <c r="E41" i="37"/>
  <c r="I33" i="37"/>
  <c r="G33" i="37"/>
  <c r="E33" i="37"/>
  <c r="I5" i="37"/>
  <c r="G5" i="37"/>
  <c r="E5" i="37"/>
  <c r="F104" i="37"/>
  <c r="E104" i="37"/>
  <c r="D104" i="37"/>
  <c r="C104" i="37"/>
  <c r="G102" i="37"/>
  <c r="F102" i="37"/>
  <c r="E102" i="37"/>
  <c r="D102" i="37"/>
  <c r="C102" i="37"/>
  <c r="F92" i="37"/>
  <c r="G92" i="37" s="1"/>
  <c r="H92" i="37" s="1"/>
  <c r="D92" i="37"/>
  <c r="C92" i="37"/>
  <c r="D60" i="37"/>
  <c r="E60" i="37"/>
  <c r="F60" i="37" s="1"/>
  <c r="G60" i="37" s="1"/>
  <c r="I37" i="34"/>
  <c r="G37" i="34"/>
  <c r="E37" i="34"/>
  <c r="I48" i="34"/>
  <c r="G48" i="34"/>
  <c r="E48" i="34"/>
  <c r="G5" i="34"/>
  <c r="E5" i="34"/>
  <c r="F123" i="34"/>
  <c r="E123" i="34"/>
  <c r="D123" i="34"/>
  <c r="C123" i="34"/>
  <c r="G117" i="34"/>
  <c r="F117" i="34"/>
  <c r="E117" i="34"/>
  <c r="D117" i="34"/>
  <c r="C117" i="34"/>
  <c r="D105" i="34"/>
  <c r="C105" i="34"/>
  <c r="D67" i="34"/>
  <c r="E67" i="34"/>
  <c r="F67" i="34" s="1"/>
  <c r="G67" i="34" s="1"/>
  <c r="I33" i="33"/>
  <c r="G33" i="33"/>
  <c r="E33" i="33"/>
  <c r="I36" i="33"/>
  <c r="G36" i="33"/>
  <c r="E36" i="33"/>
  <c r="I47" i="33"/>
  <c r="E3" i="80"/>
  <c r="G47" i="33" s="1"/>
  <c r="E2" i="80"/>
  <c r="E47" i="33" s="1"/>
  <c r="F122" i="33"/>
  <c r="E122" i="33"/>
  <c r="D122" i="33"/>
  <c r="C122" i="33"/>
  <c r="G112" i="33"/>
  <c r="F112" i="33"/>
  <c r="E112" i="33"/>
  <c r="D112" i="33"/>
  <c r="C112" i="33"/>
  <c r="D104" i="33"/>
  <c r="E104" i="33"/>
  <c r="F104" i="33" s="1"/>
  <c r="G104" i="33" s="1"/>
  <c r="H104" i="33" s="1"/>
  <c r="I104" i="33" s="1"/>
  <c r="J104" i="33" s="1"/>
  <c r="K104" i="33" s="1"/>
  <c r="L104" i="33" s="1"/>
  <c r="D89" i="33"/>
  <c r="E89" i="33" s="1"/>
  <c r="F89" i="33" s="1"/>
  <c r="G89" i="33" s="1"/>
  <c r="D66" i="33"/>
  <c r="E66" i="33" s="1"/>
  <c r="F66" i="33" s="1"/>
  <c r="I5" i="33"/>
  <c r="G5" i="33"/>
  <c r="E5" i="33"/>
  <c r="E4" i="80"/>
  <c r="J52" i="15"/>
  <c r="J52" i="67"/>
  <c r="J49" i="67"/>
  <c r="J49" i="15"/>
  <c r="B21" i="1"/>
  <c r="N21" i="1"/>
  <c r="B2" i="82"/>
  <c r="B2" i="81"/>
  <c r="B4" i="81" s="1"/>
  <c r="B2" i="80"/>
  <c r="G14" i="73"/>
  <c r="F14" i="73"/>
  <c r="E14" i="73"/>
  <c r="E7" i="33"/>
  <c r="B3" i="80"/>
  <c r="G7" i="33" s="1"/>
  <c r="B4" i="80"/>
  <c r="I7" i="33" s="1"/>
  <c r="B4" i="82"/>
  <c r="I7" i="37" s="1"/>
  <c r="E7" i="37"/>
  <c r="B3" i="82"/>
  <c r="G7" i="37"/>
  <c r="B3"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B3" i="78"/>
  <c r="C7" i="78" s="1"/>
  <c r="C5" i="78"/>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s="1"/>
  <c r="AB35" i="79"/>
  <c r="AA35" i="79"/>
  <c r="Z35" i="79"/>
  <c r="N35" i="79"/>
  <c r="U35" i="79"/>
  <c r="M35" i="79"/>
  <c r="T35" i="79"/>
  <c r="W35" i="79" s="1"/>
  <c r="L35" i="79"/>
  <c r="S35" i="79"/>
  <c r="I35" i="79"/>
  <c r="AD35" i="79"/>
  <c r="AB34" i="79"/>
  <c r="AA34" i="79"/>
  <c r="Z34" i="79"/>
  <c r="N34" i="79"/>
  <c r="U34" i="79" s="1"/>
  <c r="M34" i="79"/>
  <c r="L34" i="79"/>
  <c r="S34" i="79"/>
  <c r="I34" i="79"/>
  <c r="AB33" i="79"/>
  <c r="AA33" i="79"/>
  <c r="Z33" i="79"/>
  <c r="N33" i="79"/>
  <c r="M33" i="79"/>
  <c r="T33" i="79" s="1"/>
  <c r="W33" i="79" s="1"/>
  <c r="L33" i="79"/>
  <c r="I33" i="79"/>
  <c r="AD33" i="79"/>
  <c r="AB32" i="79"/>
  <c r="AA32" i="79"/>
  <c r="Z32" i="79"/>
  <c r="N32" i="79"/>
  <c r="U32" i="79" s="1"/>
  <c r="M32" i="79"/>
  <c r="L32" i="79"/>
  <c r="S32" i="79"/>
  <c r="I32" i="79"/>
  <c r="AB31" i="79"/>
  <c r="AA31" i="79"/>
  <c r="Z31" i="79"/>
  <c r="N31" i="79"/>
  <c r="M31" i="79"/>
  <c r="T31" i="79" s="1"/>
  <c r="W31" i="79" s="1"/>
  <c r="L31" i="79"/>
  <c r="I31" i="79"/>
  <c r="AD31" i="79" s="1"/>
  <c r="AB30" i="79"/>
  <c r="AA30" i="79"/>
  <c r="Z30" i="79"/>
  <c r="N30" i="79"/>
  <c r="U30" i="79"/>
  <c r="M30" i="79"/>
  <c r="L30" i="79"/>
  <c r="S30" i="79" s="1"/>
  <c r="I30" i="79"/>
  <c r="AB29" i="79"/>
  <c r="AA29" i="79"/>
  <c r="Z29" i="79"/>
  <c r="N29" i="79"/>
  <c r="M29" i="79"/>
  <c r="L29" i="79"/>
  <c r="I29" i="79"/>
  <c r="AD29" i="79"/>
  <c r="AB25" i="79"/>
  <c r="AA25" i="79"/>
  <c r="AA23" i="79" s="1"/>
  <c r="AD23" i="79" s="1"/>
  <c r="Z25" i="79"/>
  <c r="N25" i="79"/>
  <c r="U23" i="79" s="1"/>
  <c r="M25" i="79"/>
  <c r="T23" i="79" s="1"/>
  <c r="W23" i="79" s="1"/>
  <c r="L25" i="79"/>
  <c r="L23" i="79"/>
  <c r="I25" i="79"/>
  <c r="AD25" i="79"/>
  <c r="G23" i="79"/>
  <c r="F23" i="79"/>
  <c r="I23" i="79" s="1"/>
  <c r="E23" i="79"/>
  <c r="AC16" i="79"/>
  <c r="AB16" i="79"/>
  <c r="AA16" i="79"/>
  <c r="AD16" i="79"/>
  <c r="Z16" i="79"/>
  <c r="Y16" i="79"/>
  <c r="W16" i="79"/>
  <c r="O16" i="79"/>
  <c r="N16" i="79"/>
  <c r="M16" i="79"/>
  <c r="P16" i="79" s="1"/>
  <c r="L16" i="79"/>
  <c r="K16" i="79"/>
  <c r="I16" i="79"/>
  <c r="AC15" i="79"/>
  <c r="AB15" i="79"/>
  <c r="AA15" i="79"/>
  <c r="AD15" i="79"/>
  <c r="Z15" i="79"/>
  <c r="Y15" i="79"/>
  <c r="O15" i="79"/>
  <c r="V15" i="79"/>
  <c r="N15" i="79"/>
  <c r="U15" i="79"/>
  <c r="M15" i="79"/>
  <c r="P15" i="79"/>
  <c r="L15" i="79"/>
  <c r="S15" i="79"/>
  <c r="K15" i="79"/>
  <c r="R15" i="79"/>
  <c r="I15" i="79"/>
  <c r="AC14" i="79"/>
  <c r="AB14" i="79"/>
  <c r="AA14" i="79"/>
  <c r="AD14" i="79" s="1"/>
  <c r="Z14" i="79"/>
  <c r="Y14" i="79"/>
  <c r="O14" i="79"/>
  <c r="V14" i="79" s="1"/>
  <c r="N14" i="79"/>
  <c r="U14" i="79" s="1"/>
  <c r="M14" i="79"/>
  <c r="T14" i="79" s="1"/>
  <c r="W14" i="79" s="1"/>
  <c r="L14" i="79"/>
  <c r="S14" i="79"/>
  <c r="K14" i="79"/>
  <c r="R14" i="79"/>
  <c r="I14" i="79"/>
  <c r="AC13" i="79"/>
  <c r="AB13" i="79"/>
  <c r="AA13" i="79"/>
  <c r="AD13" i="79" s="1"/>
  <c r="Z13" i="79"/>
  <c r="Y13" i="79"/>
  <c r="O13" i="79"/>
  <c r="V13" i="79" s="1"/>
  <c r="N13" i="79"/>
  <c r="M13" i="79"/>
  <c r="P13" i="79"/>
  <c r="L13" i="79"/>
  <c r="K13" i="79"/>
  <c r="R13" i="79" s="1"/>
  <c r="I13" i="79"/>
  <c r="AA12" i="79"/>
  <c r="AD12" i="79"/>
  <c r="AC12" i="79"/>
  <c r="AB12" i="79"/>
  <c r="Z12" i="79"/>
  <c r="Y12" i="79"/>
  <c r="O12" i="79"/>
  <c r="V12" i="79"/>
  <c r="N12" i="79"/>
  <c r="M12" i="79"/>
  <c r="T12" i="79" s="1"/>
  <c r="W12" i="79" s="1"/>
  <c r="L12" i="79"/>
  <c r="K12" i="79"/>
  <c r="R12" i="79" s="1"/>
  <c r="I12" i="79"/>
  <c r="AC11" i="79"/>
  <c r="AB11" i="79"/>
  <c r="AA11" i="79"/>
  <c r="AD11" i="79"/>
  <c r="Z11" i="79"/>
  <c r="Y11" i="79"/>
  <c r="O11" i="79"/>
  <c r="N11" i="79"/>
  <c r="U11" i="79" s="1"/>
  <c r="M11" i="79"/>
  <c r="P11" i="79" s="1"/>
  <c r="L11" i="79"/>
  <c r="S11" i="79" s="1"/>
  <c r="K11" i="79"/>
  <c r="R11" i="79" s="1"/>
  <c r="I11" i="79"/>
  <c r="AC10" i="79"/>
  <c r="AB10" i="79"/>
  <c r="AA10" i="79"/>
  <c r="AD10" i="79" s="1"/>
  <c r="Z10" i="79"/>
  <c r="Y10" i="79"/>
  <c r="O10" i="79"/>
  <c r="V10" i="79" s="1"/>
  <c r="N10" i="79"/>
  <c r="M10" i="79"/>
  <c r="T10" i="79"/>
  <c r="W10" i="79" s="1"/>
  <c r="L10" i="79"/>
  <c r="K10" i="79"/>
  <c r="R10" i="79" s="1"/>
  <c r="I10" i="79"/>
  <c r="AC9" i="79"/>
  <c r="AC5" i="79"/>
  <c r="AC3" i="79" s="1"/>
  <c r="AB9" i="79"/>
  <c r="AA9" i="79"/>
  <c r="AD9" i="79"/>
  <c r="Z9" i="79"/>
  <c r="Y9" i="79"/>
  <c r="Y5" i="79"/>
  <c r="Y3" i="79"/>
  <c r="O9" i="79"/>
  <c r="N9" i="79"/>
  <c r="M9" i="79"/>
  <c r="L9" i="79"/>
  <c r="K9" i="79"/>
  <c r="I9" i="79"/>
  <c r="AB5" i="79"/>
  <c r="AA5" i="79"/>
  <c r="AD5" i="79" s="1"/>
  <c r="Z5" i="79"/>
  <c r="Z3" i="79" s="1"/>
  <c r="M5" i="79"/>
  <c r="P5" i="79"/>
  <c r="O5" i="79"/>
  <c r="N5" i="79"/>
  <c r="U3" i="79" s="1"/>
  <c r="L5" i="79"/>
  <c r="S3" i="79" s="1"/>
  <c r="K5" i="79"/>
  <c r="R5" i="79" s="1"/>
  <c r="I5" i="79"/>
  <c r="AB3" i="79"/>
  <c r="V3" i="79"/>
  <c r="M3" i="79"/>
  <c r="P3" i="79" s="1"/>
  <c r="K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N3" i="79"/>
  <c r="U10"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7"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c r="F25" i="78" s="1"/>
  <c r="G25" i="78" s="1"/>
  <c r="E23" i="78"/>
  <c r="G23" i="78" s="1"/>
  <c r="E22" i="78"/>
  <c r="G22" i="78"/>
  <c r="F12" i="78"/>
  <c r="F11" i="78"/>
  <c r="D7" i="78"/>
  <c r="D5" i="78"/>
  <c r="H100" i="43"/>
  <c r="H95" i="43"/>
  <c r="H98" i="43"/>
  <c r="H101" i="43"/>
  <c r="H96" i="43"/>
  <c r="G24" i="78"/>
  <c r="G16" i="73"/>
  <c r="F16" i="73"/>
  <c r="E16" i="73"/>
  <c r="G17" i="73"/>
  <c r="F17" i="73"/>
  <c r="E17" i="73"/>
  <c r="G18" i="73"/>
  <c r="F18" i="73"/>
  <c r="E18" i="73"/>
  <c r="G13" i="73"/>
  <c r="E13" i="73"/>
  <c r="AH8" i="71"/>
  <c r="AG8" i="71"/>
  <c r="AE8" i="71"/>
  <c r="AF8" i="71"/>
  <c r="AD8" i="71"/>
  <c r="Q8" i="71"/>
  <c r="P8" i="71"/>
  <c r="O8" i="71"/>
  <c r="N8" i="71"/>
  <c r="R43" i="77"/>
  <c r="R40" i="77"/>
  <c r="R41" i="77"/>
  <c r="R35" i="77" s="1"/>
  <c r="F36" i="77"/>
  <c r="R34" i="77"/>
  <c r="R33" i="77"/>
  <c r="C30" i="77"/>
  <c r="R27" i="77"/>
  <c r="M24" i="77"/>
  <c r="R23" i="77"/>
  <c r="C23" i="77"/>
  <c r="R22" i="77"/>
  <c r="R24" i="77" s="1"/>
  <c r="R5" i="77" s="1"/>
  <c r="U5" i="77" s="1"/>
  <c r="R21" i="77"/>
  <c r="N19" i="77"/>
  <c r="R18" i="77"/>
  <c r="D18" i="77"/>
  <c r="R17" i="77"/>
  <c r="D17" i="77"/>
  <c r="R16" i="77"/>
  <c r="D16" i="77"/>
  <c r="D15" i="77"/>
  <c r="M14" i="77"/>
  <c r="N14" i="77" s="1"/>
  <c r="D14" i="77"/>
  <c r="R13" i="77"/>
  <c r="R12" i="77"/>
  <c r="D12" i="77"/>
  <c r="R11" i="77"/>
  <c r="R10" i="77"/>
  <c r="D10" i="77"/>
  <c r="R9" i="77"/>
  <c r="D9" i="77"/>
  <c r="R8" i="77"/>
  <c r="R7" i="77"/>
  <c r="R14" i="77" s="1"/>
  <c r="R4" i="77"/>
  <c r="R3" i="77"/>
  <c r="U34" i="77"/>
  <c r="AH9" i="71"/>
  <c r="AG9" i="71"/>
  <c r="AE9" i="71"/>
  <c r="AF9" i="71"/>
  <c r="AD9" i="71"/>
  <c r="Q9" i="71"/>
  <c r="P9" i="71"/>
  <c r="O9" i="71"/>
  <c r="N9" i="71"/>
  <c r="R25" i="77"/>
  <c r="R19" i="77"/>
  <c r="AH10" i="71"/>
  <c r="AG10" i="71"/>
  <c r="AE10" i="71"/>
  <c r="AF10" i="71"/>
  <c r="AD10" i="71"/>
  <c r="Q10" i="71"/>
  <c r="P10" i="71"/>
  <c r="O10" i="71"/>
  <c r="N10" i="71"/>
  <c r="E24" i="43"/>
  <c r="P32" i="43"/>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AA3" i="71" s="1"/>
  <c r="O13" i="71"/>
  <c r="N13" i="71"/>
  <c r="H16" i="49"/>
  <c r="D16" i="49"/>
  <c r="D15" i="49"/>
  <c r="B2" i="49"/>
  <c r="F15" i="49" s="1"/>
  <c r="H15" i="49" s="1"/>
  <c r="K42" i="40"/>
  <c r="K47" i="39"/>
  <c r="K36" i="36"/>
  <c r="E59" i="9"/>
  <c r="N55" i="9" s="1"/>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c r="Q25" i="71"/>
  <c r="F24" i="71"/>
  <c r="F23" i="71" s="1"/>
  <c r="F22" i="71" s="1"/>
  <c r="F21" i="71" s="1"/>
  <c r="P25" i="71"/>
  <c r="E24" i="71"/>
  <c r="O25" i="71"/>
  <c r="N25" i="71"/>
  <c r="X25" i="71" s="1"/>
  <c r="B24" i="71"/>
  <c r="B23" i="7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B13" i="53" s="1"/>
  <c r="B29" i="72" s="1"/>
  <c r="A122" i="9"/>
  <c r="A8" i="52"/>
  <c r="B54" i="72" s="1"/>
  <c r="E111" i="9"/>
  <c r="A126" i="9"/>
  <c r="A12" i="52"/>
  <c r="B56" i="72" s="1"/>
  <c r="E109" i="9"/>
  <c r="A124" i="9"/>
  <c r="A10" i="52"/>
  <c r="B55" i="72" s="1"/>
  <c r="B44" i="72"/>
  <c r="B42" i="72"/>
  <c r="B69" i="72"/>
  <c r="B68" i="72"/>
  <c r="B63" i="72"/>
  <c r="B62" i="72"/>
  <c r="B16" i="72"/>
  <c r="B66" i="72"/>
  <c r="B10" i="72"/>
  <c r="C53" i="10"/>
  <c r="B51" i="10"/>
  <c r="A18" i="51"/>
  <c r="B13" i="72"/>
  <c r="B49" i="48"/>
  <c r="B5" i="72"/>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Q39" i="71"/>
  <c r="P39" i="71"/>
  <c r="AA39" i="71"/>
  <c r="O39" i="71"/>
  <c r="Y39" i="71"/>
  <c r="Z39" i="71" s="1"/>
  <c r="N39" i="71"/>
  <c r="X37" i="71" s="1"/>
  <c r="Q38" i="71"/>
  <c r="AB38" i="71"/>
  <c r="P38" i="71"/>
  <c r="O38" i="71"/>
  <c r="Y38" i="71" s="1"/>
  <c r="Z38" i="71" s="1"/>
  <c r="N38" i="71"/>
  <c r="Q37" i="71"/>
  <c r="F38" i="71" s="1"/>
  <c r="F39" i="71"/>
  <c r="F40" i="71" s="1"/>
  <c r="V40" i="71" s="1"/>
  <c r="P37" i="71"/>
  <c r="O37" i="71"/>
  <c r="N37" i="71"/>
  <c r="D37" i="71"/>
  <c r="Q36" i="71"/>
  <c r="AB36" i="71"/>
  <c r="P36" i="71"/>
  <c r="O36" i="71"/>
  <c r="N36" i="71"/>
  <c r="Q35" i="71"/>
  <c r="AB35" i="71" s="1"/>
  <c r="P35" i="71"/>
  <c r="O35" i="71"/>
  <c r="N35" i="71"/>
  <c r="X34" i="71" s="1"/>
  <c r="Q34" i="71"/>
  <c r="AB34" i="71"/>
  <c r="P34" i="71"/>
  <c r="O34" i="71"/>
  <c r="Y34" i="71" s="1"/>
  <c r="Z34" i="71" s="1"/>
  <c r="N34" i="71"/>
  <c r="Q33" i="71"/>
  <c r="F34" i="71" s="1"/>
  <c r="F35" i="71"/>
  <c r="F36" i="71" s="1"/>
  <c r="V36" i="71" s="1"/>
  <c r="P33" i="71"/>
  <c r="O33" i="71"/>
  <c r="N33" i="71"/>
  <c r="D33" i="71"/>
  <c r="Q32" i="71"/>
  <c r="P32" i="71"/>
  <c r="O32" i="71"/>
  <c r="N32" i="71"/>
  <c r="N31" i="71"/>
  <c r="X31" i="71" s="1"/>
  <c r="Q31" i="71"/>
  <c r="P31" i="71"/>
  <c r="O31" i="71"/>
  <c r="Y31" i="71"/>
  <c r="Z31" i="71" s="1"/>
  <c r="Q30" i="71"/>
  <c r="P30" i="71"/>
  <c r="AA30" i="71" s="1"/>
  <c r="O30" i="71"/>
  <c r="Y30" i="71"/>
  <c r="Z30" i="71" s="1"/>
  <c r="N30" i="71"/>
  <c r="Q29" i="71"/>
  <c r="F30" i="71" s="1"/>
  <c r="F31" i="71" s="1"/>
  <c r="F32" i="71" s="1"/>
  <c r="V32" i="71" s="1"/>
  <c r="P29" i="71"/>
  <c r="E30" i="71"/>
  <c r="E31" i="71" s="1"/>
  <c r="E32" i="71" s="1"/>
  <c r="U32" i="71" s="1"/>
  <c r="O29" i="71"/>
  <c r="C30" i="71" s="1"/>
  <c r="N29" i="71"/>
  <c r="D29" i="71"/>
  <c r="O28" i="71"/>
  <c r="N28" i="71"/>
  <c r="X27" i="71" s="1"/>
  <c r="B30" i="71"/>
  <c r="B31" i="71"/>
  <c r="B32" i="71" s="1"/>
  <c r="S32" i="71" s="1"/>
  <c r="B34" i="71"/>
  <c r="B35" i="71" s="1"/>
  <c r="B36" i="71" s="1"/>
  <c r="S36" i="71" s="1"/>
  <c r="X33" i="71"/>
  <c r="B38" i="71"/>
  <c r="B39" i="71"/>
  <c r="B40" i="71" s="1"/>
  <c r="S40" i="71" s="1"/>
  <c r="E38" i="71"/>
  <c r="E39" i="71" s="1"/>
  <c r="E40" i="71" s="1"/>
  <c r="U40" i="71" s="1"/>
  <c r="AA37" i="71"/>
  <c r="N68" i="71"/>
  <c r="E34" i="71"/>
  <c r="E35" i="71" s="1"/>
  <c r="E36" i="71" s="1"/>
  <c r="U36" i="71" s="1"/>
  <c r="AA33" i="71"/>
  <c r="Y29" i="71"/>
  <c r="Z29" i="71" s="1"/>
  <c r="AB29" i="71"/>
  <c r="AA31" i="71"/>
  <c r="AA32" i="71"/>
  <c r="C34" i="71"/>
  <c r="C35" i="71" s="1"/>
  <c r="Y33" i="71"/>
  <c r="Z33" i="71" s="1"/>
  <c r="AB33" i="71"/>
  <c r="AA34" i="71"/>
  <c r="AA35" i="71"/>
  <c r="AA36" i="71"/>
  <c r="C38" i="71"/>
  <c r="D38" i="71"/>
  <c r="AB37" i="71"/>
  <c r="X38" i="71"/>
  <c r="AA38" i="71"/>
  <c r="F51" i="71"/>
  <c r="F52" i="71" s="1"/>
  <c r="V52" i="71" s="1"/>
  <c r="C28" i="71"/>
  <c r="Y25" i="71"/>
  <c r="Z25" i="71" s="1"/>
  <c r="Y26" i="71"/>
  <c r="Z26" i="71" s="1"/>
  <c r="Y27" i="71"/>
  <c r="Z27" i="71" s="1"/>
  <c r="Y28" i="71"/>
  <c r="Z28" i="71" s="1"/>
  <c r="B28" i="71"/>
  <c r="B27" i="71" s="1"/>
  <c r="B26" i="71" s="1"/>
  <c r="X26" i="71"/>
  <c r="X28" i="71"/>
  <c r="C39" i="71"/>
  <c r="C40" i="71" s="1"/>
  <c r="C43" i="71"/>
  <c r="C44" i="71" s="1"/>
  <c r="D42" i="71"/>
  <c r="C47" i="71"/>
  <c r="D47" i="71"/>
  <c r="D46" i="71"/>
  <c r="C51" i="71"/>
  <c r="D51" i="71" s="1"/>
  <c r="P28" i="71"/>
  <c r="AA26" i="71" s="1"/>
  <c r="E59" i="71"/>
  <c r="E60" i="71" s="1"/>
  <c r="U60" i="71" s="1"/>
  <c r="U68" i="71"/>
  <c r="E67" i="71"/>
  <c r="Q28" i="71"/>
  <c r="F28" i="71" s="1"/>
  <c r="F27" i="71" s="1"/>
  <c r="F26" i="71" s="1"/>
  <c r="D54" i="71"/>
  <c r="C59" i="71"/>
  <c r="D58" i="71"/>
  <c r="D62" i="71"/>
  <c r="B66" i="71"/>
  <c r="N66" i="71" s="1"/>
  <c r="T68" i="71"/>
  <c r="O68" i="71"/>
  <c r="D68" i="71"/>
  <c r="C67" i="71"/>
  <c r="Q68" i="71"/>
  <c r="C71" i="71"/>
  <c r="E71" i="71"/>
  <c r="E70" i="71" s="1"/>
  <c r="D72" i="71"/>
  <c r="C75" i="71"/>
  <c r="E75" i="71"/>
  <c r="E74" i="71" s="1"/>
  <c r="D76" i="71"/>
  <c r="C79" i="71"/>
  <c r="E79" i="71"/>
  <c r="E78" i="71" s="1"/>
  <c r="D80" i="71"/>
  <c r="C87" i="71"/>
  <c r="C86" i="71" s="1"/>
  <c r="D86" i="71" s="1"/>
  <c r="T28" i="71"/>
  <c r="C27" i="71"/>
  <c r="C26" i="71"/>
  <c r="AB26" i="71"/>
  <c r="E28" i="71"/>
  <c r="E27" i="71" s="1"/>
  <c r="E26" i="71" s="1"/>
  <c r="AA25" i="71"/>
  <c r="AA27" i="71"/>
  <c r="D28" i="71"/>
  <c r="U28" i="71" s="1"/>
  <c r="C66" i="71"/>
  <c r="D66" i="71" s="1"/>
  <c r="O67" i="71"/>
  <c r="D67" i="71"/>
  <c r="D75" i="71"/>
  <c r="C74" i="71"/>
  <c r="D74" i="71" s="1"/>
  <c r="N65" i="71"/>
  <c r="D79" i="71"/>
  <c r="C78" i="71"/>
  <c r="D78" i="71" s="1"/>
  <c r="D71" i="71"/>
  <c r="C70" i="71"/>
  <c r="D70" i="71"/>
  <c r="C60" i="71"/>
  <c r="D59" i="71"/>
  <c r="P67" i="71"/>
  <c r="E66" i="71"/>
  <c r="P66" i="71" s="1"/>
  <c r="C52" i="71"/>
  <c r="T52" i="71" s="1"/>
  <c r="D43" i="71"/>
  <c r="D26" i="71"/>
  <c r="D27" i="71"/>
  <c r="V28" i="71"/>
  <c r="O66" i="71"/>
  <c r="O65"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E83" i="21"/>
  <c r="F83" i="21" s="1"/>
  <c r="G83" i="21" s="1"/>
  <c r="F21" i="21"/>
  <c r="AA21" i="21"/>
  <c r="D81" i="21"/>
  <c r="G20" i="20"/>
  <c r="B88" i="43" s="1"/>
  <c r="C22" i="20"/>
  <c r="B100" i="43" s="1"/>
  <c r="B57" i="43"/>
  <c r="S25" i="40"/>
  <c r="H25" i="40"/>
  <c r="AB25"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U25" i="40"/>
  <c r="W29" i="39"/>
  <c r="U21" i="37"/>
  <c r="U21" i="34"/>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c r="F38" i="68"/>
  <c r="E37" i="68"/>
  <c r="F36" i="68"/>
  <c r="F35" i="68"/>
  <c r="F21" i="68"/>
  <c r="F40" i="68" s="1"/>
  <c r="C21" i="68"/>
  <c r="F20" i="68"/>
  <c r="F39" i="68"/>
  <c r="E10" i="68"/>
  <c r="E9" i="68"/>
  <c r="AC21" i="21"/>
  <c r="C40" i="68"/>
  <c r="Q72" i="67"/>
  <c r="Q59" i="67"/>
  <c r="Q58" i="67"/>
  <c r="Q51" i="67"/>
  <c r="J50" i="67"/>
  <c r="M47" i="67"/>
  <c r="D46" i="67"/>
  <c r="F61" i="67"/>
  <c r="D24" i="67"/>
  <c r="M19" i="67"/>
  <c r="S2" i="4"/>
  <c r="C51" i="10"/>
  <c r="A13" i="51" s="1"/>
  <c r="B11" i="72" s="1"/>
  <c r="S1" i="4"/>
  <c r="B1" i="4"/>
  <c r="B37" i="48" s="1"/>
  <c r="B2" i="72" s="1"/>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6" i="1" s="1"/>
  <c r="G6" i="1" s="1"/>
  <c r="F8" i="1"/>
  <c r="G44" i="43"/>
  <c r="A7" i="1"/>
  <c r="B7" i="1"/>
  <c r="E7" i="1" s="1"/>
  <c r="A8" i="1"/>
  <c r="B8" i="1" s="1"/>
  <c r="E8" i="1" s="1"/>
  <c r="A9" i="1"/>
  <c r="A10" i="1"/>
  <c r="A11" i="1"/>
  <c r="B11" i="1"/>
  <c r="E11" i="1" s="1"/>
  <c r="A12" i="1"/>
  <c r="A13" i="1"/>
  <c r="F3" i="35"/>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s="1"/>
  <c r="F33" i="9"/>
  <c r="R35" i="4"/>
  <c r="Q35" i="4"/>
  <c r="P35" i="4"/>
  <c r="O35" i="4"/>
  <c r="N35" i="4"/>
  <c r="M35" i="4"/>
  <c r="L35" i="4"/>
  <c r="K34" i="4"/>
  <c r="T34" i="4" s="1"/>
  <c r="G13" i="1"/>
  <c r="H15" i="4"/>
  <c r="F9" i="1"/>
  <c r="G9" i="1" s="1"/>
  <c r="G15" i="4"/>
  <c r="F12" i="1"/>
  <c r="F15" i="4"/>
  <c r="F11" i="1"/>
  <c r="G11" i="1"/>
  <c r="D15" i="4"/>
  <c r="C15" i="4"/>
  <c r="F19" i="4"/>
  <c r="F2" i="52"/>
  <c r="B50" i="72" s="1"/>
  <c r="D2" i="52"/>
  <c r="B46" i="72" s="1"/>
  <c r="B8" i="53"/>
  <c r="B23" i="72" s="1"/>
  <c r="L4" i="9"/>
  <c r="B17" i="72"/>
  <c r="B15" i="72"/>
  <c r="A3" i="51"/>
  <c r="C8" i="11"/>
  <c r="B40" i="48"/>
  <c r="B3" i="72"/>
  <c r="F35" i="4"/>
  <c r="J55" i="39"/>
  <c r="H38" i="43"/>
  <c r="H39" i="43"/>
  <c r="H40" i="43"/>
  <c r="H41" i="43"/>
  <c r="H42" i="43"/>
  <c r="H37" i="43"/>
  <c r="J24" i="43"/>
  <c r="C22" i="43"/>
  <c r="C10" i="43"/>
  <c r="C11" i="43"/>
  <c r="C9" i="43"/>
  <c r="F33" i="15"/>
  <c r="F61" i="15" s="1"/>
  <c r="M19" i="15"/>
  <c r="G41" i="69"/>
  <c r="B23" i="1"/>
  <c r="B24" i="1"/>
  <c r="F34" i="68"/>
  <c r="C36" i="68" s="1"/>
  <c r="D78" i="9"/>
  <c r="K8" i="1"/>
  <c r="M8" i="1" s="1"/>
  <c r="F23" i="15"/>
  <c r="D24" i="15" s="1"/>
  <c r="K10" i="1"/>
  <c r="M10" i="1" s="1"/>
  <c r="O10" i="1"/>
  <c r="P10" i="1"/>
  <c r="BC10" i="3"/>
  <c r="BD10" i="3"/>
  <c r="BB10"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s="1"/>
  <c r="O53" i="9" s="1"/>
  <c r="D89" i="9"/>
  <c r="C89" i="9"/>
  <c r="C87" i="9" s="1"/>
  <c r="G12" i="1"/>
  <c r="J55" i="9"/>
  <c r="B31" i="1"/>
  <c r="M20" i="15"/>
  <c r="T4" i="1"/>
  <c r="F15" i="15"/>
  <c r="F17" i="15"/>
  <c r="F18" i="15"/>
  <c r="F20" i="15"/>
  <c r="F21" i="15"/>
  <c r="D3" i="35"/>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09" i="39"/>
  <c r="B111" i="39"/>
  <c r="F36" i="39" s="1"/>
  <c r="J30" i="36"/>
  <c r="H30" i="36"/>
  <c r="U30" i="36" s="1"/>
  <c r="F30" i="36"/>
  <c r="AA30" i="36"/>
  <c r="C26" i="35"/>
  <c r="C79" i="35"/>
  <c r="J31" i="35"/>
  <c r="W31" i="35"/>
  <c r="H31" i="35"/>
  <c r="F31" i="35"/>
  <c r="AA31" i="35" s="1"/>
  <c r="D87" i="35"/>
  <c r="E87" i="35"/>
  <c r="F87" i="35" s="1"/>
  <c r="G87" i="35" s="1"/>
  <c r="H87" i="35" s="1"/>
  <c r="I87" i="35" s="1"/>
  <c r="J87" i="35" s="1"/>
  <c r="K87" i="35" s="1"/>
  <c r="L87" i="35" s="1"/>
  <c r="M87" i="35" s="1"/>
  <c r="H34" i="37"/>
  <c r="AB34" i="37"/>
  <c r="D101" i="37"/>
  <c r="F34" i="37"/>
  <c r="S34" i="37" s="1"/>
  <c r="D99" i="37"/>
  <c r="E99" i="37" s="1"/>
  <c r="F99" i="37" s="1"/>
  <c r="G99" i="37" s="1"/>
  <c r="H42" i="34"/>
  <c r="AB42" i="34" s="1"/>
  <c r="J42" i="34"/>
  <c r="W42" i="34"/>
  <c r="F42" i="34"/>
  <c r="S42" i="34"/>
  <c r="J38" i="34"/>
  <c r="W38" i="34"/>
  <c r="D114" i="34"/>
  <c r="F38" i="34"/>
  <c r="S38" i="34" s="1"/>
  <c r="D112" i="34"/>
  <c r="E112" i="34" s="1"/>
  <c r="F112" i="34" s="1"/>
  <c r="G112" i="34" s="1"/>
  <c r="H112" i="34" s="1"/>
  <c r="I112" i="34" s="1"/>
  <c r="J112" i="34" s="1"/>
  <c r="K112" i="34" s="1"/>
  <c r="L112" i="34" s="1"/>
  <c r="M112" i="34" s="1"/>
  <c r="F40" i="33"/>
  <c r="AA40" i="33" s="1"/>
  <c r="J41" i="33"/>
  <c r="W41" i="33"/>
  <c r="D113" i="33"/>
  <c r="F37" i="33"/>
  <c r="D111" i="33"/>
  <c r="E111" i="33"/>
  <c r="F111" i="33" s="1"/>
  <c r="G111" i="33" s="1"/>
  <c r="H111" i="33" s="1"/>
  <c r="S515" i="31"/>
  <c r="S516" i="31"/>
  <c r="S517" i="31"/>
  <c r="S518" i="31"/>
  <c r="S519" i="31"/>
  <c r="S520" i="31"/>
  <c r="S521" i="31"/>
  <c r="S522" i="31"/>
  <c r="S523" i="31"/>
  <c r="S524" i="31"/>
  <c r="F41" i="21"/>
  <c r="S41" i="21" s="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AC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U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J31" i="39" s="1"/>
  <c r="W31" i="39" s="1"/>
  <c r="D96" i="39"/>
  <c r="J23" i="39"/>
  <c r="AC23" i="39" s="1"/>
  <c r="D94" i="39"/>
  <c r="E94" i="39" s="1"/>
  <c r="F94" i="39" s="1"/>
  <c r="D92" i="39"/>
  <c r="E92" i="39"/>
  <c r="F92" i="39" s="1"/>
  <c r="G92" i="39" s="1"/>
  <c r="D90" i="39"/>
  <c r="E90" i="39"/>
  <c r="F90" i="39" s="1"/>
  <c r="G90" i="39" s="1"/>
  <c r="D88" i="39"/>
  <c r="E88" i="39"/>
  <c r="F88" i="39" s="1"/>
  <c r="G88" i="39" s="1"/>
  <c r="B85" i="39"/>
  <c r="B83" i="39"/>
  <c r="F13" i="39" s="1"/>
  <c r="AA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H38" i="37" s="1"/>
  <c r="C23" i="37"/>
  <c r="C19" i="37"/>
  <c r="C17" i="37"/>
  <c r="C15" i="37"/>
  <c r="B112" i="37"/>
  <c r="D107" i="37"/>
  <c r="E107" i="37" s="1"/>
  <c r="F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H29" i="37" s="1"/>
  <c r="AB29" i="37" s="1"/>
  <c r="B86" i="37"/>
  <c r="B84" i="37"/>
  <c r="H27" i="37" s="1"/>
  <c r="B82" i="37"/>
  <c r="D79" i="37"/>
  <c r="E79" i="37" s="1"/>
  <c r="F79" i="37" s="1"/>
  <c r="G79" i="37" s="1"/>
  <c r="D75" i="37"/>
  <c r="E75" i="37" s="1"/>
  <c r="F75" i="37" s="1"/>
  <c r="G75" i="37" s="1"/>
  <c r="D73" i="37"/>
  <c r="E73" i="37" s="1"/>
  <c r="F73" i="37" s="1"/>
  <c r="G73" i="37" s="1"/>
  <c r="D71" i="37"/>
  <c r="H15" i="37" s="1"/>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AC25" i="36" s="1"/>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F13" i="36" s="1"/>
  <c r="AA13" i="36" s="1"/>
  <c r="B57" i="36"/>
  <c r="J12" i="36"/>
  <c r="AC12" i="36" s="1"/>
  <c r="B55" i="36"/>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J34" i="35"/>
  <c r="B77" i="35"/>
  <c r="B75" i="35"/>
  <c r="J24" i="35" s="1"/>
  <c r="AC24" i="35" s="1"/>
  <c r="B73" i="35"/>
  <c r="H23" i="35"/>
  <c r="U23" i="35" s="1"/>
  <c r="B57" i="35"/>
  <c r="H11" i="35" s="1"/>
  <c r="B61" i="35"/>
  <c r="B59" i="35"/>
  <c r="H12" i="35" s="1"/>
  <c r="AB12" i="35" s="1"/>
  <c r="B131" i="34"/>
  <c r="H47" i="34" s="1"/>
  <c r="AB47" i="34" s="1"/>
  <c r="B129" i="34"/>
  <c r="B127" i="34"/>
  <c r="H45" i="34" s="1"/>
  <c r="B99" i="34"/>
  <c r="B97" i="34"/>
  <c r="J31" i="34" s="1"/>
  <c r="B95" i="34"/>
  <c r="B93" i="34"/>
  <c r="F29" i="34" s="1"/>
  <c r="B75" i="34"/>
  <c r="B73" i="34"/>
  <c r="B71" i="34"/>
  <c r="B130" i="33"/>
  <c r="B128" i="33"/>
  <c r="B126" i="33"/>
  <c r="H44" i="33" s="1"/>
  <c r="U44" i="33" s="1"/>
  <c r="B98" i="33"/>
  <c r="B96" i="33"/>
  <c r="J30" i="33" s="1"/>
  <c r="AC30" i="33" s="1"/>
  <c r="B94" i="33"/>
  <c r="J29" i="33" s="1"/>
  <c r="W29" i="33" s="1"/>
  <c r="B74" i="33"/>
  <c r="B72" i="33"/>
  <c r="H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J35" i="39"/>
  <c r="AC35" i="39"/>
  <c r="F35" i="39"/>
  <c r="AA35" i="39"/>
  <c r="W40" i="39"/>
  <c r="E103" i="37"/>
  <c r="F103" i="37" s="1"/>
  <c r="G103" i="37" s="1"/>
  <c r="H103" i="37" s="1"/>
  <c r="I103" i="37" s="1"/>
  <c r="J103" i="37" s="1"/>
  <c r="K103" i="37" s="1"/>
  <c r="L103" i="37" s="1"/>
  <c r="M103" i="37" s="1"/>
  <c r="F39" i="37"/>
  <c r="S39" i="37"/>
  <c r="F29" i="36"/>
  <c r="AA29" i="36"/>
  <c r="F16" i="36"/>
  <c r="AA16" i="36"/>
  <c r="W28" i="36"/>
  <c r="U31" i="36"/>
  <c r="H22" i="35"/>
  <c r="AB22" i="35"/>
  <c r="AC27" i="35"/>
  <c r="W28" i="35"/>
  <c r="U31" i="35"/>
  <c r="W22" i="35"/>
  <c r="F36" i="34"/>
  <c r="AA36" i="34" s="1"/>
  <c r="J35" i="34"/>
  <c r="W35" i="34" s="1"/>
  <c r="H39" i="33"/>
  <c r="AB39" i="33"/>
  <c r="F26" i="33"/>
  <c r="AA26" i="33"/>
  <c r="H39" i="37"/>
  <c r="AB39" i="37" s="1"/>
  <c r="S27" i="35"/>
  <c r="F11" i="40"/>
  <c r="AA11" i="40"/>
  <c r="H11" i="40"/>
  <c r="AB11" i="40"/>
  <c r="AC40" i="40"/>
  <c r="AC9" i="40"/>
  <c r="S34" i="40"/>
  <c r="W31" i="40"/>
  <c r="U40" i="40"/>
  <c r="F42" i="39"/>
  <c r="AA42" i="39"/>
  <c r="F41" i="39"/>
  <c r="S41" i="39"/>
  <c r="H40" i="39"/>
  <c r="AB40" i="39"/>
  <c r="H39" i="39"/>
  <c r="U39" i="39"/>
  <c r="S34" i="39"/>
  <c r="H34" i="39"/>
  <c r="U34" i="39"/>
  <c r="H31" i="39"/>
  <c r="AB31" i="39" s="1"/>
  <c r="F31" i="39"/>
  <c r="AA31" i="39" s="1"/>
  <c r="E100" i="39"/>
  <c r="F100" i="39" s="1"/>
  <c r="G100" i="39" s="1"/>
  <c r="H19" i="39"/>
  <c r="AB19" i="39"/>
  <c r="F19" i="39"/>
  <c r="AA19" i="39"/>
  <c r="H17" i="39"/>
  <c r="AB17" i="39"/>
  <c r="F17" i="39"/>
  <c r="AA17" i="39"/>
  <c r="J23" i="40"/>
  <c r="AC23" i="40"/>
  <c r="F21" i="40"/>
  <c r="AA21" i="40"/>
  <c r="J21" i="40"/>
  <c r="W21" i="40"/>
  <c r="H42" i="39"/>
  <c r="AB42" i="39"/>
  <c r="J34" i="39"/>
  <c r="AC34" i="39"/>
  <c r="H27" i="39"/>
  <c r="U27" i="39" s="1"/>
  <c r="J19" i="39"/>
  <c r="AC19" i="39" s="1"/>
  <c r="J17" i="39"/>
  <c r="W17" i="39" s="1"/>
  <c r="J27" i="39"/>
  <c r="AC27" i="39"/>
  <c r="F27" i="39"/>
  <c r="F11" i="21"/>
  <c r="S11" i="21" s="1"/>
  <c r="S40" i="21"/>
  <c r="U34" i="21"/>
  <c r="S34" i="21"/>
  <c r="C25" i="39"/>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F34" i="36"/>
  <c r="S34" i="36" s="1"/>
  <c r="F14" i="35"/>
  <c r="F23" i="35"/>
  <c r="J32" i="35"/>
  <c r="AC32" i="35" s="1"/>
  <c r="J16" i="35"/>
  <c r="AC16" i="35" s="1"/>
  <c r="H16" i="35"/>
  <c r="U16" i="35" s="1"/>
  <c r="F16" i="35"/>
  <c r="H14" i="35"/>
  <c r="AB14" i="35" s="1"/>
  <c r="J29" i="35"/>
  <c r="AC29" i="35" s="1"/>
  <c r="H33" i="35"/>
  <c r="AB33" i="35"/>
  <c r="J20" i="35"/>
  <c r="W20" i="35"/>
  <c r="F35" i="37"/>
  <c r="S35" i="37"/>
  <c r="E101" i="37"/>
  <c r="F101" i="37"/>
  <c r="G101" i="37" s="1"/>
  <c r="H101" i="37"/>
  <c r="I101" i="37" s="1"/>
  <c r="J101" i="37" s="1"/>
  <c r="K101" i="37" s="1"/>
  <c r="L101" i="37" s="1"/>
  <c r="M101" i="37" s="1"/>
  <c r="J34" i="37"/>
  <c r="W34" i="37" s="1"/>
  <c r="U42" i="34"/>
  <c r="H40" i="34"/>
  <c r="U40" i="34"/>
  <c r="E114" i="34"/>
  <c r="H36" i="34"/>
  <c r="S35" i="34"/>
  <c r="AA28" i="34"/>
  <c r="F27" i="34"/>
  <c r="AA27" i="34"/>
  <c r="F25" i="34"/>
  <c r="S25" i="34"/>
  <c r="F19" i="34"/>
  <c r="H17" i="34"/>
  <c r="F15" i="34"/>
  <c r="S15" i="34" s="1"/>
  <c r="H15" i="34"/>
  <c r="AB15" i="34" s="1"/>
  <c r="W8" i="34"/>
  <c r="F41" i="33"/>
  <c r="AA41" i="33"/>
  <c r="E113" i="33"/>
  <c r="F32" i="33"/>
  <c r="J19" i="33"/>
  <c r="AC19" i="33" s="1"/>
  <c r="J15" i="33"/>
  <c r="F11" i="33"/>
  <c r="AA11" i="33" s="1"/>
  <c r="U40" i="33"/>
  <c r="W40" i="33"/>
  <c r="F37" i="40"/>
  <c r="AA37" i="40" s="1"/>
  <c r="F36" i="40"/>
  <c r="H28" i="40"/>
  <c r="F23" i="40"/>
  <c r="F17" i="40"/>
  <c r="AA17" i="40" s="1"/>
  <c r="J17" i="40"/>
  <c r="W17" i="40" s="1"/>
  <c r="F15" i="40"/>
  <c r="S15" i="40" s="1"/>
  <c r="H15" i="40"/>
  <c r="AB15" i="40" s="1"/>
  <c r="AC11" i="40"/>
  <c r="S12" i="36"/>
  <c r="AA12" i="36"/>
  <c r="U33" i="35"/>
  <c r="F29" i="35"/>
  <c r="S29" i="35"/>
  <c r="H29" i="35"/>
  <c r="AB29" i="35"/>
  <c r="J43" i="34"/>
  <c r="W43" i="34"/>
  <c r="J40" i="34"/>
  <c r="W40" i="34" s="1"/>
  <c r="F114" i="34"/>
  <c r="G114" i="34" s="1"/>
  <c r="H114" i="34" s="1"/>
  <c r="I114" i="34" s="1"/>
  <c r="J114" i="34" s="1"/>
  <c r="K114" i="34" s="1"/>
  <c r="L114" i="34" s="1"/>
  <c r="M114" i="34" s="1"/>
  <c r="H38" i="34"/>
  <c r="J36" i="34"/>
  <c r="H25" i="34"/>
  <c r="AB25" i="34" s="1"/>
  <c r="J25" i="34"/>
  <c r="AA15" i="34"/>
  <c r="F113" i="33"/>
  <c r="G113" i="33" s="1"/>
  <c r="H113" i="33"/>
  <c r="I113" i="33" s="1"/>
  <c r="J113" i="33" s="1"/>
  <c r="K113" i="33" s="1"/>
  <c r="L113" i="33" s="1"/>
  <c r="M113" i="33" s="1"/>
  <c r="H37" i="33"/>
  <c r="H15" i="33"/>
  <c r="H11" i="33"/>
  <c r="F28" i="40"/>
  <c r="AA28" i="40" s="1"/>
  <c r="AA29" i="35"/>
  <c r="AA42" i="34"/>
  <c r="AC38" i="34"/>
  <c r="J11" i="33"/>
  <c r="S28" i="34"/>
  <c r="U23" i="40"/>
  <c r="J42" i="21"/>
  <c r="AC42" i="21" s="1"/>
  <c r="H42" i="21"/>
  <c r="J44" i="34"/>
  <c r="F44" i="34"/>
  <c r="J10" i="35"/>
  <c r="AC10" i="35" s="1"/>
  <c r="J14" i="21"/>
  <c r="W14" i="21" s="1"/>
  <c r="F14" i="21"/>
  <c r="S14" i="21" s="1"/>
  <c r="H14" i="21"/>
  <c r="U14" i="21" s="1"/>
  <c r="H28" i="21"/>
  <c r="AB28" i="21" s="1"/>
  <c r="F28" i="21"/>
  <c r="AA28" i="21" s="1"/>
  <c r="J28" i="21"/>
  <c r="W28" i="21" s="1"/>
  <c r="H30" i="21"/>
  <c r="F30" i="21"/>
  <c r="S30" i="21" s="1"/>
  <c r="J30" i="21"/>
  <c r="J44" i="21"/>
  <c r="H44" i="21"/>
  <c r="F44" i="21"/>
  <c r="AA44" i="21" s="1"/>
  <c r="H46" i="2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H14" i="36"/>
  <c r="U14" i="36" s="1"/>
  <c r="F28" i="36"/>
  <c r="AA28" i="36" s="1"/>
  <c r="J13" i="21"/>
  <c r="H27" i="21"/>
  <c r="F27" i="21"/>
  <c r="H29" i="21"/>
  <c r="J31" i="21"/>
  <c r="AC31" i="21" s="1"/>
  <c r="F31" i="21"/>
  <c r="F45" i="21"/>
  <c r="F27" i="33"/>
  <c r="AA27" i="33" s="1"/>
  <c r="J13" i="33"/>
  <c r="W13" i="33" s="1"/>
  <c r="U13" i="33"/>
  <c r="AC29" i="33"/>
  <c r="J31" i="33"/>
  <c r="W31" i="33"/>
  <c r="H31" i="33"/>
  <c r="U31" i="33"/>
  <c r="F31" i="33"/>
  <c r="AA31" i="33"/>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AB11" i="35"/>
  <c r="F11" i="35"/>
  <c r="J26" i="36"/>
  <c r="H28" i="36"/>
  <c r="U28" i="36" s="1"/>
  <c r="H32" i="36"/>
  <c r="AB32" i="36" s="1"/>
  <c r="J32" i="36"/>
  <c r="W32" i="36" s="1"/>
  <c r="J11" i="36"/>
  <c r="AC11" i="36" s="1"/>
  <c r="H11" i="36"/>
  <c r="U11" i="36" s="1"/>
  <c r="F11" i="36"/>
  <c r="H13" i="36"/>
  <c r="AB13" i="36" s="1"/>
  <c r="J13" i="36"/>
  <c r="AC13" i="36" s="1"/>
  <c r="S13" i="36"/>
  <c r="J29" i="37"/>
  <c r="F29" i="37"/>
  <c r="S29" i="37" s="1"/>
  <c r="H36" i="37"/>
  <c r="AB36" i="37" s="1"/>
  <c r="J37" i="37"/>
  <c r="AC37" i="37" s="1"/>
  <c r="H37" i="37"/>
  <c r="H40" i="37"/>
  <c r="U40" i="37" s="1"/>
  <c r="J40" i="37"/>
  <c r="F40" i="37"/>
  <c r="H14" i="33"/>
  <c r="U14" i="33" s="1"/>
  <c r="F14" i="33"/>
  <c r="S14" i="33" s="1"/>
  <c r="J14" i="33"/>
  <c r="W14" i="33" s="1"/>
  <c r="J44" i="33"/>
  <c r="AC44" i="33" s="1"/>
  <c r="F44" i="33"/>
  <c r="J46" i="33"/>
  <c r="F46" i="33"/>
  <c r="AA46" i="33" s="1"/>
  <c r="H46" i="33"/>
  <c r="H13" i="34"/>
  <c r="U13" i="34" s="1"/>
  <c r="J13" i="34"/>
  <c r="W13" i="34" s="1"/>
  <c r="F13" i="34"/>
  <c r="J29" i="34"/>
  <c r="AC29" i="34" s="1"/>
  <c r="S29" i="34"/>
  <c r="AC31" i="34"/>
  <c r="U45" i="34"/>
  <c r="U47" i="34"/>
  <c r="F13" i="35"/>
  <c r="S13" i="35"/>
  <c r="J13" i="35"/>
  <c r="AC13" i="35"/>
  <c r="H13" i="35"/>
  <c r="U13" i="35"/>
  <c r="J25" i="35"/>
  <c r="W25" i="35"/>
  <c r="F25" i="35"/>
  <c r="S25" i="35"/>
  <c r="H25" i="35"/>
  <c r="AB25" i="35"/>
  <c r="AC35" i="35"/>
  <c r="W25" i="36"/>
  <c r="H13" i="37"/>
  <c r="AB13" i="37"/>
  <c r="F13" i="37"/>
  <c r="S13" i="37"/>
  <c r="J13" i="37"/>
  <c r="W13" i="37"/>
  <c r="F28" i="37"/>
  <c r="AA28" i="37"/>
  <c r="J28" i="37"/>
  <c r="AC28" i="37"/>
  <c r="H28" i="37"/>
  <c r="U28" i="37"/>
  <c r="AB38" i="37"/>
  <c r="J14" i="39"/>
  <c r="AC14" i="39" s="1"/>
  <c r="F14" i="39"/>
  <c r="S14" i="39" s="1"/>
  <c r="H14" i="39"/>
  <c r="AB14" i="39"/>
  <c r="H30" i="40"/>
  <c r="AB30" i="40"/>
  <c r="J35" i="40"/>
  <c r="AC35" i="40"/>
  <c r="J37" i="40"/>
  <c r="AC37" i="40"/>
  <c r="H13" i="40"/>
  <c r="U13" i="40"/>
  <c r="J13" i="40"/>
  <c r="W13" i="40"/>
  <c r="F13" i="40"/>
  <c r="AA13" i="40"/>
  <c r="F14" i="37"/>
  <c r="S14" i="37"/>
  <c r="J13" i="39"/>
  <c r="W13" i="39" s="1"/>
  <c r="H13" i="39"/>
  <c r="U13" i="39" s="1"/>
  <c r="AB14" i="40"/>
  <c r="J14" i="37"/>
  <c r="AC14" i="37"/>
  <c r="AA13" i="35"/>
  <c r="AA14" i="33"/>
  <c r="J36" i="37"/>
  <c r="AC36" i="37"/>
  <c r="J10" i="36"/>
  <c r="AC10" i="36"/>
  <c r="W31" i="34"/>
  <c r="AC30" i="34"/>
  <c r="S45" i="33"/>
  <c r="AB31" i="33"/>
  <c r="AC28" i="21"/>
  <c r="F17" i="21"/>
  <c r="AA17" i="21" s="1"/>
  <c r="H17" i="21"/>
  <c r="F15" i="21"/>
  <c r="S15" i="21" s="1"/>
  <c r="J41" i="39"/>
  <c r="W41" i="39" s="1"/>
  <c r="W35"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c r="U32" i="33"/>
  <c r="F39" i="33"/>
  <c r="E123" i="33"/>
  <c r="F123" i="33" s="1"/>
  <c r="G123" i="33"/>
  <c r="H123" i="33" s="1"/>
  <c r="I123" i="33" s="1"/>
  <c r="J123" i="33" s="1"/>
  <c r="K123" i="33" s="1"/>
  <c r="L123" i="33" s="1"/>
  <c r="M123" i="33" s="1"/>
  <c r="F42" i="33"/>
  <c r="AA42" i="33"/>
  <c r="F14" i="36"/>
  <c r="AA14" i="36"/>
  <c r="F22" i="36"/>
  <c r="S22" i="36"/>
  <c r="F26" i="36"/>
  <c r="S26" i="36"/>
  <c r="H35" i="34"/>
  <c r="U35" i="34"/>
  <c r="F10" i="35"/>
  <c r="S10" i="35"/>
  <c r="J32" i="37"/>
  <c r="AC32" i="37"/>
  <c r="F36" i="37"/>
  <c r="AA36" i="37"/>
  <c r="F31" i="40"/>
  <c r="AA31" i="40"/>
  <c r="H31" i="40"/>
  <c r="U31" i="40"/>
  <c r="F32" i="40"/>
  <c r="S32" i="40"/>
  <c r="H32" i="40"/>
  <c r="AB32" i="40"/>
  <c r="J36" i="40"/>
  <c r="W36" i="40"/>
  <c r="H42" i="33"/>
  <c r="AB42" i="33"/>
  <c r="J43" i="33"/>
  <c r="AC43" i="33"/>
  <c r="S28" i="31"/>
  <c r="S27" i="31"/>
  <c r="S26" i="31"/>
  <c r="U14" i="40"/>
  <c r="W23" i="35"/>
  <c r="W14" i="37"/>
  <c r="U39" i="37"/>
  <c r="W26" i="37"/>
  <c r="U26" i="37"/>
  <c r="AB13" i="34"/>
  <c r="AC45" i="33"/>
  <c r="W44" i="33"/>
  <c r="U19" i="21"/>
  <c r="U26" i="21"/>
  <c r="F43" i="33"/>
  <c r="W16" i="35"/>
  <c r="G107" i="37"/>
  <c r="H107" i="37" s="1"/>
  <c r="I107" i="37" s="1"/>
  <c r="J107" i="37" s="1"/>
  <c r="K107" i="37" s="1"/>
  <c r="L107" i="37" s="1"/>
  <c r="M107" i="37" s="1"/>
  <c r="H37" i="21"/>
  <c r="U37" i="21"/>
  <c r="S42" i="21"/>
  <c r="H19" i="34"/>
  <c r="AB19" i="34" s="1"/>
  <c r="F36" i="35"/>
  <c r="S36" i="35" s="1"/>
  <c r="J9" i="37"/>
  <c r="W9" i="37" s="1"/>
  <c r="H9" i="37"/>
  <c r="U9" i="37" s="1"/>
  <c r="F9" i="37"/>
  <c r="S9" i="37" s="1"/>
  <c r="J12" i="37"/>
  <c r="H12" i="37"/>
  <c r="AB12" i="37" s="1"/>
  <c r="F12" i="37"/>
  <c r="S12" i="37" s="1"/>
  <c r="E71" i="37"/>
  <c r="F31" i="37"/>
  <c r="F12" i="39"/>
  <c r="J42" i="39"/>
  <c r="AC42" i="39" s="1"/>
  <c r="H21" i="40"/>
  <c r="F94" i="37"/>
  <c r="G94" i="37" s="1"/>
  <c r="H94" i="37"/>
  <c r="I94" i="37" s="1"/>
  <c r="J94" i="37" s="1"/>
  <c r="K94" i="37" s="1"/>
  <c r="L94" i="37" s="1"/>
  <c r="M94" i="37" s="1"/>
  <c r="H31" i="37"/>
  <c r="F71" i="37"/>
  <c r="G71" i="37" s="1"/>
  <c r="J15" i="37"/>
  <c r="W15" i="37" s="1"/>
  <c r="AT6" i="3"/>
  <c r="H5" i="3"/>
  <c r="AA25" i="21"/>
  <c r="H19" i="40"/>
  <c r="U19" i="40"/>
  <c r="G88" i="40"/>
  <c r="F19" i="40"/>
  <c r="S19" i="40"/>
  <c r="AC13" i="40"/>
  <c r="AC43" i="39"/>
  <c r="U45" i="39"/>
  <c r="AB44" i="39"/>
  <c r="H37" i="39"/>
  <c r="AC37" i="39"/>
  <c r="H25" i="39"/>
  <c r="J25" i="39"/>
  <c r="W25" i="39" s="1"/>
  <c r="F25" i="39"/>
  <c r="AA25" i="39"/>
  <c r="F15" i="39"/>
  <c r="AA15" i="39"/>
  <c r="H15" i="39"/>
  <c r="U15" i="39"/>
  <c r="J15" i="39"/>
  <c r="W15" i="39"/>
  <c r="H41" i="39"/>
  <c r="AB41" i="39"/>
  <c r="W27" i="39"/>
  <c r="AB34" i="39"/>
  <c r="U40" i="39"/>
  <c r="S42" i="39"/>
  <c r="AA41" i="39"/>
  <c r="W9" i="39"/>
  <c r="J19" i="40"/>
  <c r="AC19" i="40" s="1"/>
  <c r="J50" i="40"/>
  <c r="H103" i="9"/>
  <c r="D8" i="53"/>
  <c r="B16" i="53"/>
  <c r="B33" i="72"/>
  <c r="C7" i="37"/>
  <c r="C52" i="37"/>
  <c r="D52" i="37" s="1"/>
  <c r="C7" i="34"/>
  <c r="C7" i="36"/>
  <c r="A118" i="9"/>
  <c r="A4" i="52"/>
  <c r="B41" i="72"/>
  <c r="J11" i="39"/>
  <c r="W11" i="39"/>
  <c r="F11" i="39"/>
  <c r="AA11" i="39"/>
  <c r="S11" i="39"/>
  <c r="G4" i="4"/>
  <c r="I4" i="4"/>
  <c r="A2" i="9"/>
  <c r="F61" i="43"/>
  <c r="H64" i="43"/>
  <c r="G64" i="43" s="1"/>
  <c r="M64" i="43" s="1"/>
  <c r="BO5" i="3"/>
  <c r="BM5" i="3"/>
  <c r="F29" i="6"/>
  <c r="BJ5" i="3"/>
  <c r="BH5" i="3"/>
  <c r="BF5" i="3"/>
  <c r="BD5" i="3"/>
  <c r="AC5" i="3"/>
  <c r="BP5" i="3"/>
  <c r="G29" i="6" s="1"/>
  <c r="G30" i="6" s="1"/>
  <c r="BN5" i="3"/>
  <c r="BK5" i="3"/>
  <c r="BI5" i="3"/>
  <c r="BG5" i="3"/>
  <c r="BE5" i="3"/>
  <c r="BC5" i="3"/>
  <c r="BB5" i="3"/>
  <c r="U36" i="40"/>
  <c r="F83" i="43"/>
  <c r="H85" i="43"/>
  <c r="G85" i="43" s="1"/>
  <c r="K85" i="43" s="1"/>
  <c r="F50" i="43"/>
  <c r="F72" i="43"/>
  <c r="H75" i="43"/>
  <c r="G75" i="43" s="1"/>
  <c r="M75" i="43" s="1"/>
  <c r="U17" i="39"/>
  <c r="AC35" i="21"/>
  <c r="G8" i="1"/>
  <c r="G10" i="1"/>
  <c r="AC11" i="39"/>
  <c r="W37" i="37"/>
  <c r="U13" i="37"/>
  <c r="J37" i="33"/>
  <c r="W37" i="33" s="1"/>
  <c r="J34" i="33"/>
  <c r="W34" i="33" s="1"/>
  <c r="F33" i="34"/>
  <c r="S33" i="34" s="1"/>
  <c r="W12" i="36"/>
  <c r="H20" i="36"/>
  <c r="J20" i="36"/>
  <c r="W20" i="36" s="1"/>
  <c r="W24" i="36"/>
  <c r="J27" i="36"/>
  <c r="W27" i="36"/>
  <c r="AC33" i="40"/>
  <c r="G111" i="40"/>
  <c r="H111" i="40" s="1"/>
  <c r="I111" i="40"/>
  <c r="J111" i="40" s="1"/>
  <c r="K111" i="40" s="1"/>
  <c r="L111" i="40" s="1"/>
  <c r="M111" i="40" s="1"/>
  <c r="H35" i="40"/>
  <c r="AB35" i="40"/>
  <c r="W29" i="35"/>
  <c r="H35" i="37"/>
  <c r="U35" i="37"/>
  <c r="AC14" i="35"/>
  <c r="H20" i="35"/>
  <c r="U20" i="35" s="1"/>
  <c r="F20" i="35"/>
  <c r="AA20" i="35" s="1"/>
  <c r="AB23" i="35"/>
  <c r="AB29" i="36"/>
  <c r="U29" i="36"/>
  <c r="H32" i="37"/>
  <c r="AB32" i="37"/>
  <c r="H27" i="40"/>
  <c r="U27" i="40"/>
  <c r="J27" i="40"/>
  <c r="AC27" i="40"/>
  <c r="F27" i="40"/>
  <c r="S27" i="40"/>
  <c r="J30" i="40"/>
  <c r="AC30" i="40"/>
  <c r="F30" i="40"/>
  <c r="AA30" i="40"/>
  <c r="AC21" i="40"/>
  <c r="S31" i="39"/>
  <c r="S11" i="40"/>
  <c r="E98" i="40"/>
  <c r="F98" i="40" s="1"/>
  <c r="G98" i="40"/>
  <c r="H98" i="40" s="1"/>
  <c r="I98" i="40" s="1"/>
  <c r="J98" i="40" s="1"/>
  <c r="K98" i="40" s="1"/>
  <c r="L98" i="40" s="1"/>
  <c r="M98" i="40"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c r="C40" i="11"/>
  <c r="F23" i="39"/>
  <c r="H27" i="36"/>
  <c r="U27" i="36" s="1"/>
  <c r="F27" i="36"/>
  <c r="AA27" i="36" s="1"/>
  <c r="H33" i="34"/>
  <c r="U33" i="34" s="1"/>
  <c r="F32" i="37"/>
  <c r="AA32" i="37" s="1"/>
  <c r="F20" i="36"/>
  <c r="AA20" i="36" s="1"/>
  <c r="J33" i="34"/>
  <c r="H23" i="39"/>
  <c r="U23" i="39" s="1"/>
  <c r="K9" i="1"/>
  <c r="M9" i="1" s="1"/>
  <c r="D93" i="9"/>
  <c r="AP6" i="1"/>
  <c r="W26" i="33"/>
  <c r="AC27" i="34"/>
  <c r="U34" i="36"/>
  <c r="U33" i="36"/>
  <c r="AC12" i="39"/>
  <c r="W12" i="39"/>
  <c r="W39" i="40"/>
  <c r="W12" i="33"/>
  <c r="AC12" i="33"/>
  <c r="S32" i="36"/>
  <c r="AC13" i="34"/>
  <c r="W28" i="37"/>
  <c r="S19" i="39"/>
  <c r="F12" i="33"/>
  <c r="S12" i="33" s="1"/>
  <c r="H12" i="39"/>
  <c r="AB12" i="39"/>
  <c r="F39" i="40"/>
  <c r="AA39" i="40"/>
  <c r="B12" i="1"/>
  <c r="E12" i="1"/>
  <c r="B10" i="1"/>
  <c r="E10" i="1"/>
  <c r="K12" i="1"/>
  <c r="M12" i="1"/>
  <c r="S13" i="1"/>
  <c r="AR13" i="1"/>
  <c r="R13" i="1"/>
  <c r="J51" i="67"/>
  <c r="C24" i="12"/>
  <c r="F48" i="9"/>
  <c r="O52" i="9"/>
  <c r="AB37" i="40"/>
  <c r="S35" i="40"/>
  <c r="U35" i="40"/>
  <c r="AC36" i="40"/>
  <c r="AA32" i="40"/>
  <c r="S17" i="40"/>
  <c r="AC17" i="40"/>
  <c r="AC15" i="40"/>
  <c r="S30" i="40"/>
  <c r="AA19" i="40"/>
  <c r="S28" i="40"/>
  <c r="AB19" i="40"/>
  <c r="U35" i="39"/>
  <c r="F32" i="39"/>
  <c r="AA32" i="39"/>
  <c r="F106" i="39"/>
  <c r="G106" i="39"/>
  <c r="H106" i="39" s="1"/>
  <c r="I106" i="39"/>
  <c r="J106" i="39" s="1"/>
  <c r="K106" i="39" s="1"/>
  <c r="L106" i="39" s="1"/>
  <c r="M106" i="39" s="1"/>
  <c r="AB27" i="39"/>
  <c r="J21" i="39"/>
  <c r="W21" i="39" s="1"/>
  <c r="F21" i="39"/>
  <c r="AA21" i="39" s="1"/>
  <c r="G94" i="39"/>
  <c r="H21" i="39"/>
  <c r="AB21" i="39"/>
  <c r="U19" i="39"/>
  <c r="S17" i="39"/>
  <c r="S15" i="39"/>
  <c r="S9" i="39"/>
  <c r="U14" i="39"/>
  <c r="AC13" i="39"/>
  <c r="U13" i="36"/>
  <c r="U26" i="36"/>
  <c r="AA26" i="36"/>
  <c r="AA34" i="36"/>
  <c r="AA22" i="36"/>
  <c r="AB14" i="36"/>
  <c r="U22" i="36"/>
  <c r="S16" i="36"/>
  <c r="S24" i="36"/>
  <c r="U24" i="36"/>
  <c r="U16" i="36"/>
  <c r="S14" i="36"/>
  <c r="AA25" i="35"/>
  <c r="W24" i="35"/>
  <c r="AB13" i="35"/>
  <c r="U29" i="35"/>
  <c r="U28" i="35"/>
  <c r="AB27" i="35"/>
  <c r="U36" i="35"/>
  <c r="U32" i="35"/>
  <c r="AA33" i="35"/>
  <c r="AC30" i="35"/>
  <c r="S32" i="35"/>
  <c r="AA36" i="35"/>
  <c r="S28" i="35"/>
  <c r="AB16" i="35"/>
  <c r="U22" i="35"/>
  <c r="AC20" i="35"/>
  <c r="U14" i="35"/>
  <c r="AC9" i="35"/>
  <c r="W9" i="35"/>
  <c r="AC12" i="35"/>
  <c r="W13" i="35"/>
  <c r="F9" i="35"/>
  <c r="S9" i="35" s="1"/>
  <c r="H9" i="35"/>
  <c r="U9" i="35" s="1"/>
  <c r="AB40" i="37"/>
  <c r="S26" i="37"/>
  <c r="U29" i="37"/>
  <c r="AC35" i="37"/>
  <c r="W39" i="37"/>
  <c r="J17" i="37"/>
  <c r="F17" i="37"/>
  <c r="F19" i="37"/>
  <c r="F23" i="37"/>
  <c r="S23" i="37" s="1"/>
  <c r="AC13" i="37"/>
  <c r="AA13" i="37"/>
  <c r="H10" i="37"/>
  <c r="AB10" i="37" s="1"/>
  <c r="F63" i="37"/>
  <c r="G63" i="37" s="1"/>
  <c r="H63" i="37"/>
  <c r="I63" i="37" s="1"/>
  <c r="J63" i="37" s="1"/>
  <c r="K63" i="37" s="1"/>
  <c r="L63" i="37" s="1"/>
  <c r="M63" i="37" s="1"/>
  <c r="F11" i="37"/>
  <c r="S11" i="37" s="1"/>
  <c r="S27" i="34"/>
  <c r="AB8" i="34"/>
  <c r="AC42" i="34"/>
  <c r="AB35" i="34"/>
  <c r="U39" i="34"/>
  <c r="AA25" i="34"/>
  <c r="AA29" i="34"/>
  <c r="U15" i="34"/>
  <c r="H10" i="34"/>
  <c r="AB10" i="34" s="1"/>
  <c r="F11" i="34"/>
  <c r="S11" i="34" s="1"/>
  <c r="F70" i="34"/>
  <c r="G70" i="34" s="1"/>
  <c r="H70" i="34" s="1"/>
  <c r="I70" i="34" s="1"/>
  <c r="J70" i="34" s="1"/>
  <c r="K70" i="34" s="1"/>
  <c r="L70" i="34" s="1"/>
  <c r="M70" i="34" s="1"/>
  <c r="S27" i="33"/>
  <c r="W38" i="33"/>
  <c r="H41" i="33"/>
  <c r="U41" i="33"/>
  <c r="F121" i="33"/>
  <c r="G121" i="33"/>
  <c r="H121" i="33" s="1"/>
  <c r="I121" i="33" s="1"/>
  <c r="J121" i="33" s="1"/>
  <c r="K121" i="33" s="1"/>
  <c r="L121" i="33" s="1"/>
  <c r="M121" i="33" s="1"/>
  <c r="G108" i="33"/>
  <c r="H108" i="33" s="1"/>
  <c r="I108" i="33" s="1"/>
  <c r="J108" i="33" s="1"/>
  <c r="K108" i="33" s="1"/>
  <c r="L108" i="33" s="1"/>
  <c r="M108" i="33" s="1"/>
  <c r="J35" i="33"/>
  <c r="AC35" i="33"/>
  <c r="S37" i="33"/>
  <c r="AA37" i="33"/>
  <c r="F101" i="33"/>
  <c r="G101" i="33" s="1"/>
  <c r="H101" i="33" s="1"/>
  <c r="I101" i="33" s="1"/>
  <c r="J101" i="33" s="1"/>
  <c r="K101" i="33" s="1"/>
  <c r="L101" i="33" s="1"/>
  <c r="M101" i="33" s="1"/>
  <c r="J32" i="33"/>
  <c r="S46" i="33"/>
  <c r="H27" i="33"/>
  <c r="AB27" i="33" s="1"/>
  <c r="F87" i="33"/>
  <c r="G87" i="33" s="1"/>
  <c r="H87" i="33"/>
  <c r="I87" i="33" s="1"/>
  <c r="J87" i="33" s="1"/>
  <c r="K87" i="33" s="1"/>
  <c r="L87" i="33" s="1"/>
  <c r="M87" i="33" s="1"/>
  <c r="H25" i="33"/>
  <c r="F25" i="33"/>
  <c r="S25" i="33" s="1"/>
  <c r="F85" i="33"/>
  <c r="G85" i="33" s="1"/>
  <c r="F81" i="33"/>
  <c r="G81" i="33"/>
  <c r="F19" i="33"/>
  <c r="S19" i="33"/>
  <c r="J17" i="33"/>
  <c r="W17" i="33"/>
  <c r="F79" i="33"/>
  <c r="S15" i="33"/>
  <c r="U9" i="33"/>
  <c r="AB14" i="33"/>
  <c r="W43" i="21"/>
  <c r="W36" i="21"/>
  <c r="W41" i="21"/>
  <c r="AA43" i="21"/>
  <c r="S39" i="21"/>
  <c r="AA38" i="21"/>
  <c r="AA36" i="21"/>
  <c r="AC40" i="21"/>
  <c r="J15" i="21"/>
  <c r="W15" i="21"/>
  <c r="F77" i="21"/>
  <c r="G77" i="21"/>
  <c r="F23" i="21"/>
  <c r="S23" i="21"/>
  <c r="E85" i="21"/>
  <c r="F85" i="21"/>
  <c r="G85" i="21" s="1"/>
  <c r="AA14" i="21"/>
  <c r="D120" i="9"/>
  <c r="D121" i="9"/>
  <c r="D7" i="52" s="1"/>
  <c r="F62" i="67"/>
  <c r="M20" i="67"/>
  <c r="F34" i="15"/>
  <c r="F62" i="15" s="1"/>
  <c r="J56" i="9"/>
  <c r="J57" i="9" s="1"/>
  <c r="J59" i="9"/>
  <c r="J61" i="9" s="1"/>
  <c r="A24" i="51"/>
  <c r="B18" i="72" s="1"/>
  <c r="E5" i="6"/>
  <c r="E32" i="6"/>
  <c r="G1" i="68"/>
  <c r="K1" i="12"/>
  <c r="E19" i="69"/>
  <c r="E19" i="68"/>
  <c r="E19" i="11"/>
  <c r="G22" i="69"/>
  <c r="G26" i="12"/>
  <c r="C6" i="43"/>
  <c r="B19" i="53"/>
  <c r="B37" i="72"/>
  <c r="C7" i="39"/>
  <c r="C67" i="39"/>
  <c r="C69" i="39" s="1"/>
  <c r="C7" i="35"/>
  <c r="C48" i="35"/>
  <c r="D48" i="35" s="1"/>
  <c r="C7" i="33"/>
  <c r="C7" i="21"/>
  <c r="C7" i="40"/>
  <c r="C63" i="40" s="1"/>
  <c r="M47" i="9"/>
  <c r="G23" i="43"/>
  <c r="C46" i="36"/>
  <c r="D46" i="36" s="1"/>
  <c r="E46" i="36" s="1"/>
  <c r="F46" i="36" s="1"/>
  <c r="G46" i="36" s="1"/>
  <c r="H46" i="36" s="1"/>
  <c r="I46" i="36" s="1"/>
  <c r="J46" i="36" s="1"/>
  <c r="A4" i="51"/>
  <c r="B6" i="72"/>
  <c r="H67" i="43"/>
  <c r="G67" i="43"/>
  <c r="L20" i="6"/>
  <c r="B6" i="1"/>
  <c r="E6" i="1" s="1"/>
  <c r="K11" i="1"/>
  <c r="M11" i="1" s="1"/>
  <c r="O11" i="1"/>
  <c r="B9" i="1"/>
  <c r="E9" i="1"/>
  <c r="K7" i="1"/>
  <c r="M7" i="1"/>
  <c r="O7" i="1"/>
  <c r="P7" i="1"/>
  <c r="G1" i="15"/>
  <c r="G1" i="69"/>
  <c r="W23" i="40"/>
  <c r="U32" i="40"/>
  <c r="AB31" i="40"/>
  <c r="S37" i="40"/>
  <c r="W28" i="40"/>
  <c r="W34" i="40"/>
  <c r="W19" i="40"/>
  <c r="W37" i="40"/>
  <c r="S13" i="40"/>
  <c r="AA15" i="40"/>
  <c r="U11" i="40"/>
  <c r="S31" i="40"/>
  <c r="AB13" i="40"/>
  <c r="U15" i="40"/>
  <c r="AB17" i="40"/>
  <c r="U8" i="40"/>
  <c r="S8" i="40"/>
  <c r="AC41" i="39"/>
  <c r="U42" i="39"/>
  <c r="U41" i="39"/>
  <c r="AC25" i="39"/>
  <c r="AB13" i="39"/>
  <c r="S13" i="39"/>
  <c r="AA14" i="39"/>
  <c r="U11" i="39"/>
  <c r="AA27" i="39"/>
  <c r="S27" i="39"/>
  <c r="AC17" i="39"/>
  <c r="AC31" i="39"/>
  <c r="AB39" i="39"/>
  <c r="W34" i="39"/>
  <c r="U38" i="39"/>
  <c r="S8" i="39"/>
  <c r="S20" i="36"/>
  <c r="U32" i="36"/>
  <c r="W29" i="36"/>
  <c r="AC20" i="36"/>
  <c r="AB28" i="36"/>
  <c r="W22" i="36"/>
  <c r="W23" i="36"/>
  <c r="AB20" i="35"/>
  <c r="AC25" i="35"/>
  <c r="U25" i="35"/>
  <c r="W35" i="35"/>
  <c r="S28" i="37"/>
  <c r="U36" i="37"/>
  <c r="U38" i="37"/>
  <c r="U8" i="37"/>
  <c r="AB40" i="34"/>
  <c r="U19" i="34"/>
  <c r="AA30" i="34"/>
  <c r="AB45" i="34"/>
  <c r="U25" i="34"/>
  <c r="AC14" i="34"/>
  <c r="AC32" i="34"/>
  <c r="W29" i="34"/>
  <c r="AC46" i="34"/>
  <c r="AA32" i="34"/>
  <c r="AB30" i="34"/>
  <c r="S36" i="34"/>
  <c r="AA8" i="34"/>
  <c r="S46" i="34"/>
  <c r="AA46" i="34"/>
  <c r="U32" i="34"/>
  <c r="AB32" i="34"/>
  <c r="U14" i="34"/>
  <c r="AB14" i="34"/>
  <c r="AC35" i="34"/>
  <c r="U12" i="34"/>
  <c r="AB12" i="34"/>
  <c r="AC37" i="33"/>
  <c r="U38" i="33"/>
  <c r="AB44" i="33"/>
  <c r="AC14" i="33"/>
  <c r="S31" i="33"/>
  <c r="AC13" i="33"/>
  <c r="S11" i="33"/>
  <c r="S28" i="33"/>
  <c r="W9" i="33"/>
  <c r="S44" i="21"/>
  <c r="U28" i="21"/>
  <c r="I101" i="21"/>
  <c r="J101" i="21" s="1"/>
  <c r="K101" i="21" s="1"/>
  <c r="L101" i="21" s="1"/>
  <c r="M101" i="21" s="1"/>
  <c r="F33" i="21"/>
  <c r="AA33" i="21"/>
  <c r="J33" i="21"/>
  <c r="AC33" i="21"/>
  <c r="H33" i="21"/>
  <c r="AB33" i="21"/>
  <c r="F37" i="21"/>
  <c r="AA37" i="21"/>
  <c r="AA26" i="21"/>
  <c r="AB14" i="21"/>
  <c r="U40" i="21"/>
  <c r="U31" i="21"/>
  <c r="U13" i="21"/>
  <c r="AB13" i="21"/>
  <c r="S35" i="21"/>
  <c r="J37" i="21"/>
  <c r="W37" i="21" s="1"/>
  <c r="H15" i="21"/>
  <c r="U15" i="21" s="1"/>
  <c r="J17" i="21"/>
  <c r="AC19" i="21"/>
  <c r="W39" i="21"/>
  <c r="AC14" i="21"/>
  <c r="S46" i="21"/>
  <c r="H45" i="21"/>
  <c r="U45" i="21"/>
  <c r="F29" i="21"/>
  <c r="S29" i="21"/>
  <c r="F13" i="21"/>
  <c r="AA13" i="21"/>
  <c r="AC38" i="21"/>
  <c r="H32" i="21"/>
  <c r="AB32" i="21" s="1"/>
  <c r="H9" i="21"/>
  <c r="U9" i="21" s="1"/>
  <c r="J9" i="21"/>
  <c r="W9" i="21"/>
  <c r="J32" i="21"/>
  <c r="W32" i="21"/>
  <c r="F32" i="21"/>
  <c r="AA32" i="21"/>
  <c r="W29" i="21"/>
  <c r="S19" i="21"/>
  <c r="S9" i="21"/>
  <c r="AA9" i="21"/>
  <c r="K141" i="21"/>
  <c r="K143" i="21"/>
  <c r="AB25" i="21"/>
  <c r="AA30" i="21"/>
  <c r="AC45" i="21"/>
  <c r="F10" i="21"/>
  <c r="AA10" i="21"/>
  <c r="W25" i="21"/>
  <c r="AA29" i="21"/>
  <c r="W31" i="21"/>
  <c r="AA15" i="21"/>
  <c r="AC27" i="21"/>
  <c r="AC26" i="21"/>
  <c r="S28" i="21"/>
  <c r="AC34" i="21"/>
  <c r="W12" i="21"/>
  <c r="AB36" i="21"/>
  <c r="C15" i="40"/>
  <c r="C17" i="40"/>
  <c r="C23" i="40"/>
  <c r="C21" i="40"/>
  <c r="U30" i="40"/>
  <c r="B56" i="43"/>
  <c r="B67" i="43"/>
  <c r="B51" i="43"/>
  <c r="B54" i="43"/>
  <c r="B58" i="43"/>
  <c r="B62" i="43"/>
  <c r="B65" i="43"/>
  <c r="B69" i="43"/>
  <c r="D22" i="15"/>
  <c r="S39" i="40"/>
  <c r="AA12" i="33"/>
  <c r="J32" i="39"/>
  <c r="H32" i="39"/>
  <c r="S32" i="39"/>
  <c r="U21" i="39"/>
  <c r="S21" i="39"/>
  <c r="J19" i="37"/>
  <c r="W19" i="37"/>
  <c r="AA23" i="37"/>
  <c r="J23" i="37"/>
  <c r="W23" i="37"/>
  <c r="J10" i="37"/>
  <c r="W10" i="37"/>
  <c r="H11" i="37"/>
  <c r="AB11" i="37"/>
  <c r="H11" i="34"/>
  <c r="U11" i="34"/>
  <c r="J10" i="34"/>
  <c r="AC10" i="34"/>
  <c r="J27" i="33"/>
  <c r="AC27" i="33"/>
  <c r="J25" i="33"/>
  <c r="AC25" i="33"/>
  <c r="H19" i="33"/>
  <c r="G79" i="33"/>
  <c r="H17" i="33"/>
  <c r="AB17" i="33"/>
  <c r="F17" i="33"/>
  <c r="S17" i="33"/>
  <c r="AC17" i="33"/>
  <c r="J23" i="21"/>
  <c r="W23" i="21" s="1"/>
  <c r="H23" i="21"/>
  <c r="U23" i="21" s="1"/>
  <c r="S13" i="21"/>
  <c r="AP7" i="1"/>
  <c r="AB45" i="21"/>
  <c r="AB9" i="21"/>
  <c r="AC9" i="21"/>
  <c r="AC32" i="39"/>
  <c r="W32" i="39"/>
  <c r="AC23" i="37"/>
  <c r="J11" i="37"/>
  <c r="AC11" i="37"/>
  <c r="J11" i="34"/>
  <c r="W11" i="34"/>
  <c r="AB23" i="21"/>
  <c r="H109" i="9"/>
  <c r="AD3" i="71"/>
  <c r="H69" i="43"/>
  <c r="G69" i="43"/>
  <c r="C22" i="71"/>
  <c r="D22" i="71"/>
  <c r="D23" i="71"/>
  <c r="D24" i="71"/>
  <c r="U24" i="71" s="1"/>
  <c r="S24" i="71"/>
  <c r="T24" i="71"/>
  <c r="AB22" i="71"/>
  <c r="X20" i="71"/>
  <c r="X19" i="71"/>
  <c r="AA20" i="71"/>
  <c r="AA19" i="71"/>
  <c r="X23" i="71"/>
  <c r="Y19" i="71"/>
  <c r="Z19" i="71" s="1"/>
  <c r="AB20" i="71"/>
  <c r="AB19" i="71"/>
  <c r="S20" i="71"/>
  <c r="F20" i="71"/>
  <c r="F19" i="71" s="1"/>
  <c r="F18" i="71" s="1"/>
  <c r="F17" i="71" s="1"/>
  <c r="Y20" i="71"/>
  <c r="Z20" i="71" s="1"/>
  <c r="X3" i="71"/>
  <c r="C21" i="71"/>
  <c r="C20" i="71"/>
  <c r="D21" i="71"/>
  <c r="D20" i="71"/>
  <c r="F7" i="1"/>
  <c r="G7" i="1" s="1"/>
  <c r="N64" i="43"/>
  <c r="N75" i="43"/>
  <c r="D85" i="43"/>
  <c r="C10" i="33"/>
  <c r="J51" i="15"/>
  <c r="H99" i="37"/>
  <c r="I99" i="37" s="1"/>
  <c r="J99" i="37"/>
  <c r="K99" i="37" s="1"/>
  <c r="L99" i="37" s="1"/>
  <c r="M99" i="37" s="1"/>
  <c r="W32" i="37"/>
  <c r="U34" i="37"/>
  <c r="AB35" i="37"/>
  <c r="W31" i="37"/>
  <c r="S36" i="37"/>
  <c r="U32" i="37"/>
  <c r="AA14" i="37"/>
  <c r="AA39" i="37"/>
  <c r="W36" i="37"/>
  <c r="AA35" i="37"/>
  <c r="AC34" i="37"/>
  <c r="AA34" i="37"/>
  <c r="S32" i="37"/>
  <c r="AA29" i="37"/>
  <c r="AC21" i="37"/>
  <c r="AC19" i="37"/>
  <c r="AC15" i="37"/>
  <c r="U43" i="34"/>
  <c r="AC40" i="34"/>
  <c r="U44" i="34"/>
  <c r="AC43" i="34"/>
  <c r="AA33" i="34"/>
  <c r="J17" i="34"/>
  <c r="S21" i="34"/>
  <c r="AC21" i="34"/>
  <c r="U9" i="34"/>
  <c r="S43" i="34"/>
  <c r="AA40" i="34"/>
  <c r="AC39" i="34"/>
  <c r="AA39" i="34"/>
  <c r="AB33" i="34"/>
  <c r="I111" i="33"/>
  <c r="J111" i="33" s="1"/>
  <c r="K111" i="33"/>
  <c r="L111" i="33" s="1"/>
  <c r="M111" i="33" s="1"/>
  <c r="S42" i="33"/>
  <c r="W43" i="33"/>
  <c r="U43" i="33"/>
  <c r="W30" i="33"/>
  <c r="AC31" i="33"/>
  <c r="F23" i="33"/>
  <c r="S23" i="33"/>
  <c r="H23" i="33"/>
  <c r="U23" i="33"/>
  <c r="J23" i="33"/>
  <c r="W19" i="33"/>
  <c r="U17" i="33"/>
  <c r="AB23" i="33"/>
  <c r="AA17" i="33"/>
  <c r="AA25" i="33"/>
  <c r="S26" i="33"/>
  <c r="AC21" i="33"/>
  <c r="AA19" i="33"/>
  <c r="W8" i="33"/>
  <c r="U42" i="33"/>
  <c r="W42" i="33"/>
  <c r="AC41" i="33"/>
  <c r="S41" i="33"/>
  <c r="AB41" i="33"/>
  <c r="U39" i="33"/>
  <c r="W39" i="33"/>
  <c r="S38" i="33"/>
  <c r="W35" i="33"/>
  <c r="AA35" i="33"/>
  <c r="U35" i="33"/>
  <c r="AB34" i="33"/>
  <c r="AA34" i="33"/>
  <c r="AC28" i="33"/>
  <c r="AB28" i="33"/>
  <c r="U27" i="33"/>
  <c r="W27" i="33"/>
  <c r="AB26" i="33"/>
  <c r="W25" i="33"/>
  <c r="U43" i="21"/>
  <c r="AB38" i="21"/>
  <c r="AC23" i="21"/>
  <c r="AA23" i="21"/>
  <c r="AB21" i="21"/>
  <c r="S21" i="21"/>
  <c r="S17" i="21"/>
  <c r="AC46" i="21"/>
  <c r="U32" i="21"/>
  <c r="AB39" i="21"/>
  <c r="S32" i="21"/>
  <c r="S37" i="21"/>
  <c r="W42" i="21"/>
  <c r="U35" i="21"/>
  <c r="C29" i="39"/>
  <c r="B68" i="43"/>
  <c r="B77" i="43"/>
  <c r="C19" i="39"/>
  <c r="D23" i="15"/>
  <c r="G22" i="11"/>
  <c r="G22" i="68"/>
  <c r="F60" i="67"/>
  <c r="F54" i="9"/>
  <c r="F28" i="15"/>
  <c r="F32" i="15"/>
  <c r="F60" i="15" s="1"/>
  <c r="F52" i="9"/>
  <c r="F30" i="68"/>
  <c r="F48" i="68"/>
  <c r="D16" i="53"/>
  <c r="B34" i="72"/>
  <c r="D6" i="52"/>
  <c r="AB15" i="21"/>
  <c r="D68" i="9"/>
  <c r="M18" i="15"/>
  <c r="F30" i="69"/>
  <c r="M18" i="67"/>
  <c r="F31" i="12"/>
  <c r="C4" i="12"/>
  <c r="C31" i="12" s="1"/>
  <c r="F30" i="11"/>
  <c r="C48" i="11" s="1"/>
  <c r="W30" i="40"/>
  <c r="AC15" i="21"/>
  <c r="AA39" i="39"/>
  <c r="W27" i="40"/>
  <c r="S20" i="35"/>
  <c r="U12" i="39"/>
  <c r="AA27" i="40"/>
  <c r="AB27" i="40"/>
  <c r="U12" i="35"/>
  <c r="S38" i="40"/>
  <c r="W35" i="40"/>
  <c r="AB28" i="37"/>
  <c r="AB45" i="33"/>
  <c r="AA14" i="34"/>
  <c r="AB46" i="34"/>
  <c r="AC12" i="40"/>
  <c r="AC9" i="34"/>
  <c r="W9" i="34"/>
  <c r="AC34" i="35"/>
  <c r="W34" i="35"/>
  <c r="AB9" i="36"/>
  <c r="U9" i="36"/>
  <c r="AB14" i="37"/>
  <c r="U14" i="37"/>
  <c r="W32" i="40"/>
  <c r="AC32" i="40"/>
  <c r="B73" i="43"/>
  <c r="B79" i="43"/>
  <c r="B76" i="43"/>
  <c r="B75" i="43"/>
  <c r="F9" i="34"/>
  <c r="AA9" i="34" s="1"/>
  <c r="F34" i="35"/>
  <c r="H34" i="35"/>
  <c r="J36" i="35"/>
  <c r="H38" i="40"/>
  <c r="J38" i="40"/>
  <c r="H39" i="40"/>
  <c r="U18" i="36"/>
  <c r="AB25" i="71"/>
  <c r="AB27" i="71"/>
  <c r="X9" i="71"/>
  <c r="X10" i="71"/>
  <c r="AB9" i="71"/>
  <c r="AB10" i="71"/>
  <c r="AB24" i="71"/>
  <c r="Y22" i="71"/>
  <c r="Z22" i="71" s="1"/>
  <c r="AB23" i="71"/>
  <c r="Y21" i="71"/>
  <c r="Z21" i="7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c r="X15" i="71"/>
  <c r="AA15" i="71"/>
  <c r="AB12" i="71"/>
  <c r="AB11" i="71"/>
  <c r="Y13" i="71"/>
  <c r="Z13" i="71"/>
  <c r="Y12" i="71"/>
  <c r="Z12" i="71"/>
  <c r="AA12" i="71"/>
  <c r="X11" i="71"/>
  <c r="X14" i="71"/>
  <c r="H83" i="43"/>
  <c r="G83" i="43" s="1"/>
  <c r="S22" i="31"/>
  <c r="R22" i="31" s="1"/>
  <c r="H78" i="43"/>
  <c r="G78" i="43" s="1"/>
  <c r="AC32" i="36"/>
  <c r="W31" i="36"/>
  <c r="AA31" i="36"/>
  <c r="S28" i="36"/>
  <c r="S30" i="36"/>
  <c r="S29" i="36"/>
  <c r="W8" i="36"/>
  <c r="AB8" i="36"/>
  <c r="W11" i="36"/>
  <c r="S8" i="36"/>
  <c r="AB11" i="36"/>
  <c r="AB10" i="35"/>
  <c r="U30" i="35"/>
  <c r="AA30" i="35"/>
  <c r="W32" i="35"/>
  <c r="W33" i="35"/>
  <c r="AA9" i="35"/>
  <c r="S8" i="35"/>
  <c r="AB9" i="35"/>
  <c r="U11" i="35"/>
  <c r="AB37" i="21"/>
  <c r="S33" i="21"/>
  <c r="AC9" i="37"/>
  <c r="W11" i="37"/>
  <c r="AA8" i="37"/>
  <c r="AA9" i="37"/>
  <c r="AA12" i="37"/>
  <c r="AB9" i="37"/>
  <c r="U11" i="37"/>
  <c r="U12" i="37"/>
  <c r="AC8" i="37"/>
  <c r="AC11" i="34"/>
  <c r="U33" i="21"/>
  <c r="AB13" i="33"/>
  <c r="S9" i="33"/>
  <c r="S8" i="33"/>
  <c r="U8" i="33"/>
  <c r="W8" i="21"/>
  <c r="S8" i="21"/>
  <c r="AA11" i="21"/>
  <c r="AC11" i="21"/>
  <c r="AB11" i="21"/>
  <c r="F53" i="9"/>
  <c r="C5" i="11"/>
  <c r="E14" i="6"/>
  <c r="E63" i="39"/>
  <c r="I4" i="6"/>
  <c r="G3" i="43"/>
  <c r="E29" i="6"/>
  <c r="K15" i="1" s="1"/>
  <c r="K16" i="1" s="1"/>
  <c r="F30" i="6"/>
  <c r="G31" i="6"/>
  <c r="L27" i="6"/>
  <c r="M6" i="1"/>
  <c r="O6" i="1"/>
  <c r="T13" i="1"/>
  <c r="C58" i="21"/>
  <c r="C58" i="33"/>
  <c r="D58" i="33" s="1"/>
  <c r="C59" i="34"/>
  <c r="D59" i="34"/>
  <c r="E59" i="34" s="1"/>
  <c r="F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8"/>
  <c r="C77" i="9"/>
  <c r="C74" i="9"/>
  <c r="C21" i="69"/>
  <c r="J85" i="43"/>
  <c r="D83" i="43"/>
  <c r="D65" i="43"/>
  <c r="D75" i="43"/>
  <c r="D22" i="67"/>
  <c r="AQ13" i="1"/>
  <c r="Q16" i="1"/>
  <c r="E8" i="6"/>
  <c r="F27" i="6" s="1"/>
  <c r="E12" i="6"/>
  <c r="E57" i="40" s="1"/>
  <c r="E15" i="6"/>
  <c r="E64" i="39"/>
  <c r="E11" i="6"/>
  <c r="E60" i="39"/>
  <c r="E10" i="6"/>
  <c r="E13" i="6"/>
  <c r="H16" i="1"/>
  <c r="P11" i="1"/>
  <c r="K14" i="1"/>
  <c r="D9" i="11"/>
  <c r="C9" i="11"/>
  <c r="D19" i="12"/>
  <c r="C19" i="12" s="1"/>
  <c r="O9" i="1"/>
  <c r="P9" i="1"/>
  <c r="O12" i="1"/>
  <c r="P12" i="1"/>
  <c r="O8" i="1"/>
  <c r="P8" i="1"/>
  <c r="H73" i="43"/>
  <c r="G73" i="43" s="1"/>
  <c r="H90" i="43"/>
  <c r="G90" i="43" s="1"/>
  <c r="O23" i="43"/>
  <c r="I18" i="43"/>
  <c r="E17" i="43"/>
  <c r="C17" i="43"/>
  <c r="C24" i="43"/>
  <c r="A1" i="79"/>
  <c r="H55" i="43"/>
  <c r="G55" i="43"/>
  <c r="K55" i="43" s="1"/>
  <c r="H86" i="43"/>
  <c r="G86" i="43"/>
  <c r="M86" i="43" s="1"/>
  <c r="N86" i="43" s="1"/>
  <c r="H87" i="43"/>
  <c r="G87" i="43"/>
  <c r="H89" i="43"/>
  <c r="G89" i="43"/>
  <c r="H88" i="43"/>
  <c r="G88" i="43"/>
  <c r="M88" i="43" s="1"/>
  <c r="N88" i="43" s="1"/>
  <c r="H84" i="43"/>
  <c r="G84" i="43"/>
  <c r="M84" i="43" s="1"/>
  <c r="N84" i="43" s="1"/>
  <c r="D67" i="39"/>
  <c r="D69" i="39" s="1"/>
  <c r="T35" i="4"/>
  <c r="A19" i="51" s="1"/>
  <c r="B14" i="72" s="1"/>
  <c r="H110" i="9"/>
  <c r="D18" i="53"/>
  <c r="B35" i="72" s="1"/>
  <c r="H52" i="43"/>
  <c r="G52" i="43" s="1"/>
  <c r="K5" i="4"/>
  <c r="B47" i="48" s="1"/>
  <c r="Y8" i="71"/>
  <c r="Z8" i="71" s="1"/>
  <c r="X8" i="71"/>
  <c r="AB8" i="71"/>
  <c r="AA8" i="71"/>
  <c r="B8" i="74"/>
  <c r="H76" i="43"/>
  <c r="G76" i="43" s="1"/>
  <c r="H72" i="43"/>
  <c r="G72" i="43" s="1"/>
  <c r="K72" i="43" s="1"/>
  <c r="H63" i="43"/>
  <c r="G63" i="43" s="1"/>
  <c r="H61" i="43"/>
  <c r="G61" i="43" s="1"/>
  <c r="M61" i="43" s="1"/>
  <c r="N61" i="43" s="1"/>
  <c r="H53" i="43"/>
  <c r="G53" i="43" s="1"/>
  <c r="H79" i="43"/>
  <c r="G79" i="43" s="1"/>
  <c r="M79" i="43" s="1"/>
  <c r="N79" i="43" s="1"/>
  <c r="D17" i="53"/>
  <c r="B36" i="72" s="1"/>
  <c r="D124" i="9"/>
  <c r="H74" i="43"/>
  <c r="G74" i="43"/>
  <c r="K74" i="43" s="1"/>
  <c r="H57" i="43"/>
  <c r="G57" i="43"/>
  <c r="H66" i="43"/>
  <c r="G66" i="43"/>
  <c r="M66" i="43" s="1"/>
  <c r="N66" i="43" s="1"/>
  <c r="H68" i="43"/>
  <c r="G68" i="43"/>
  <c r="K68" i="43" s="1"/>
  <c r="J68" i="43" s="1"/>
  <c r="D68" i="43" s="1"/>
  <c r="H80" i="43"/>
  <c r="G80" i="43"/>
  <c r="M80" i="43" s="1"/>
  <c r="N80" i="43" s="1"/>
  <c r="H77" i="43"/>
  <c r="G77" i="43"/>
  <c r="M77" i="43" s="1"/>
  <c r="E44" i="43"/>
  <c r="C44" i="43"/>
  <c r="AC21" i="39"/>
  <c r="AB23" i="39"/>
  <c r="AB15" i="39"/>
  <c r="AC15" i="39"/>
  <c r="S25" i="39"/>
  <c r="W39" i="39"/>
  <c r="W42" i="39"/>
  <c r="W14" i="39"/>
  <c r="S29" i="39"/>
  <c r="G21" i="43"/>
  <c r="C20" i="43" s="1"/>
  <c r="E11" i="43"/>
  <c r="E9" i="43"/>
  <c r="E10" i="43"/>
  <c r="E8" i="43"/>
  <c r="G16" i="1"/>
  <c r="F10" i="39" s="1"/>
  <c r="D23" i="67"/>
  <c r="G25" i="12"/>
  <c r="G41" i="11"/>
  <c r="G27" i="12"/>
  <c r="G41" i="68"/>
  <c r="K46" i="36"/>
  <c r="L46" i="36" s="1"/>
  <c r="M46" i="36"/>
  <c r="N46" i="36" s="1"/>
  <c r="O46" i="36" s="1"/>
  <c r="J7" i="36" s="1"/>
  <c r="E52" i="37"/>
  <c r="F52" i="37"/>
  <c r="G52" i="37" s="1"/>
  <c r="H52" i="37"/>
  <c r="I52" i="37" s="1"/>
  <c r="J52" i="37" s="1"/>
  <c r="D58" i="21"/>
  <c r="E48" i="35"/>
  <c r="D63" i="40"/>
  <c r="C65" i="40"/>
  <c r="E58" i="33"/>
  <c r="F58" i="33" s="1"/>
  <c r="G58" i="33"/>
  <c r="H58" i="33" s="1"/>
  <c r="I58" i="33" s="1"/>
  <c r="D9" i="53"/>
  <c r="B25" i="72"/>
  <c r="B24" i="72"/>
  <c r="K120" i="9"/>
  <c r="A18" i="62" s="1"/>
  <c r="B64" i="72" s="1"/>
  <c r="Y16" i="71"/>
  <c r="Z16" i="71"/>
  <c r="Y15" i="71"/>
  <c r="Z15" i="71"/>
  <c r="AA16" i="71"/>
  <c r="AB3" i="71"/>
  <c r="B16" i="71"/>
  <c r="X16" i="71"/>
  <c r="AB16" i="71"/>
  <c r="Y3" i="71"/>
  <c r="Z3" i="71" s="1"/>
  <c r="F16" i="71"/>
  <c r="F15" i="71" s="1"/>
  <c r="F14" i="71"/>
  <c r="F13" i="71" s="1"/>
  <c r="F12" i="71" s="1"/>
  <c r="F11" i="71" s="1"/>
  <c r="F10" i="71" s="1"/>
  <c r="F9" i="71" s="1"/>
  <c r="F8" i="71" s="1"/>
  <c r="F7" i="71" s="1"/>
  <c r="F6" i="71" s="1"/>
  <c r="F5" i="71" s="1"/>
  <c r="AF3" i="71"/>
  <c r="D9" i="69"/>
  <c r="F27" i="69"/>
  <c r="C36" i="69"/>
  <c r="D9" i="68"/>
  <c r="C9" i="68" s="1"/>
  <c r="E59" i="40"/>
  <c r="K77" i="43"/>
  <c r="J77" i="43" s="1"/>
  <c r="D77" i="43" s="1"/>
  <c r="N77" i="43"/>
  <c r="M68" i="43"/>
  <c r="N68" i="43" s="1"/>
  <c r="M57" i="43"/>
  <c r="N57" i="43" s="1"/>
  <c r="K57" i="43"/>
  <c r="J57" i="43" s="1"/>
  <c r="D57" i="43" s="1"/>
  <c r="K61" i="43"/>
  <c r="M72" i="43"/>
  <c r="N72" i="43" s="1"/>
  <c r="M52" i="43"/>
  <c r="N52" i="43" s="1"/>
  <c r="K52" i="43"/>
  <c r="M89" i="43"/>
  <c r="N89" i="43" s="1"/>
  <c r="K89" i="43"/>
  <c r="M90" i="43"/>
  <c r="N90" i="43" s="1"/>
  <c r="K90" i="43"/>
  <c r="M56" i="43"/>
  <c r="N56" i="43"/>
  <c r="K56" i="43"/>
  <c r="K58" i="43"/>
  <c r="M58" i="43"/>
  <c r="N58" i="43"/>
  <c r="K66" i="43"/>
  <c r="M74" i="43"/>
  <c r="N74" i="43" s="1"/>
  <c r="K53" i="43"/>
  <c r="M53" i="43"/>
  <c r="N53" i="43"/>
  <c r="K63" i="43"/>
  <c r="M63" i="43"/>
  <c r="N63" i="43" s="1"/>
  <c r="K76" i="43"/>
  <c r="M76" i="43"/>
  <c r="N76" i="43"/>
  <c r="M87" i="43"/>
  <c r="N87" i="43" s="1"/>
  <c r="K87" i="43"/>
  <c r="M55" i="43"/>
  <c r="N55" i="43" s="1"/>
  <c r="K73" i="43"/>
  <c r="M73" i="43"/>
  <c r="N73" i="43"/>
  <c r="K65" i="43"/>
  <c r="J65" i="43"/>
  <c r="M65" i="43"/>
  <c r="N65" i="43"/>
  <c r="M51" i="43"/>
  <c r="N51" i="43"/>
  <c r="K51" i="43"/>
  <c r="K62" i="43"/>
  <c r="M62" i="43"/>
  <c r="N62" i="43"/>
  <c r="M78" i="43"/>
  <c r="N78" i="43"/>
  <c r="K78" i="43"/>
  <c r="M83" i="43"/>
  <c r="N83" i="43" s="1"/>
  <c r="K83" i="43"/>
  <c r="J83" i="43" s="1"/>
  <c r="J10" i="33"/>
  <c r="F10" i="33"/>
  <c r="H10" i="33"/>
  <c r="W17" i="34"/>
  <c r="AC17" i="34"/>
  <c r="S9" i="34"/>
  <c r="AA23" i="33"/>
  <c r="W23" i="33"/>
  <c r="AC23" i="33"/>
  <c r="E26" i="43"/>
  <c r="N94" i="46"/>
  <c r="J26" i="43"/>
  <c r="N370" i="46"/>
  <c r="G26" i="43"/>
  <c r="P6" i="1"/>
  <c r="C13" i="12"/>
  <c r="C30" i="11"/>
  <c r="C30" i="68"/>
  <c r="F31" i="15"/>
  <c r="F31" i="67"/>
  <c r="B15" i="71"/>
  <c r="B14" i="71" s="1"/>
  <c r="B13" i="71" s="1"/>
  <c r="B12" i="71" s="1"/>
  <c r="S16" i="71"/>
  <c r="F66" i="71"/>
  <c r="Q67" i="71"/>
  <c r="AB39" i="40"/>
  <c r="U39" i="40"/>
  <c r="U38" i="40"/>
  <c r="AB38" i="40"/>
  <c r="AB34" i="35"/>
  <c r="U34" i="35"/>
  <c r="AC38" i="40"/>
  <c r="W38" i="40"/>
  <c r="AC36" i="35"/>
  <c r="W36" i="35"/>
  <c r="AA34" i="35"/>
  <c r="S34" i="35"/>
  <c r="B116" i="43"/>
  <c r="I121" i="43" s="1"/>
  <c r="J121" i="43" s="1"/>
  <c r="K121" i="43" s="1"/>
  <c r="L121" i="43" s="1"/>
  <c r="M121" i="43" s="1"/>
  <c r="Z7" i="43"/>
  <c r="E30" i="6"/>
  <c r="E56" i="39"/>
  <c r="E67" i="39"/>
  <c r="E69" i="39" s="1"/>
  <c r="AA26" i="35"/>
  <c r="S26" i="35"/>
  <c r="AC26" i="35"/>
  <c r="W26" i="35"/>
  <c r="AB26" i="35"/>
  <c r="U26" i="35"/>
  <c r="E61" i="39"/>
  <c r="E56" i="40"/>
  <c r="C9" i="69"/>
  <c r="F45" i="69"/>
  <c r="F27" i="11"/>
  <c r="C29" i="11" s="1"/>
  <c r="D27" i="11" s="1"/>
  <c r="F28" i="12"/>
  <c r="C29" i="12" s="1"/>
  <c r="D28" i="12" s="1"/>
  <c r="E60" i="40"/>
  <c r="F31" i="6"/>
  <c r="D33" i="43"/>
  <c r="D1" i="43" s="1"/>
  <c r="E51" i="40"/>
  <c r="E16" i="6"/>
  <c r="E58" i="40"/>
  <c r="E62" i="39"/>
  <c r="M14" i="1"/>
  <c r="M16" i="1" s="1"/>
  <c r="D5" i="43"/>
  <c r="J10" i="40"/>
  <c r="AC10" i="40" s="1"/>
  <c r="H10" i="39"/>
  <c r="U10" i="39" s="1"/>
  <c r="F10" i="40"/>
  <c r="S10" i="40" s="1"/>
  <c r="J10" i="39"/>
  <c r="W10" i="39" s="1"/>
  <c r="H10" i="40"/>
  <c r="AB10" i="40" s="1"/>
  <c r="C7" i="43"/>
  <c r="C5" i="43"/>
  <c r="D10" i="52"/>
  <c r="D125" i="9"/>
  <c r="D11" i="52"/>
  <c r="B7" i="74"/>
  <c r="C7" i="74"/>
  <c r="F59" i="67"/>
  <c r="S10" i="39"/>
  <c r="AA10" i="39"/>
  <c r="D65" i="40"/>
  <c r="E63" i="40"/>
  <c r="E65" i="40" s="1"/>
  <c r="F48" i="35"/>
  <c r="E58" i="21"/>
  <c r="F58" i="21" s="1"/>
  <c r="M17" i="15"/>
  <c r="F59" i="15"/>
  <c r="P28" i="43"/>
  <c r="B66" i="40" s="1"/>
  <c r="P25" i="43"/>
  <c r="P29" i="43"/>
  <c r="P27" i="43"/>
  <c r="B70" i="39" s="1"/>
  <c r="AE11" i="1"/>
  <c r="AE9" i="1"/>
  <c r="F27" i="68"/>
  <c r="F45" i="68" s="1"/>
  <c r="AE7" i="1"/>
  <c r="AE8" i="1"/>
  <c r="AE12" i="1"/>
  <c r="AE10" i="1"/>
  <c r="J62" i="43"/>
  <c r="D62" i="43"/>
  <c r="J73" i="43"/>
  <c r="D73" i="43"/>
  <c r="J76" i="43"/>
  <c r="D76" i="43"/>
  <c r="J63" i="43"/>
  <c r="D63" i="43"/>
  <c r="J53" i="43"/>
  <c r="D53" i="43"/>
  <c r="J66" i="43"/>
  <c r="D66" i="43"/>
  <c r="J58" i="43"/>
  <c r="D58" i="43"/>
  <c r="D90" i="43"/>
  <c r="J90" i="43"/>
  <c r="D86" i="43"/>
  <c r="D89" i="43"/>
  <c r="J89" i="43"/>
  <c r="D84" i="43"/>
  <c r="J52" i="43"/>
  <c r="D52" i="43"/>
  <c r="J78" i="43"/>
  <c r="D78" i="43"/>
  <c r="J51" i="43"/>
  <c r="D51" i="43"/>
  <c r="D87" i="43"/>
  <c r="J87" i="43"/>
  <c r="D88" i="43"/>
  <c r="J56" i="43"/>
  <c r="D56" i="43"/>
  <c r="J61" i="43"/>
  <c r="D61" i="43"/>
  <c r="E61" i="43"/>
  <c r="B59" i="43" s="1"/>
  <c r="C28" i="43"/>
  <c r="U10" i="33"/>
  <c r="AB10" i="33"/>
  <c r="W10" i="33"/>
  <c r="AC10" i="33"/>
  <c r="S10" i="33"/>
  <c r="AA10" i="33"/>
  <c r="M17" i="67"/>
  <c r="Q66" i="71"/>
  <c r="Q65" i="71"/>
  <c r="E65" i="39"/>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C118" i="43" s="1"/>
  <c r="B122" i="43"/>
  <c r="C122" i="43" s="1"/>
  <c r="AG11" i="1"/>
  <c r="AG9" i="1"/>
  <c r="AG10" i="1"/>
  <c r="AG8" i="1"/>
  <c r="AG12" i="1"/>
  <c r="AG7" i="1"/>
  <c r="AG6" i="1"/>
  <c r="S8" i="1"/>
  <c r="E8" i="70"/>
  <c r="O14" i="1"/>
  <c r="O16" i="1"/>
  <c r="M18" i="9"/>
  <c r="B118" i="9"/>
  <c r="AA10" i="40"/>
  <c r="W10" i="40"/>
  <c r="F63" i="40"/>
  <c r="G63" i="40" s="1"/>
  <c r="G48" i="35"/>
  <c r="E83" i="43"/>
  <c r="B81" i="43" s="1"/>
  <c r="B14" i="74"/>
  <c r="B1" i="74" s="1"/>
  <c r="S11" i="1"/>
  <c r="AQ11" i="1" s="1"/>
  <c r="E11" i="70"/>
  <c r="S9" i="1"/>
  <c r="AQ8" i="1"/>
  <c r="T8" i="1"/>
  <c r="AR8" i="1"/>
  <c r="S7" i="1"/>
  <c r="AQ7" i="1" s="1"/>
  <c r="E7" i="70"/>
  <c r="S10" i="1"/>
  <c r="AQ10" i="1" s="1"/>
  <c r="E10" i="70"/>
  <c r="S12" i="1"/>
  <c r="P14" i="1"/>
  <c r="P16" i="1"/>
  <c r="C11" i="12" s="1"/>
  <c r="C15" i="12" s="1"/>
  <c r="H48" i="35"/>
  <c r="I48" i="35" s="1"/>
  <c r="F65" i="40"/>
  <c r="C34" i="69"/>
  <c r="C38" i="69" s="1"/>
  <c r="R7" i="1"/>
  <c r="E12" i="70"/>
  <c r="F34" i="11"/>
  <c r="F11" i="12"/>
  <c r="C23" i="12" s="1"/>
  <c r="E9" i="70"/>
  <c r="AR9" i="1"/>
  <c r="AQ9" i="1"/>
  <c r="T9" i="1"/>
  <c r="AR11" i="1"/>
  <c r="AR12" i="1"/>
  <c r="T12" i="1"/>
  <c r="AQ12" i="1"/>
  <c r="T10" i="1"/>
  <c r="AR7" i="1"/>
  <c r="T7" i="1"/>
  <c r="R11" i="1"/>
  <c r="R9" i="1"/>
  <c r="R10" i="1"/>
  <c r="R8" i="1"/>
  <c r="R12" i="1"/>
  <c r="C36" i="11"/>
  <c r="C19" i="68"/>
  <c r="C19" i="69"/>
  <c r="B2" i="21"/>
  <c r="B2" i="36"/>
  <c r="B3" i="36"/>
  <c r="B2" i="35"/>
  <c r="B3" i="35"/>
  <c r="H111" i="9"/>
  <c r="D19" i="53"/>
  <c r="B38" i="72" s="1"/>
  <c r="H112" i="9"/>
  <c r="D21" i="53" s="1"/>
  <c r="B39" i="72" s="1"/>
  <c r="D126" i="9"/>
  <c r="D12" i="52"/>
  <c r="D127" i="9"/>
  <c r="D13" i="52" s="1"/>
  <c r="D20" i="53"/>
  <c r="B40" i="72" s="1"/>
  <c r="D59" i="9"/>
  <c r="M55" i="9" s="1"/>
  <c r="E15" i="74"/>
  <c r="F15" i="74"/>
  <c r="F7" i="67"/>
  <c r="F43" i="67"/>
  <c r="F36" i="67"/>
  <c r="E11" i="76"/>
  <c r="F7" i="15"/>
  <c r="D3" i="73"/>
  <c r="D6" i="73"/>
  <c r="C76" i="67"/>
  <c r="F40" i="15"/>
  <c r="AO13" i="1"/>
  <c r="D7" i="73"/>
  <c r="F6" i="73"/>
  <c r="F43" i="15"/>
  <c r="M28" i="67"/>
  <c r="F7" i="73"/>
  <c r="F9" i="67"/>
  <c r="F16" i="67"/>
  <c r="F37" i="67"/>
  <c r="M23" i="67"/>
  <c r="F13" i="15"/>
  <c r="F37" i="15"/>
  <c r="M8" i="15"/>
  <c r="D35" i="9"/>
  <c r="E2" i="69"/>
  <c r="M23" i="15"/>
  <c r="B10" i="76"/>
  <c r="B8" i="76"/>
  <c r="E9" i="76"/>
  <c r="D4" i="73"/>
  <c r="B7" i="76"/>
  <c r="E13" i="76"/>
  <c r="F42" i="15"/>
  <c r="L47" i="15"/>
  <c r="L47" i="67"/>
  <c r="F8" i="15"/>
  <c r="F36" i="15"/>
  <c r="F42" i="67"/>
  <c r="M26" i="15"/>
  <c r="M27" i="67"/>
  <c r="J15" i="67"/>
  <c r="F26" i="15"/>
  <c r="L48" i="67"/>
  <c r="F35" i="15"/>
  <c r="D2" i="33"/>
  <c r="D2" i="36"/>
  <c r="AO11" i="1"/>
  <c r="AO12" i="1"/>
  <c r="AO8" i="1"/>
  <c r="AO10" i="1"/>
  <c r="F6" i="67"/>
  <c r="F4" i="73"/>
  <c r="M22" i="67"/>
  <c r="B11" i="76"/>
  <c r="F3" i="73"/>
  <c r="E2" i="68"/>
  <c r="B13" i="76"/>
  <c r="M28" i="15"/>
  <c r="B12" i="76"/>
  <c r="F16" i="15"/>
  <c r="D5" i="73"/>
  <c r="G1" i="73" s="1"/>
  <c r="F38" i="67"/>
  <c r="M9" i="15"/>
  <c r="E8" i="76"/>
  <c r="F5" i="73"/>
  <c r="J15" i="15"/>
  <c r="F20" i="31"/>
  <c r="L48" i="15"/>
  <c r="M9" i="67"/>
  <c r="F38" i="15"/>
  <c r="M8" i="67"/>
  <c r="M26" i="67"/>
  <c r="F6" i="15"/>
  <c r="M27" i="15"/>
  <c r="D2" i="34"/>
  <c r="AO7" i="1"/>
  <c r="D2" i="37"/>
  <c r="F26" i="67"/>
  <c r="E7" i="76"/>
  <c r="D34" i="9"/>
  <c r="F9" i="15"/>
  <c r="E10" i="76"/>
  <c r="F8" i="67"/>
  <c r="F13" i="67"/>
  <c r="E12" i="76"/>
  <c r="M24" i="15"/>
  <c r="M6" i="15"/>
  <c r="F40" i="67"/>
  <c r="M24" i="67"/>
  <c r="B9" i="76"/>
  <c r="M6" i="67"/>
  <c r="C76" i="15"/>
  <c r="M29" i="67"/>
  <c r="M29" i="15"/>
  <c r="F41" i="15"/>
  <c r="M22" i="15"/>
  <c r="M21" i="15"/>
  <c r="D2" i="35"/>
  <c r="D2" i="21"/>
  <c r="C14" i="15"/>
  <c r="AO9" i="1"/>
  <c r="G65" i="40" l="1"/>
  <c r="H63" i="40"/>
  <c r="S12" i="71"/>
  <c r="B11" i="71"/>
  <c r="B10" i="71" s="1"/>
  <c r="B9" i="71" s="1"/>
  <c r="B8" i="71" s="1"/>
  <c r="B7" i="71" s="1"/>
  <c r="B6" i="71" s="1"/>
  <c r="B5" i="71" s="1"/>
  <c r="AC7" i="36"/>
  <c r="V36" i="36" s="1"/>
  <c r="I36" i="36" s="1"/>
  <c r="W7" i="36"/>
  <c r="D74" i="43"/>
  <c r="J74" i="43"/>
  <c r="D72" i="43"/>
  <c r="E72" i="43" s="1"/>
  <c r="B70" i="43" s="1"/>
  <c r="J72" i="43"/>
  <c r="G59" i="34"/>
  <c r="H59" i="34" s="1"/>
  <c r="I59" i="34" s="1"/>
  <c r="J59" i="34" s="1"/>
  <c r="K59" i="34" s="1"/>
  <c r="L59" i="34" s="1"/>
  <c r="M59" i="34" s="1"/>
  <c r="N59" i="34" s="1"/>
  <c r="O59" i="34" s="1"/>
  <c r="H7" i="34"/>
  <c r="J7" i="34"/>
  <c r="F7" i="34"/>
  <c r="G58" i="21"/>
  <c r="H58" i="21" s="1"/>
  <c r="I58" i="21" s="1"/>
  <c r="J58" i="21" s="1"/>
  <c r="K58" i="21" s="1"/>
  <c r="L58" i="21" s="1"/>
  <c r="M58" i="21" s="1"/>
  <c r="N58" i="21" s="1"/>
  <c r="O58" i="21" s="1"/>
  <c r="J7" i="21"/>
  <c r="H7" i="21"/>
  <c r="F7" i="21"/>
  <c r="L16" i="1"/>
  <c r="C34" i="68"/>
  <c r="C35" i="68" s="1"/>
  <c r="N16" i="1"/>
  <c r="C34" i="11"/>
  <c r="J48" i="35"/>
  <c r="K48" i="35" s="1"/>
  <c r="L48" i="35" s="1"/>
  <c r="M48" i="35" s="1"/>
  <c r="N48" i="35" s="1"/>
  <c r="O48" i="35" s="1"/>
  <c r="H7" i="35"/>
  <c r="J7" i="35"/>
  <c r="J58" i="33"/>
  <c r="K58" i="33" s="1"/>
  <c r="L58" i="33" s="1"/>
  <c r="M58" i="33" s="1"/>
  <c r="N58" i="33" s="1"/>
  <c r="O58" i="33" s="1"/>
  <c r="H7" i="33"/>
  <c r="F7" i="33"/>
  <c r="J7" i="33"/>
  <c r="K52" i="37"/>
  <c r="L52" i="37" s="1"/>
  <c r="M52" i="37" s="1"/>
  <c r="N52" i="37" s="1"/>
  <c r="O52" i="37" s="1"/>
  <c r="H7" i="37"/>
  <c r="F7" i="37"/>
  <c r="J7" i="37"/>
  <c r="D55" i="43"/>
  <c r="J55" i="43"/>
  <c r="F48" i="69"/>
  <c r="C30" i="69"/>
  <c r="C48" i="69"/>
  <c r="K69" i="43"/>
  <c r="M69" i="43"/>
  <c r="N69" i="43" s="1"/>
  <c r="P26" i="43"/>
  <c r="AB32" i="39"/>
  <c r="U32" i="39"/>
  <c r="C8" i="74"/>
  <c r="F7" i="35"/>
  <c r="AR10" i="1"/>
  <c r="T11" i="1"/>
  <c r="AC10" i="39"/>
  <c r="U10" i="40"/>
  <c r="AB10" i="39"/>
  <c r="C47" i="11"/>
  <c r="D45" i="11" s="1"/>
  <c r="D118" i="43"/>
  <c r="E118" i="43" s="1"/>
  <c r="F118" i="43" s="1"/>
  <c r="G118" i="43" s="1"/>
  <c r="H118" i="43" s="1"/>
  <c r="D121" i="43"/>
  <c r="E121" i="43" s="1"/>
  <c r="F121" i="43" s="1"/>
  <c r="I119" i="43"/>
  <c r="J119" i="43" s="1"/>
  <c r="K119" i="43" s="1"/>
  <c r="L119" i="43" s="1"/>
  <c r="M119" i="43" s="1"/>
  <c r="B120" i="43"/>
  <c r="C120" i="43" s="1"/>
  <c r="I120" i="43"/>
  <c r="J120" i="43" s="1"/>
  <c r="K120" i="43" s="1"/>
  <c r="L120" i="43" s="1"/>
  <c r="M120" i="43" s="1"/>
  <c r="G121" i="43"/>
  <c r="H121" i="43" s="1"/>
  <c r="B119" i="43"/>
  <c r="C119" i="43" s="1"/>
  <c r="F67" i="39"/>
  <c r="H7" i="36"/>
  <c r="F7" i="36"/>
  <c r="K88" i="43"/>
  <c r="J88" i="43" s="1"/>
  <c r="K80" i="43"/>
  <c r="K86" i="43"/>
  <c r="J86" i="43" s="1"/>
  <c r="K84" i="43"/>
  <c r="J84" i="43" s="1"/>
  <c r="K79" i="43"/>
  <c r="F26" i="43"/>
  <c r="D26" i="43" s="1"/>
  <c r="C25" i="43" s="1"/>
  <c r="H26" i="43"/>
  <c r="U20" i="71"/>
  <c r="C19" i="71"/>
  <c r="T20" i="71"/>
  <c r="AC37" i="21"/>
  <c r="U19" i="33"/>
  <c r="AB19" i="33"/>
  <c r="K67" i="43"/>
  <c r="M67" i="43"/>
  <c r="N67" i="43" s="1"/>
  <c r="U25" i="33"/>
  <c r="AB25" i="33"/>
  <c r="AA19" i="37"/>
  <c r="S19" i="37"/>
  <c r="W17" i="37"/>
  <c r="AC17" i="37"/>
  <c r="AC34" i="33"/>
  <c r="U20" i="36"/>
  <c r="AB20" i="36"/>
  <c r="K75" i="43"/>
  <c r="J75" i="43" s="1"/>
  <c r="M85" i="43"/>
  <c r="N85" i="43" s="1"/>
  <c r="K64" i="43"/>
  <c r="U31" i="37"/>
  <c r="AB31" i="37"/>
  <c r="S31" i="37"/>
  <c r="AA31" i="37"/>
  <c r="AA43" i="33"/>
  <c r="S43" i="33"/>
  <c r="AB17" i="21"/>
  <c r="U17" i="21"/>
  <c r="W13" i="36"/>
  <c r="AB46" i="33"/>
  <c r="U46" i="33"/>
  <c r="AC46" i="33"/>
  <c r="W46" i="33"/>
  <c r="AA40" i="37"/>
  <c r="S40" i="37"/>
  <c r="S11" i="35"/>
  <c r="AA11" i="35"/>
  <c r="AA45" i="21"/>
  <c r="S45" i="21"/>
  <c r="AA27" i="21"/>
  <c r="S27" i="21"/>
  <c r="AC13" i="21"/>
  <c r="W13" i="21"/>
  <c r="AC44" i="21"/>
  <c r="W44" i="21"/>
  <c r="AC44" i="34"/>
  <c r="W44" i="34"/>
  <c r="AB11" i="33"/>
  <c r="U11" i="33"/>
  <c r="AB37" i="33"/>
  <c r="U37" i="33"/>
  <c r="AC25" i="34"/>
  <c r="W25" i="34"/>
  <c r="W36" i="34"/>
  <c r="AC36" i="34"/>
  <c r="U28" i="40"/>
  <c r="AB28" i="40"/>
  <c r="AC15" i="33"/>
  <c r="W15" i="33"/>
  <c r="AA32" i="33"/>
  <c r="S32" i="33"/>
  <c r="U17" i="34"/>
  <c r="AB17" i="34"/>
  <c r="S16" i="35"/>
  <c r="AA16" i="35"/>
  <c r="AA23" i="35"/>
  <c r="S23" i="35"/>
  <c r="U15" i="37"/>
  <c r="AB15" i="37"/>
  <c r="AB25" i="37"/>
  <c r="U25" i="37"/>
  <c r="K144" i="21"/>
  <c r="K145" i="21"/>
  <c r="T40" i="71"/>
  <c r="D40" i="71"/>
  <c r="D35" i="71"/>
  <c r="C36" i="71"/>
  <c r="C31" i="71"/>
  <c r="D30" i="71"/>
  <c r="AC17" i="21"/>
  <c r="W17" i="21"/>
  <c r="AC32" i="33"/>
  <c r="W32" i="33"/>
  <c r="S17" i="37"/>
  <c r="AA17" i="37"/>
  <c r="AC33" i="34"/>
  <c r="W33" i="34"/>
  <c r="AA23" i="39"/>
  <c r="S23" i="39"/>
  <c r="H54" i="43"/>
  <c r="G54" i="43" s="1"/>
  <c r="H50" i="43"/>
  <c r="G50" i="43" s="1"/>
  <c r="AB25" i="39"/>
  <c r="U25" i="39"/>
  <c r="AB37" i="39"/>
  <c r="U37" i="39"/>
  <c r="AB21" i="40"/>
  <c r="U21" i="40"/>
  <c r="S12" i="39"/>
  <c r="AA12" i="39"/>
  <c r="W12" i="37"/>
  <c r="AC12" i="37"/>
  <c r="AA39" i="33"/>
  <c r="S39" i="33"/>
  <c r="AA13" i="34"/>
  <c r="S13" i="34"/>
  <c r="S44" i="33"/>
  <c r="AA44" i="33"/>
  <c r="AC40" i="37"/>
  <c r="W40" i="37"/>
  <c r="U37" i="37"/>
  <c r="AB37" i="37"/>
  <c r="W29" i="37"/>
  <c r="AC29" i="37"/>
  <c r="AA11" i="36"/>
  <c r="S11" i="36"/>
  <c r="W26" i="36"/>
  <c r="AC26" i="36"/>
  <c r="S31" i="21"/>
  <c r="AA31" i="21"/>
  <c r="U29" i="21"/>
  <c r="AB29" i="21"/>
  <c r="AB27" i="21"/>
  <c r="U27" i="21"/>
  <c r="AC14" i="36"/>
  <c r="W14" i="36"/>
  <c r="U46" i="21"/>
  <c r="AB46" i="21"/>
  <c r="U44" i="21"/>
  <c r="AB44" i="21"/>
  <c r="AC30" i="21"/>
  <c r="W30" i="21"/>
  <c r="U30" i="21"/>
  <c r="AB30" i="21"/>
  <c r="AA44" i="34"/>
  <c r="S44" i="34"/>
  <c r="U42" i="21"/>
  <c r="AB42" i="21"/>
  <c r="W11" i="33"/>
  <c r="AC11" i="33"/>
  <c r="AB15" i="33"/>
  <c r="U15" i="33"/>
  <c r="AB38" i="34"/>
  <c r="U38" i="34"/>
  <c r="AA23" i="40"/>
  <c r="S23" i="40"/>
  <c r="AA36" i="40"/>
  <c r="S36" i="40"/>
  <c r="S19" i="34"/>
  <c r="AA19" i="34"/>
  <c r="U36" i="34"/>
  <c r="AB36" i="34"/>
  <c r="AA14" i="35"/>
  <c r="S14" i="35"/>
  <c r="AB27" i="37"/>
  <c r="U27" i="37"/>
  <c r="AA36" i="39"/>
  <c r="S36" i="39"/>
  <c r="T44" i="71"/>
  <c r="D44" i="71"/>
  <c r="C56" i="71"/>
  <c r="D55" i="71"/>
  <c r="C64" i="71"/>
  <c r="D63" i="71"/>
  <c r="D23" i="77"/>
  <c r="C29" i="77"/>
  <c r="C18" i="78"/>
  <c r="C15" i="78"/>
  <c r="B18" i="78"/>
  <c r="G5" i="3"/>
  <c r="B3" i="3" s="1"/>
  <c r="S22" i="35"/>
  <c r="W19" i="39"/>
  <c r="U31" i="39"/>
  <c r="W8" i="39"/>
  <c r="W23" i="39"/>
  <c r="F15" i="37"/>
  <c r="U12" i="21"/>
  <c r="AA12" i="35"/>
  <c r="H19" i="37"/>
  <c r="F37" i="37"/>
  <c r="H23" i="37"/>
  <c r="H24" i="35"/>
  <c r="F24" i="35"/>
  <c r="J41" i="34"/>
  <c r="H41" i="34"/>
  <c r="F41" i="34"/>
  <c r="H27" i="34"/>
  <c r="H28" i="34"/>
  <c r="H17" i="37"/>
  <c r="AA12" i="21"/>
  <c r="J27" i="37"/>
  <c r="F14" i="40"/>
  <c r="J14" i="40"/>
  <c r="F27" i="37"/>
  <c r="H33" i="40"/>
  <c r="F33" i="40"/>
  <c r="H12" i="40"/>
  <c r="F12" i="40"/>
  <c r="H43" i="39"/>
  <c r="F43" i="39"/>
  <c r="F38" i="37"/>
  <c r="J38" i="37"/>
  <c r="H25" i="36"/>
  <c r="F25" i="36"/>
  <c r="H35" i="35"/>
  <c r="F35" i="35"/>
  <c r="J47" i="34"/>
  <c r="F47" i="34"/>
  <c r="F45" i="34"/>
  <c r="J45" i="34"/>
  <c r="F31" i="34"/>
  <c r="H31" i="34"/>
  <c r="H29" i="34"/>
  <c r="F30" i="33"/>
  <c r="H30" i="33"/>
  <c r="E89" i="37"/>
  <c r="F89" i="37" s="1"/>
  <c r="G89" i="37" s="1"/>
  <c r="H89" i="37" s="1"/>
  <c r="I89" i="37" s="1"/>
  <c r="J89" i="37" s="1"/>
  <c r="K89" i="37" s="1"/>
  <c r="L89" i="37" s="1"/>
  <c r="M89" i="37" s="1"/>
  <c r="J11" i="35"/>
  <c r="F29" i="33"/>
  <c r="H29" i="33"/>
  <c r="F13" i="33"/>
  <c r="AA38" i="34"/>
  <c r="F17" i="34"/>
  <c r="J19" i="34"/>
  <c r="F23" i="34"/>
  <c r="AB30" i="36"/>
  <c r="J28" i="34"/>
  <c r="J15" i="34"/>
  <c r="J23" i="34"/>
  <c r="H23" i="34"/>
  <c r="F33" i="36"/>
  <c r="J34" i="36"/>
  <c r="F37" i="39"/>
  <c r="AC12" i="34"/>
  <c r="AB8" i="39"/>
  <c r="S40" i="39"/>
  <c r="S38" i="39"/>
  <c r="U34" i="40"/>
  <c r="S40" i="40"/>
  <c r="U9" i="40"/>
  <c r="AA9" i="40"/>
  <c r="W8" i="40"/>
  <c r="S40" i="33"/>
  <c r="S31" i="35"/>
  <c r="J33" i="36"/>
  <c r="U9" i="39"/>
  <c r="J36" i="39"/>
  <c r="H36" i="39"/>
  <c r="J44" i="39"/>
  <c r="J45" i="39"/>
  <c r="F45" i="39"/>
  <c r="F9" i="36"/>
  <c r="J9" i="36"/>
  <c r="F23" i="36"/>
  <c r="H23" i="36"/>
  <c r="F25" i="37"/>
  <c r="J25" i="37"/>
  <c r="C40" i="69"/>
  <c r="C47" i="69" s="1"/>
  <c r="D45" i="69" s="1"/>
  <c r="U18" i="35"/>
  <c r="AB21" i="33"/>
  <c r="S21" i="37"/>
  <c r="W18" i="36"/>
  <c r="U29" i="39"/>
  <c r="W25" i="40"/>
  <c r="S18" i="36"/>
  <c r="C25" i="40"/>
  <c r="P65" i="71"/>
  <c r="D39" i="71"/>
  <c r="D87" i="71"/>
  <c r="AA28" i="71"/>
  <c r="AB28" i="71"/>
  <c r="C83" i="71"/>
  <c r="D34" i="71"/>
  <c r="Y37" i="71"/>
  <c r="Z37" i="71" s="1"/>
  <c r="X36" i="71"/>
  <c r="X35" i="71"/>
  <c r="X30" i="71"/>
  <c r="X29" i="71"/>
  <c r="AB30" i="71"/>
  <c r="AB31" i="71"/>
  <c r="Y32" i="71"/>
  <c r="Z32" i="71" s="1"/>
  <c r="AB32" i="71"/>
  <c r="Y35" i="71"/>
  <c r="Z35" i="71" s="1"/>
  <c r="Y36" i="71"/>
  <c r="Z36" i="71" s="1"/>
  <c r="E23" i="71"/>
  <c r="E22" i="71" s="1"/>
  <c r="E21" i="71" s="1"/>
  <c r="E20" i="71" s="1"/>
  <c r="V24" i="71"/>
  <c r="Q32" i="43"/>
  <c r="O32" i="43"/>
  <c r="M32" i="43"/>
  <c r="D7" i="77"/>
  <c r="C26" i="77" s="1"/>
  <c r="C32" i="77" s="1"/>
  <c r="C38" i="77" s="1"/>
  <c r="C39" i="77" s="1"/>
  <c r="D11" i="77"/>
  <c r="E11" i="77" s="1"/>
  <c r="E7" i="77" s="1"/>
  <c r="C27" i="77" s="1"/>
  <c r="B15" i="78"/>
  <c r="H97" i="43"/>
  <c r="H94" i="43"/>
  <c r="H93" i="43"/>
  <c r="H99" i="43"/>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R8" i="79"/>
  <c r="S10" i="79"/>
  <c r="AA3" i="79"/>
  <c r="AD3" i="79" s="1"/>
  <c r="L3" i="79"/>
  <c r="O3" i="79"/>
  <c r="T3" i="79"/>
  <c r="W3" i="79" s="1"/>
  <c r="M23" i="79"/>
  <c r="P23" i="79" s="1"/>
  <c r="C6" i="78"/>
  <c r="D6" i="78" s="1"/>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8" i="3"/>
  <c r="AZ318" i="3"/>
  <c r="BA317" i="3"/>
  <c r="AZ317" i="3" s="1"/>
  <c r="BL310" i="3"/>
  <c r="AZ310" i="3" s="1"/>
  <c r="BA309" i="3"/>
  <c r="AZ309" i="3" s="1"/>
  <c r="BL302" i="3"/>
  <c r="AZ302" i="3"/>
  <c r="BA301" i="3"/>
  <c r="AZ301" i="3" s="1"/>
  <c r="BL294" i="3"/>
  <c r="AZ294" i="3" s="1"/>
  <c r="BA293" i="3"/>
  <c r="AZ293" i="3" s="1"/>
  <c r="BL286" i="3"/>
  <c r="AZ286" i="3"/>
  <c r="BA285" i="3"/>
  <c r="AZ285" i="3" s="1"/>
  <c r="BL278" i="3"/>
  <c r="AZ278" i="3" s="1"/>
  <c r="BA277" i="3"/>
  <c r="AZ277" i="3" s="1"/>
  <c r="BL270" i="3"/>
  <c r="AZ270" i="3"/>
  <c r="BA269" i="3"/>
  <c r="AZ269" i="3" s="1"/>
  <c r="BL262" i="3"/>
  <c r="AZ262" i="3" s="1"/>
  <c r="BA261" i="3"/>
  <c r="AZ261" i="3" s="1"/>
  <c r="BL254" i="3"/>
  <c r="AZ254" i="3"/>
  <c r="BA253" i="3"/>
  <c r="AZ253" i="3" s="1"/>
  <c r="BL246" i="3"/>
  <c r="AZ246" i="3" s="1"/>
  <c r="BA245" i="3"/>
  <c r="AZ245" i="3" s="1"/>
  <c r="BL238" i="3"/>
  <c r="AZ238" i="3"/>
  <c r="BA237" i="3"/>
  <c r="AZ237" i="3" s="1"/>
  <c r="BL230" i="3"/>
  <c r="AZ230" i="3" s="1"/>
  <c r="BA229" i="3"/>
  <c r="AZ229" i="3" s="1"/>
  <c r="BL222" i="3"/>
  <c r="AZ222" i="3"/>
  <c r="BA221" i="3"/>
  <c r="AZ221" i="3" s="1"/>
  <c r="BL214" i="3"/>
  <c r="AZ214" i="3" s="1"/>
  <c r="BA213" i="3"/>
  <c r="AZ213" i="3" s="1"/>
  <c r="BL206" i="3"/>
  <c r="AZ206" i="3"/>
  <c r="BA205" i="3"/>
  <c r="AZ205" i="3" s="1"/>
  <c r="BL198" i="3"/>
  <c r="AZ198" i="3" s="1"/>
  <c r="BA197" i="3"/>
  <c r="AZ197" i="3" s="1"/>
  <c r="BL190" i="3"/>
  <c r="AZ190" i="3"/>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L314" i="3"/>
  <c r="AZ314" i="3" s="1"/>
  <c r="BA313" i="3"/>
  <c r="AZ313" i="3" s="1"/>
  <c r="BL306" i="3"/>
  <c r="AZ306" i="3"/>
  <c r="BA305" i="3"/>
  <c r="AZ305" i="3" s="1"/>
  <c r="BL298" i="3"/>
  <c r="AZ298" i="3" s="1"/>
  <c r="BA297" i="3"/>
  <c r="AZ297" i="3" s="1"/>
  <c r="BL290" i="3"/>
  <c r="AZ290" i="3"/>
  <c r="BA289" i="3"/>
  <c r="AZ289" i="3" s="1"/>
  <c r="BL282" i="3"/>
  <c r="AZ282" i="3" s="1"/>
  <c r="BA281" i="3"/>
  <c r="AZ281" i="3" s="1"/>
  <c r="BL274" i="3"/>
  <c r="AZ274" i="3"/>
  <c r="BA273" i="3"/>
  <c r="AZ273" i="3" s="1"/>
  <c r="BL266" i="3"/>
  <c r="AZ266" i="3"/>
  <c r="BA265" i="3"/>
  <c r="AZ265" i="3" s="1"/>
  <c r="BL258" i="3"/>
  <c r="AZ258" i="3"/>
  <c r="BA257" i="3"/>
  <c r="AZ257" i="3" s="1"/>
  <c r="BL250" i="3"/>
  <c r="AZ250" i="3"/>
  <c r="BA249" i="3"/>
  <c r="AZ249" i="3" s="1"/>
  <c r="BL242" i="3"/>
  <c r="AZ242" i="3"/>
  <c r="BA241" i="3"/>
  <c r="AZ241" i="3" s="1"/>
  <c r="BL234" i="3"/>
  <c r="AZ234" i="3" s="1"/>
  <c r="BA233" i="3"/>
  <c r="AZ233" i="3" s="1"/>
  <c r="BL226" i="3"/>
  <c r="AZ226" i="3"/>
  <c r="BA225" i="3"/>
  <c r="AZ225" i="3" s="1"/>
  <c r="BL218" i="3"/>
  <c r="AZ218" i="3" s="1"/>
  <c r="BA217" i="3"/>
  <c r="AZ217" i="3" s="1"/>
  <c r="BL210" i="3"/>
  <c r="AZ210" i="3"/>
  <c r="BA209" i="3"/>
  <c r="AZ209" i="3" s="1"/>
  <c r="BL202" i="3"/>
  <c r="AZ202" i="3"/>
  <c r="BA201" i="3"/>
  <c r="AZ201" i="3" s="1"/>
  <c r="BL194" i="3"/>
  <c r="AZ194" i="3"/>
  <c r="BA193" i="3"/>
  <c r="AZ193"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L152" i="3"/>
  <c r="AZ152" i="3" s="1"/>
  <c r="BA151" i="3"/>
  <c r="AZ151" i="3" s="1"/>
  <c r="BL144" i="3"/>
  <c r="AZ144" i="3"/>
  <c r="BA143" i="3"/>
  <c r="AZ143" i="3" s="1"/>
  <c r="BL136" i="3"/>
  <c r="AZ136" i="3" s="1"/>
  <c r="BA135" i="3"/>
  <c r="AZ135" i="3" s="1"/>
  <c r="BL128" i="3"/>
  <c r="AZ128" i="3"/>
  <c r="BA127" i="3"/>
  <c r="AZ127" i="3" s="1"/>
  <c r="BL120" i="3"/>
  <c r="AZ120" i="3" s="1"/>
  <c r="BA119" i="3"/>
  <c r="AZ119" i="3" s="1"/>
  <c r="BL112" i="3"/>
  <c r="AZ112" i="3"/>
  <c r="BA111" i="3"/>
  <c r="AZ111" i="3" s="1"/>
  <c r="BL104" i="3"/>
  <c r="AZ104" i="3" s="1"/>
  <c r="BA103" i="3"/>
  <c r="AZ103" i="3" s="1"/>
  <c r="BL96" i="3"/>
  <c r="AZ96" i="3"/>
  <c r="BA95" i="3"/>
  <c r="AZ95" i="3" s="1"/>
  <c r="BL88" i="3"/>
  <c r="AZ88" i="3" s="1"/>
  <c r="BA87" i="3"/>
  <c r="AZ87" i="3" s="1"/>
  <c r="BL80" i="3"/>
  <c r="AZ80" i="3"/>
  <c r="BA79" i="3"/>
  <c r="AZ79" i="3" s="1"/>
  <c r="BL72" i="3"/>
  <c r="AZ72" i="3" s="1"/>
  <c r="BA71" i="3"/>
  <c r="AZ71" i="3" s="1"/>
  <c r="BL61" i="3"/>
  <c r="AZ61" i="3"/>
  <c r="BA60" i="3"/>
  <c r="AZ60" i="3" s="1"/>
  <c r="BL45" i="3"/>
  <c r="AZ45" i="3" s="1"/>
  <c r="BA44" i="3"/>
  <c r="AZ44" i="3" s="1"/>
  <c r="BL29" i="3"/>
  <c r="AZ29" i="3"/>
  <c r="BA28" i="3"/>
  <c r="AZ28" i="3" s="1"/>
  <c r="BL13" i="3"/>
  <c r="AZ13"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48" i="3"/>
  <c r="AZ148" i="3" s="1"/>
  <c r="BA147" i="3"/>
  <c r="AZ147" i="3" s="1"/>
  <c r="BL140" i="3"/>
  <c r="AZ140" i="3"/>
  <c r="BA139" i="3"/>
  <c r="AZ139" i="3" s="1"/>
  <c r="BL132" i="3"/>
  <c r="AZ132" i="3"/>
  <c r="BA131" i="3"/>
  <c r="AZ131" i="3" s="1"/>
  <c r="BL124" i="3"/>
  <c r="AZ124" i="3"/>
  <c r="BA123" i="3"/>
  <c r="AZ123" i="3" s="1"/>
  <c r="BL116" i="3"/>
  <c r="AZ116" i="3"/>
  <c r="BA115" i="3"/>
  <c r="AZ115" i="3" s="1"/>
  <c r="BL108" i="3"/>
  <c r="AZ108" i="3"/>
  <c r="BA107" i="3"/>
  <c r="AZ107" i="3" s="1"/>
  <c r="BL100" i="3"/>
  <c r="AZ100" i="3" s="1"/>
  <c r="BA99" i="3"/>
  <c r="AZ99" i="3" s="1"/>
  <c r="BL92" i="3"/>
  <c r="AZ92" i="3"/>
  <c r="BA91" i="3"/>
  <c r="AZ91" i="3" s="1"/>
  <c r="BL84" i="3"/>
  <c r="AZ84" i="3" s="1"/>
  <c r="BA83" i="3"/>
  <c r="AZ83" i="3" s="1"/>
  <c r="BL76" i="3"/>
  <c r="AZ76" i="3"/>
  <c r="BA75" i="3"/>
  <c r="AZ75" i="3" s="1"/>
  <c r="BL68" i="3"/>
  <c r="BA68" i="3"/>
  <c r="AZ68" i="3" s="1"/>
  <c r="BL53" i="3"/>
  <c r="AZ53" i="3"/>
  <c r="BA52" i="3"/>
  <c r="AZ52" i="3" s="1"/>
  <c r="BL37" i="3"/>
  <c r="AZ37" i="3"/>
  <c r="BA36" i="3"/>
  <c r="AZ36" i="3" s="1"/>
  <c r="BL21" i="3"/>
  <c r="AZ21" i="3" s="1"/>
  <c r="BA20" i="3"/>
  <c r="AZ20"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5" i="3"/>
  <c r="AZ65" i="3" s="1"/>
  <c r="BA64" i="3"/>
  <c r="AZ64" i="3" s="1"/>
  <c r="BL57" i="3"/>
  <c r="AZ57" i="3"/>
  <c r="BA56" i="3"/>
  <c r="AZ56" i="3" s="1"/>
  <c r="BL49" i="3"/>
  <c r="AZ49" i="3" s="1"/>
  <c r="BA48" i="3"/>
  <c r="AZ48" i="3" s="1"/>
  <c r="BL41" i="3"/>
  <c r="AZ41" i="3"/>
  <c r="BA40" i="3"/>
  <c r="AZ40" i="3" s="1"/>
  <c r="BL33" i="3"/>
  <c r="AZ33" i="3"/>
  <c r="BA32" i="3"/>
  <c r="AZ32" i="3" s="1"/>
  <c r="BL25" i="3"/>
  <c r="AZ25" i="3"/>
  <c r="BA24" i="3"/>
  <c r="AZ24" i="3" s="1"/>
  <c r="BL17" i="3"/>
  <c r="AZ17" i="3"/>
  <c r="BA16" i="3"/>
  <c r="AZ16"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C12" i="12"/>
  <c r="C29" i="68"/>
  <c r="D27" i="68" s="1"/>
  <c r="C47" i="68"/>
  <c r="D45" i="68" s="1"/>
  <c r="C35" i="69"/>
  <c r="F7" i="49"/>
  <c r="H7" i="49" s="1"/>
  <c r="B6" i="49"/>
  <c r="D6" i="49" s="1"/>
  <c r="F11" i="49"/>
  <c r="H11" i="49" s="1"/>
  <c r="B14" i="49"/>
  <c r="D14" i="49" s="1"/>
  <c r="B9" i="49"/>
  <c r="D9" i="49" s="1"/>
  <c r="F13" i="49"/>
  <c r="H13" i="49" s="1"/>
  <c r="F9" i="49"/>
  <c r="H9" i="49" s="1"/>
  <c r="F5" i="49"/>
  <c r="H5" i="49" s="1"/>
  <c r="B10" i="49"/>
  <c r="B13" i="49"/>
  <c r="D13" i="49" s="1"/>
  <c r="B5" i="49"/>
  <c r="D5" i="49" s="1"/>
  <c r="F14" i="49"/>
  <c r="H14" i="49" s="1"/>
  <c r="F12" i="49"/>
  <c r="H12" i="49" s="1"/>
  <c r="F10" i="49"/>
  <c r="H10" i="49" s="1"/>
  <c r="F8" i="49"/>
  <c r="H8" i="49" s="1"/>
  <c r="F6" i="49"/>
  <c r="H6" i="49" s="1"/>
  <c r="F4" i="49"/>
  <c r="H4" i="49" s="1"/>
  <c r="B12" i="49"/>
  <c r="D12" i="49" s="1"/>
  <c r="B8" i="49"/>
  <c r="D8" i="49" s="1"/>
  <c r="B4" i="49"/>
  <c r="D4" i="49" s="1"/>
  <c r="B11" i="49"/>
  <c r="B7" i="49"/>
  <c r="D7" i="49" s="1"/>
  <c r="C23" i="43"/>
  <c r="C29" i="69"/>
  <c r="D27" i="69" s="1"/>
  <c r="B9" i="70"/>
  <c r="B10" i="70"/>
  <c r="C18" i="15"/>
  <c r="C15" i="15"/>
  <c r="B8" i="70"/>
  <c r="B12" i="70"/>
  <c r="B7" i="70"/>
  <c r="B11" i="70"/>
  <c r="J20" i="15"/>
  <c r="F63" i="15"/>
  <c r="C62" i="15" s="1"/>
  <c r="C34" i="15"/>
  <c r="L56" i="67"/>
  <c r="J53" i="67"/>
  <c r="J57" i="67"/>
  <c r="J55" i="67" s="1"/>
  <c r="J58" i="67" s="1"/>
  <c r="Q50" i="67" s="1"/>
  <c r="I54" i="67"/>
  <c r="L57" i="67"/>
  <c r="L60" i="67"/>
  <c r="C27" i="15"/>
  <c r="C6" i="15"/>
  <c r="F69" i="15"/>
  <c r="F64" i="15"/>
  <c r="F66" i="15"/>
  <c r="F51" i="15"/>
  <c r="N59" i="67"/>
  <c r="L59" i="67"/>
  <c r="M59" i="67"/>
  <c r="L58" i="67"/>
  <c r="M59" i="15"/>
  <c r="N59" i="15"/>
  <c r="L58" i="15"/>
  <c r="L59" i="15"/>
  <c r="Q71" i="15"/>
  <c r="L56" i="15"/>
  <c r="J57" i="15"/>
  <c r="J55" i="15" s="1"/>
  <c r="J58" i="15" s="1"/>
  <c r="Q50" i="15" s="1"/>
  <c r="I54" i="15"/>
  <c r="J53" i="15"/>
  <c r="L60" i="15"/>
  <c r="L57" i="15"/>
  <c r="B20" i="31"/>
  <c r="B21" i="31" s="1"/>
  <c r="F68" i="67"/>
  <c r="F65" i="15"/>
  <c r="F66" i="67"/>
  <c r="F65" i="67"/>
  <c r="B40" i="1"/>
  <c r="F51" i="67"/>
  <c r="F71" i="15"/>
  <c r="B13" i="70"/>
  <c r="F68" i="15"/>
  <c r="Q71" i="67"/>
  <c r="M7" i="15"/>
  <c r="J6" i="15" s="1"/>
  <c r="F50" i="15"/>
  <c r="F64" i="67"/>
  <c r="C27" i="67"/>
  <c r="F71" i="67"/>
  <c r="I1" i="73"/>
  <c r="B39" i="1" s="1"/>
  <c r="F50" i="67"/>
  <c r="M7" i="67"/>
  <c r="J6" i="67" s="1"/>
  <c r="C6" i="67"/>
  <c r="C38" i="68"/>
  <c r="C16" i="67"/>
  <c r="C17" i="15"/>
  <c r="C16" i="15"/>
  <c r="C82" i="71" l="1"/>
  <c r="D82" i="71" s="1"/>
  <c r="D83" i="71"/>
  <c r="S25" i="37"/>
  <c r="AA25" i="37"/>
  <c r="S23" i="36"/>
  <c r="AA23" i="36"/>
  <c r="S9" i="36"/>
  <c r="AA9" i="36"/>
  <c r="W45" i="39"/>
  <c r="AC45" i="39"/>
  <c r="AB36" i="39"/>
  <c r="U36" i="39"/>
  <c r="W34" i="36"/>
  <c r="AC34" i="36"/>
  <c r="AB23" i="34"/>
  <c r="U23" i="34"/>
  <c r="AC15" i="34"/>
  <c r="W15" i="34"/>
  <c r="W19" i="34"/>
  <c r="AC19" i="34"/>
  <c r="AB29" i="33"/>
  <c r="U29" i="33"/>
  <c r="AC11" i="35"/>
  <c r="W11" i="35"/>
  <c r="U30" i="33"/>
  <c r="AB30" i="33"/>
  <c r="U29" i="34"/>
  <c r="AB29" i="34"/>
  <c r="S31" i="34"/>
  <c r="AA31" i="34"/>
  <c r="S45" i="34"/>
  <c r="AA45" i="34"/>
  <c r="W47" i="34"/>
  <c r="AC47" i="34"/>
  <c r="U35" i="35"/>
  <c r="AB35" i="35"/>
  <c r="U25" i="36"/>
  <c r="AB25" i="36"/>
  <c r="AA38" i="37"/>
  <c r="S38" i="37"/>
  <c r="U43" i="39"/>
  <c r="AB43" i="39"/>
  <c r="AB12" i="40"/>
  <c r="U12" i="40"/>
  <c r="U33" i="40"/>
  <c r="AB33" i="40"/>
  <c r="AC14" i="40"/>
  <c r="W14" i="40"/>
  <c r="AC27" i="37"/>
  <c r="W27" i="37"/>
  <c r="AB17" i="37"/>
  <c r="U17" i="37"/>
  <c r="AB27" i="34"/>
  <c r="U27" i="34"/>
  <c r="AB41" i="34"/>
  <c r="U41" i="34"/>
  <c r="S24" i="35"/>
  <c r="AA24" i="35"/>
  <c r="AB23" i="37"/>
  <c r="U23" i="37"/>
  <c r="AB19" i="37"/>
  <c r="U19" i="37"/>
  <c r="D29" i="77"/>
  <c r="D26" i="77"/>
  <c r="D38" i="77"/>
  <c r="D39" i="77" s="1"/>
  <c r="D32" i="77"/>
  <c r="E23" i="77"/>
  <c r="D64" i="71"/>
  <c r="T64" i="71"/>
  <c r="T56" i="71"/>
  <c r="D56" i="71"/>
  <c r="M54" i="43"/>
  <c r="N54" i="43" s="1"/>
  <c r="K54" i="43"/>
  <c r="J54" i="43" s="1"/>
  <c r="D31" i="71"/>
  <c r="C32" i="71"/>
  <c r="J64" i="43"/>
  <c r="D64" i="43"/>
  <c r="D80" i="43"/>
  <c r="J80" i="43"/>
  <c r="AA7" i="36"/>
  <c r="R36" i="36" s="1"/>
  <c r="S7" i="36"/>
  <c r="G67" i="39"/>
  <c r="F69" i="39"/>
  <c r="AA7" i="35"/>
  <c r="R38" i="35" s="1"/>
  <c r="S7" i="35"/>
  <c r="J69" i="43"/>
  <c r="D69" i="43"/>
  <c r="AC7" i="37"/>
  <c r="W7" i="37"/>
  <c r="U7" i="37"/>
  <c r="AB7" i="37"/>
  <c r="AC7" i="33"/>
  <c r="W7" i="33"/>
  <c r="U7" i="33"/>
  <c r="AB7" i="33"/>
  <c r="D116" i="43"/>
  <c r="U7" i="35"/>
  <c r="AB7" i="35"/>
  <c r="T38" i="35" s="1"/>
  <c r="G38" i="35" s="1"/>
  <c r="C38" i="11"/>
  <c r="C35" i="11"/>
  <c r="AA7" i="21"/>
  <c r="R48" i="21" s="1"/>
  <c r="S7" i="21"/>
  <c r="AC7" i="21"/>
  <c r="V48" i="21" s="1"/>
  <c r="I48" i="21" s="1"/>
  <c r="W7" i="21"/>
  <c r="S7" i="34"/>
  <c r="AA7" i="34"/>
  <c r="AB7" i="34"/>
  <c r="U7" i="34"/>
  <c r="I63" i="40"/>
  <c r="H65" i="40"/>
  <c r="AZ14" i="3"/>
  <c r="AZ5" i="3" s="1"/>
  <c r="BA5" i="3"/>
  <c r="E27" i="6" s="1"/>
  <c r="BL5" i="3"/>
  <c r="E19" i="71"/>
  <c r="E18" i="71" s="1"/>
  <c r="E17" i="71" s="1"/>
  <c r="E16" i="71" s="1"/>
  <c r="V20" i="71"/>
  <c r="W25" i="37"/>
  <c r="AC25" i="37"/>
  <c r="AB23" i="36"/>
  <c r="U23" i="36"/>
  <c r="AC9" i="36"/>
  <c r="W9" i="36"/>
  <c r="AA45" i="39"/>
  <c r="S45" i="39"/>
  <c r="W44" i="39"/>
  <c r="AC44" i="39"/>
  <c r="AC36" i="39"/>
  <c r="W36" i="39"/>
  <c r="AC33" i="36"/>
  <c r="W33" i="36"/>
  <c r="S37" i="39"/>
  <c r="AA37" i="39"/>
  <c r="AA33" i="36"/>
  <c r="S33" i="36"/>
  <c r="AC23" i="34"/>
  <c r="W23" i="34"/>
  <c r="AC28" i="34"/>
  <c r="W28" i="34"/>
  <c r="S23" i="34"/>
  <c r="AA23" i="34"/>
  <c r="S17" i="34"/>
  <c r="AA17" i="34"/>
  <c r="AA13" i="33"/>
  <c r="S13" i="33"/>
  <c r="S29" i="33"/>
  <c r="AA29" i="33"/>
  <c r="S30" i="33"/>
  <c r="AA30" i="33"/>
  <c r="AB31" i="34"/>
  <c r="U31" i="34"/>
  <c r="AC45" i="34"/>
  <c r="W45" i="34"/>
  <c r="AA47" i="34"/>
  <c r="S47" i="34"/>
  <c r="S35" i="35"/>
  <c r="AA35" i="35"/>
  <c r="AA25" i="36"/>
  <c r="S25" i="36"/>
  <c r="AC38" i="37"/>
  <c r="W38" i="37"/>
  <c r="AA43" i="39"/>
  <c r="S43" i="39"/>
  <c r="AA12" i="40"/>
  <c r="S12" i="40"/>
  <c r="S33" i="40"/>
  <c r="AA33" i="40"/>
  <c r="S27" i="37"/>
  <c r="AA27" i="37"/>
  <c r="S14" i="40"/>
  <c r="AA14" i="40"/>
  <c r="AB28" i="34"/>
  <c r="U28" i="34"/>
  <c r="S41" i="34"/>
  <c r="AA41" i="34"/>
  <c r="AC41" i="34"/>
  <c r="W41" i="34"/>
  <c r="AB24" i="35"/>
  <c r="U24" i="35"/>
  <c r="S37" i="37"/>
  <c r="AA37" i="37"/>
  <c r="AA15" i="37"/>
  <c r="S15" i="37"/>
  <c r="E77" i="3"/>
  <c r="E122" i="3"/>
  <c r="E461" i="3"/>
  <c r="E136" i="3"/>
  <c r="E352" i="3"/>
  <c r="E306" i="3"/>
  <c r="E157"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20" i="3"/>
  <c r="E262" i="3"/>
  <c r="E128" i="3"/>
  <c r="E434" i="3"/>
  <c r="E238" i="3"/>
  <c r="E156" i="3"/>
  <c r="E253" i="3"/>
  <c r="E85" i="3"/>
  <c r="E511"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28" i="3"/>
  <c r="E545" i="3"/>
  <c r="E568"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E453" i="3"/>
  <c r="E314" i="3"/>
  <c r="E99"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AK6" i="3"/>
  <c r="E181" i="3"/>
  <c r="E493" i="3"/>
  <c r="E469" i="3"/>
  <c r="E440" i="3"/>
  <c r="E376" i="3"/>
  <c r="J6" i="3"/>
  <c r="E419" i="3"/>
  <c r="E401" i="3"/>
  <c r="E40" i="3"/>
  <c r="E108" i="3"/>
  <c r="E119" i="3"/>
  <c r="E281" i="3"/>
  <c r="E346" i="3"/>
  <c r="AL6" i="3"/>
  <c r="E94" i="3"/>
  <c r="E428" i="3"/>
  <c r="E412" i="3"/>
  <c r="E96" i="3"/>
  <c r="E129" i="3"/>
  <c r="E174" i="3"/>
  <c r="E219" i="3"/>
  <c r="E339" i="3"/>
  <c r="E392" i="3"/>
  <c r="E35" i="3"/>
  <c r="E34" i="3"/>
  <c r="E206" i="3"/>
  <c r="E251" i="3"/>
  <c r="AF6" i="3"/>
  <c r="E80" i="3"/>
  <c r="E158" i="3"/>
  <c r="E308"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534" i="3"/>
  <c r="T6" i="3"/>
  <c r="E405" i="3"/>
  <c r="E486" i="3"/>
  <c r="E512" i="3"/>
  <c r="E451" i="3"/>
  <c r="E556" i="3"/>
  <c r="E13" i="3"/>
  <c r="E452" i="3"/>
  <c r="E420" i="3"/>
  <c r="E104" i="3"/>
  <c r="E115" i="3"/>
  <c r="E139" i="3"/>
  <c r="E242" i="3"/>
  <c r="E243" i="3"/>
  <c r="E391" i="3"/>
  <c r="E372" i="3"/>
  <c r="E60" i="3"/>
  <c r="E540" i="3"/>
  <c r="E15" i="3"/>
  <c r="E79" i="3"/>
  <c r="E100" i="3"/>
  <c r="E137" i="3"/>
  <c r="E234" i="3"/>
  <c r="E235" i="3"/>
  <c r="E383" i="3"/>
  <c r="E522" i="3"/>
  <c r="E36" i="3"/>
  <c r="E123" i="3"/>
  <c r="E289" i="3"/>
  <c r="E364" i="3"/>
  <c r="E20" i="3"/>
  <c r="E176" i="3"/>
  <c r="E265" i="3"/>
  <c r="E326" i="3"/>
  <c r="E521" i="3"/>
  <c r="M50" i="43"/>
  <c r="N50" i="43" s="1"/>
  <c r="K50" i="43"/>
  <c r="T36" i="71"/>
  <c r="D36" i="71"/>
  <c r="J67" i="43"/>
  <c r="D67" i="43"/>
  <c r="D19" i="71"/>
  <c r="C18" i="71"/>
  <c r="D79" i="43"/>
  <c r="J79" i="43"/>
  <c r="AB7" i="36"/>
  <c r="T36" i="36" s="1"/>
  <c r="G36" i="36" s="1"/>
  <c r="U7" i="36"/>
  <c r="S7" i="37"/>
  <c r="AA7" i="37"/>
  <c r="AA7" i="33"/>
  <c r="S7" i="33"/>
  <c r="W7" i="35"/>
  <c r="AC7" i="35"/>
  <c r="V38" i="35" s="1"/>
  <c r="I38" i="35" s="1"/>
  <c r="C33" i="37"/>
  <c r="C36" i="33"/>
  <c r="F50" i="11"/>
  <c r="C37" i="34"/>
  <c r="F50" i="69"/>
  <c r="F50" i="68"/>
  <c r="AB7" i="21"/>
  <c r="T48" i="21" s="1"/>
  <c r="G48" i="21" s="1"/>
  <c r="U7" i="21"/>
  <c r="W7" i="34"/>
  <c r="AC7" i="34"/>
  <c r="I40" i="36"/>
  <c r="J40" i="36" s="1"/>
  <c r="D10" i="49"/>
  <c r="C4" i="4"/>
  <c r="B4" i="62" s="1"/>
  <c r="B71" i="72" s="1"/>
  <c r="D11" i="49"/>
  <c r="E4" i="4"/>
  <c r="T15" i="43"/>
  <c r="V15" i="43" s="1"/>
  <c r="C38" i="43"/>
  <c r="C37" i="43"/>
  <c r="T6" i="43"/>
  <c r="V6" i="43" s="1"/>
  <c r="T3" i="43"/>
  <c r="V3" i="43" s="1"/>
  <c r="T8" i="43"/>
  <c r="V8" i="43" s="1"/>
  <c r="T12" i="43"/>
  <c r="V12" i="43" s="1"/>
  <c r="T16" i="43"/>
  <c r="V16" i="43" s="1"/>
  <c r="T9" i="43"/>
  <c r="V9" i="43" s="1"/>
  <c r="T13" i="43"/>
  <c r="V13" i="43" s="1"/>
  <c r="C42" i="43"/>
  <c r="C41" i="43"/>
  <c r="C40" i="43"/>
  <c r="C39" i="43"/>
  <c r="C33" i="43"/>
  <c r="T5" i="43"/>
  <c r="V5" i="43" s="1"/>
  <c r="T2" i="43"/>
  <c r="V2" i="43" s="1"/>
  <c r="T4" i="43"/>
  <c r="V4" i="43" s="1"/>
  <c r="T10" i="43"/>
  <c r="V10" i="43" s="1"/>
  <c r="T14" i="43"/>
  <c r="V14" i="43" s="1"/>
  <c r="T7" i="43"/>
  <c r="V7" i="43" s="1"/>
  <c r="T11" i="43"/>
  <c r="V11" i="43" s="1"/>
  <c r="C49" i="15"/>
  <c r="C61" i="15" s="1"/>
  <c r="C19" i="15"/>
  <c r="J18" i="15"/>
  <c r="J19" i="15"/>
  <c r="J18" i="67"/>
  <c r="J19" i="67"/>
  <c r="F11" i="67"/>
  <c r="C53" i="67" s="1"/>
  <c r="M11" i="15"/>
  <c r="J10" i="15" s="1"/>
  <c r="J5" i="15" s="1"/>
  <c r="M11" i="67"/>
  <c r="J10" i="67" s="1"/>
  <c r="J5" i="67" s="1"/>
  <c r="F11" i="15"/>
  <c r="C53" i="15" s="1"/>
  <c r="F24" i="67"/>
  <c r="C24" i="67" s="1"/>
  <c r="F22" i="69"/>
  <c r="F22" i="11"/>
  <c r="F24" i="15"/>
  <c r="C24" i="15" s="1"/>
  <c r="L36" i="43"/>
  <c r="F25" i="12"/>
  <c r="C26" i="12" s="1"/>
  <c r="D25" i="12" s="1"/>
  <c r="F22" i="68"/>
  <c r="Q57" i="15"/>
  <c r="Q66" i="15"/>
  <c r="F1" i="15"/>
  <c r="Q52" i="15"/>
  <c r="Q74" i="15"/>
  <c r="Q61" i="15"/>
  <c r="Q60" i="67"/>
  <c r="Q73" i="67"/>
  <c r="Q74" i="67"/>
  <c r="Q61" i="67"/>
  <c r="C10" i="15"/>
  <c r="C5" i="15" s="1"/>
  <c r="C32" i="15"/>
  <c r="C33" i="15"/>
  <c r="C32" i="67"/>
  <c r="C33" i="67"/>
  <c r="C49" i="67"/>
  <c r="Q73" i="15"/>
  <c r="Q60" i="15"/>
  <c r="Q57" i="67"/>
  <c r="Q66" i="67"/>
  <c r="Q52" i="67"/>
  <c r="F1" i="67"/>
  <c r="AE6" i="1"/>
  <c r="AY6" i="3" l="1"/>
  <c r="E3" i="6"/>
  <c r="H37" i="34"/>
  <c r="F37" i="34"/>
  <c r="J37" i="34"/>
  <c r="J36" i="33"/>
  <c r="H36" i="33"/>
  <c r="F36" i="33"/>
  <c r="I42" i="35"/>
  <c r="J42" i="35" s="1"/>
  <c r="C17" i="71"/>
  <c r="D18" i="71"/>
  <c r="D50" i="43"/>
  <c r="E50" i="43" s="1"/>
  <c r="B48" i="43" s="1"/>
  <c r="J50" i="43"/>
  <c r="AC6" i="3"/>
  <c r="I52" i="21"/>
  <c r="J52" i="21" s="1"/>
  <c r="R49" i="21"/>
  <c r="E48" i="21"/>
  <c r="G42" i="35"/>
  <c r="H42" i="35" s="1"/>
  <c r="G43" i="35"/>
  <c r="H43" i="35" s="1"/>
  <c r="E38" i="35"/>
  <c r="I43" i="35" s="1"/>
  <c r="J43" i="35" s="1"/>
  <c r="R39" i="35"/>
  <c r="G69" i="39"/>
  <c r="H67" i="39"/>
  <c r="E36" i="36"/>
  <c r="R37" i="36"/>
  <c r="G52" i="21"/>
  <c r="H52" i="21" s="1"/>
  <c r="G53" i="21"/>
  <c r="H53" i="21" s="1"/>
  <c r="H33" i="37"/>
  <c r="F33" i="37"/>
  <c r="J33" i="37"/>
  <c r="G40" i="36"/>
  <c r="H40" i="36" s="1"/>
  <c r="G41" i="36"/>
  <c r="H41" i="36" s="1"/>
  <c r="H6" i="3"/>
  <c r="E6" i="3" s="1"/>
  <c r="E15" i="71"/>
  <c r="E14" i="71" s="1"/>
  <c r="E13" i="71" s="1"/>
  <c r="E12" i="71" s="1"/>
  <c r="V16" i="71"/>
  <c r="K26" i="6"/>
  <c r="M26" i="6" s="1"/>
  <c r="I26" i="6" s="1"/>
  <c r="S26" i="6" s="1"/>
  <c r="K25" i="6"/>
  <c r="M25" i="6" s="1"/>
  <c r="I25" i="6" s="1"/>
  <c r="S25" i="6" s="1"/>
  <c r="K23" i="6"/>
  <c r="M23" i="6" s="1"/>
  <c r="I23" i="6" s="1"/>
  <c r="S23" i="6" s="1"/>
  <c r="E31" i="6"/>
  <c r="K21" i="6"/>
  <c r="M21" i="6" s="1"/>
  <c r="I21" i="6" s="1"/>
  <c r="S21" i="6" s="1"/>
  <c r="K20" i="6"/>
  <c r="M20" i="6" s="1"/>
  <c r="I20" i="6" s="1"/>
  <c r="S20" i="6" s="1"/>
  <c r="K22" i="6"/>
  <c r="M22" i="6" s="1"/>
  <c r="I22" i="6" s="1"/>
  <c r="S22" i="6" s="1"/>
  <c r="K24" i="6"/>
  <c r="M24" i="6" s="1"/>
  <c r="I24" i="6" s="1"/>
  <c r="S24" i="6" s="1"/>
  <c r="K19" i="6"/>
  <c r="J63" i="40"/>
  <c r="I65" i="40"/>
  <c r="T32" i="71"/>
  <c r="D32" i="71"/>
  <c r="E38" i="77"/>
  <c r="E39" i="77" s="1"/>
  <c r="C40" i="77" s="1"/>
  <c r="E29" i="77"/>
  <c r="E26" i="77"/>
  <c r="E32" i="77" s="1"/>
  <c r="B5" i="62"/>
  <c r="B73" i="72" s="1"/>
  <c r="K4" i="4"/>
  <c r="B46" i="48" s="1"/>
  <c r="B4" i="72" s="1"/>
  <c r="G39" i="43"/>
  <c r="I39" i="43" s="1"/>
  <c r="E39" i="43"/>
  <c r="G41" i="43"/>
  <c r="I41" i="43" s="1"/>
  <c r="E41" i="43"/>
  <c r="G38" i="43"/>
  <c r="I38" i="43" s="1"/>
  <c r="E38" i="43"/>
  <c r="J17" i="15"/>
  <c r="C48" i="15"/>
  <c r="C66" i="15" s="1"/>
  <c r="C34" i="43"/>
  <c r="E34" i="43" s="1"/>
  <c r="E33" i="43"/>
  <c r="E40" i="43"/>
  <c r="G40" i="43"/>
  <c r="I40" i="43" s="1"/>
  <c r="G42" i="43"/>
  <c r="I42" i="43" s="1"/>
  <c r="E42" i="43"/>
  <c r="E37" i="43"/>
  <c r="G37" i="43"/>
  <c r="I37" i="43" s="1"/>
  <c r="J24" i="15"/>
  <c r="J26" i="15"/>
  <c r="J29" i="15" s="1"/>
  <c r="J24" i="67"/>
  <c r="J26" i="67"/>
  <c r="C31" i="15"/>
  <c r="F41" i="68"/>
  <c r="C44" i="68"/>
  <c r="D41" i="68" s="1"/>
  <c r="C26" i="68"/>
  <c r="D22" i="68" s="1"/>
  <c r="C24" i="68"/>
  <c r="P36" i="43"/>
  <c r="Q36" i="43"/>
  <c r="M36" i="43"/>
  <c r="L37" i="43"/>
  <c r="N36" i="43"/>
  <c r="O36" i="43"/>
  <c r="C26" i="11"/>
  <c r="D22" i="11" s="1"/>
  <c r="C44" i="11"/>
  <c r="D41" i="11" s="1"/>
  <c r="C23" i="11"/>
  <c r="C48" i="67"/>
  <c r="C61" i="67"/>
  <c r="C10" i="67"/>
  <c r="C5" i="67" s="1"/>
  <c r="C38" i="15"/>
  <c r="F41" i="69"/>
  <c r="C26" i="69"/>
  <c r="D22" i="69" s="1"/>
  <c r="C44" i="69"/>
  <c r="D41" i="69" s="1"/>
  <c r="C24" i="69"/>
  <c r="C20" i="15"/>
  <c r="C23" i="15" s="1"/>
  <c r="F41" i="67"/>
  <c r="F69" i="67" l="1"/>
  <c r="J29" i="67"/>
  <c r="C31" i="43"/>
  <c r="S6" i="1"/>
  <c r="M19" i="6"/>
  <c r="K27" i="6"/>
  <c r="V12" i="71"/>
  <c r="E11" i="71"/>
  <c r="E10" i="71" s="1"/>
  <c r="E9" i="71" s="1"/>
  <c r="E8" i="71" s="1"/>
  <c r="E7" i="71" s="1"/>
  <c r="E6" i="71" s="1"/>
  <c r="E5" i="71" s="1"/>
  <c r="AA33" i="37"/>
  <c r="S33" i="37"/>
  <c r="C37" i="36"/>
  <c r="C36" i="36"/>
  <c r="H69" i="39"/>
  <c r="I67" i="39"/>
  <c r="C39" i="35"/>
  <c r="M3" i="35" s="1"/>
  <c r="C38" i="35"/>
  <c r="E52" i="21"/>
  <c r="F52" i="21" s="1"/>
  <c r="E53" i="21"/>
  <c r="F53" i="21" s="1"/>
  <c r="I53" i="21"/>
  <c r="J53" i="21" s="1"/>
  <c r="D17" i="71"/>
  <c r="C16" i="71"/>
  <c r="S36" i="33"/>
  <c r="AA36" i="33"/>
  <c r="W36" i="33"/>
  <c r="AC36" i="33"/>
  <c r="AA37" i="34"/>
  <c r="S37" i="34"/>
  <c r="C34" i="34"/>
  <c r="C33" i="33"/>
  <c r="D3" i="21"/>
  <c r="B3" i="21" s="1"/>
  <c r="D37" i="11"/>
  <c r="C37" i="11" s="1"/>
  <c r="C33" i="11" s="1"/>
  <c r="D3" i="34"/>
  <c r="D3" i="33"/>
  <c r="E6" i="6"/>
  <c r="D14" i="12"/>
  <c r="D19" i="11"/>
  <c r="C19" i="11" s="1"/>
  <c r="C17" i="4"/>
  <c r="B4" i="52" s="1"/>
  <c r="B43" i="72" s="1"/>
  <c r="D3" i="37"/>
  <c r="C30" i="37"/>
  <c r="C41" i="77"/>
  <c r="B2" i="77"/>
  <c r="B3" i="77" s="1"/>
  <c r="J65" i="40"/>
  <c r="K63" i="40"/>
  <c r="W33" i="37"/>
  <c r="AC33" i="37"/>
  <c r="U33" i="37"/>
  <c r="AB33" i="37"/>
  <c r="E40" i="36"/>
  <c r="F40" i="36" s="1"/>
  <c r="E41" i="36"/>
  <c r="F41" i="36" s="1"/>
  <c r="I41" i="36"/>
  <c r="J41" i="36" s="1"/>
  <c r="E43" i="35"/>
  <c r="F43" i="35" s="1"/>
  <c r="E42" i="35"/>
  <c r="F42" i="35" s="1"/>
  <c r="C49" i="21"/>
  <c r="C48" i="21"/>
  <c r="U36" i="33"/>
  <c r="AB36" i="33"/>
  <c r="W37" i="34"/>
  <c r="AC37" i="34"/>
  <c r="U37" i="34"/>
  <c r="AB37" i="34"/>
  <c r="D3" i="6"/>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C26" i="15"/>
  <c r="C29" i="15" s="1"/>
  <c r="C60" i="15"/>
  <c r="C59" i="15" s="1"/>
  <c r="C30" i="43"/>
  <c r="C66" i="67"/>
  <c r="C60" i="67"/>
  <c r="C38" i="67"/>
  <c r="M37" i="43"/>
  <c r="O37" i="43"/>
  <c r="P37" i="43"/>
  <c r="Q37" i="43"/>
  <c r="N37" i="43"/>
  <c r="C14" i="67"/>
  <c r="C17" i="67"/>
  <c r="E6" i="76"/>
  <c r="C18" i="67" l="1"/>
  <c r="C15" i="67"/>
  <c r="K65" i="40"/>
  <c r="L63" i="40"/>
  <c r="J30" i="37"/>
  <c r="H30" i="37"/>
  <c r="F30" i="37"/>
  <c r="D17" i="12"/>
  <c r="C17" i="12" s="1"/>
  <c r="C14" i="12"/>
  <c r="C16" i="12" s="1"/>
  <c r="F34" i="34"/>
  <c r="J34" i="34"/>
  <c r="H34" i="34"/>
  <c r="I19" i="6"/>
  <c r="M27" i="6"/>
  <c r="D19" i="6"/>
  <c r="H19" i="6"/>
  <c r="D25" i="6"/>
  <c r="D22" i="6"/>
  <c r="D24" i="6"/>
  <c r="D26" i="6"/>
  <c r="R26" i="6" s="1"/>
  <c r="D14" i="6"/>
  <c r="D9" i="6"/>
  <c r="H25" i="6"/>
  <c r="H21" i="6"/>
  <c r="C18" i="4"/>
  <c r="D5" i="6"/>
  <c r="D11" i="6"/>
  <c r="D28" i="6"/>
  <c r="D30" i="6" s="1"/>
  <c r="E61" i="40"/>
  <c r="H20" i="6"/>
  <c r="D15" i="6"/>
  <c r="D21" i="6"/>
  <c r="R21" i="6" s="1"/>
  <c r="D20" i="6"/>
  <c r="D8" i="6"/>
  <c r="D6" i="6"/>
  <c r="D10" i="6"/>
  <c r="D29" i="6"/>
  <c r="H22" i="6"/>
  <c r="H24" i="6"/>
  <c r="D23" i="6"/>
  <c r="D12" i="6"/>
  <c r="D13" i="6"/>
  <c r="H26" i="6"/>
  <c r="H23" i="6"/>
  <c r="C20" i="11"/>
  <c r="C25" i="11" s="1"/>
  <c r="C28" i="11"/>
  <c r="C27" i="11" s="1"/>
  <c r="C24" i="11"/>
  <c r="D10" i="11"/>
  <c r="C10" i="11" s="1"/>
  <c r="D20" i="12"/>
  <c r="C20" i="12" s="1"/>
  <c r="D10" i="69"/>
  <c r="D10" i="68"/>
  <c r="C39" i="11"/>
  <c r="C42" i="11"/>
  <c r="H33" i="33"/>
  <c r="F33" i="33"/>
  <c r="J33" i="33"/>
  <c r="T16" i="71"/>
  <c r="D16" i="71"/>
  <c r="U16" i="71" s="1"/>
  <c r="C15" i="71"/>
  <c r="I69" i="39"/>
  <c r="J67" i="39"/>
  <c r="AR6" i="1"/>
  <c r="S16" i="1"/>
  <c r="E6" i="70"/>
  <c r="E2" i="70" s="1"/>
  <c r="AQ6" i="1"/>
  <c r="T6" i="1"/>
  <c r="T16" i="1" s="1"/>
  <c r="J14" i="15"/>
  <c r="J13" i="15" s="1"/>
  <c r="J23" i="15" s="1"/>
  <c r="C57" i="15"/>
  <c r="C64" i="15" s="1"/>
  <c r="J59" i="15"/>
  <c r="J60" i="15" s="1"/>
  <c r="Q48" i="15" s="1"/>
  <c r="Q49" i="15"/>
  <c r="C36" i="15"/>
  <c r="C13" i="15"/>
  <c r="C56" i="15" s="1"/>
  <c r="C65" i="15" s="1"/>
  <c r="C58" i="15" s="1"/>
  <c r="C67" i="15" s="1"/>
  <c r="C68" i="15" s="1"/>
  <c r="E2" i="76"/>
  <c r="B2" i="43"/>
  <c r="B6" i="76"/>
  <c r="C22" i="11" l="1"/>
  <c r="C31" i="11" s="1"/>
  <c r="C19" i="67"/>
  <c r="C20" i="67" s="1"/>
  <c r="C23" i="67" s="1"/>
  <c r="K67" i="39"/>
  <c r="J69" i="39"/>
  <c r="D16" i="6"/>
  <c r="W34" i="34"/>
  <c r="AC34" i="34"/>
  <c r="V49" i="34" s="1"/>
  <c r="I49" i="34" s="1"/>
  <c r="W30" i="37"/>
  <c r="AC30" i="37"/>
  <c r="V42" i="37" s="1"/>
  <c r="I42" i="37" s="1"/>
  <c r="W33" i="33"/>
  <c r="AC33" i="33"/>
  <c r="V48" i="33" s="1"/>
  <c r="I48" i="33" s="1"/>
  <c r="U33" i="33"/>
  <c r="AB33" i="33"/>
  <c r="T48" i="33" s="1"/>
  <c r="G48" i="33" s="1"/>
  <c r="C46" i="11"/>
  <c r="C45" i="11" s="1"/>
  <c r="C43" i="11"/>
  <c r="C41" i="11" s="1"/>
  <c r="C49" i="11" s="1"/>
  <c r="C51" i="11" s="1"/>
  <c r="C10" i="69"/>
  <c r="C8" i="69" s="1"/>
  <c r="C5" i="69" s="1"/>
  <c r="D19" i="69"/>
  <c r="D37" i="69" s="1"/>
  <c r="C37" i="69" s="1"/>
  <c r="C33" i="69" s="1"/>
  <c r="R23" i="6"/>
  <c r="R22" i="6"/>
  <c r="H27" i="6"/>
  <c r="S30" i="37"/>
  <c r="AA30" i="37"/>
  <c r="R42" i="37" s="1"/>
  <c r="C14" i="71"/>
  <c r="D15" i="71"/>
  <c r="S33" i="33"/>
  <c r="AA33" i="33"/>
  <c r="R48" i="33" s="1"/>
  <c r="C10" i="68"/>
  <c r="B29" i="1" s="1"/>
  <c r="C8" i="68" s="1"/>
  <c r="C5" i="68" s="1"/>
  <c r="D19" i="68"/>
  <c r="D37" i="68" s="1"/>
  <c r="C37" i="68" s="1"/>
  <c r="C33" i="68" s="1"/>
  <c r="R20" i="6"/>
  <c r="C4" i="52"/>
  <c r="B45" i="72" s="1"/>
  <c r="A10" i="51"/>
  <c r="B9" i="72" s="1"/>
  <c r="A7" i="51"/>
  <c r="B7" i="72" s="1"/>
  <c r="R24" i="6"/>
  <c r="R25" i="6"/>
  <c r="R19" i="6"/>
  <c r="M19" i="9"/>
  <c r="C118" i="9" s="1"/>
  <c r="C14" i="74" s="1"/>
  <c r="B2" i="74" s="1"/>
  <c r="L19" i="9"/>
  <c r="D27" i="6"/>
  <c r="D31" i="6" s="1"/>
  <c r="L18" i="9"/>
  <c r="S19" i="6"/>
  <c r="S27" i="6" s="1"/>
  <c r="I27" i="6"/>
  <c r="U34" i="34"/>
  <c r="AB34" i="34"/>
  <c r="T49" i="34" s="1"/>
  <c r="G49" i="34" s="1"/>
  <c r="S34" i="34"/>
  <c r="AA34" i="34"/>
  <c r="R49" i="34" s="1"/>
  <c r="U30" i="37"/>
  <c r="AB30" i="37"/>
  <c r="T42" i="37" s="1"/>
  <c r="G42" i="37" s="1"/>
  <c r="L65" i="40"/>
  <c r="M63" i="40"/>
  <c r="J22" i="15"/>
  <c r="J16" i="15" s="1"/>
  <c r="J25" i="15" s="1"/>
  <c r="C75" i="15"/>
  <c r="Q70" i="15"/>
  <c r="L46" i="15"/>
  <c r="C37" i="15"/>
  <c r="C30" i="15" s="1"/>
  <c r="C39" i="15" s="1"/>
  <c r="Q69" i="15" s="1"/>
  <c r="Q68" i="15" s="1"/>
  <c r="B2" i="76"/>
  <c r="B3" i="76" s="1"/>
  <c r="B3" i="43"/>
  <c r="C71" i="15"/>
  <c r="L51" i="15"/>
  <c r="C18" i="12" l="1"/>
  <c r="C21" i="12" s="1"/>
  <c r="C52" i="11"/>
  <c r="B2" i="11" s="1"/>
  <c r="B3" i="11" s="1"/>
  <c r="C26" i="67"/>
  <c r="C29" i="67" s="1"/>
  <c r="C36" i="67" s="1"/>
  <c r="I6" i="6"/>
  <c r="I5" i="6"/>
  <c r="N63" i="40"/>
  <c r="M65" i="40"/>
  <c r="G47" i="37"/>
  <c r="H47" i="37" s="1"/>
  <c r="G46" i="37"/>
  <c r="H46" i="37" s="1"/>
  <c r="E49" i="34"/>
  <c r="R50" i="34"/>
  <c r="G53" i="34"/>
  <c r="H53" i="34" s="1"/>
  <c r="G54" i="34"/>
  <c r="H54" i="34" s="1"/>
  <c r="R6" i="1"/>
  <c r="R27" i="6"/>
  <c r="C22" i="12"/>
  <c r="C30" i="12" s="1"/>
  <c r="C28" i="12" s="1"/>
  <c r="C20" i="68"/>
  <c r="C25" i="68" s="1"/>
  <c r="C23" i="68"/>
  <c r="C28" i="68"/>
  <c r="C27" i="68" s="1"/>
  <c r="E48" i="33"/>
  <c r="R49" i="33"/>
  <c r="E42" i="37"/>
  <c r="R43" i="37"/>
  <c r="C20" i="69"/>
  <c r="C25" i="69" s="1"/>
  <c r="C23" i="69"/>
  <c r="D7" i="74"/>
  <c r="D8" i="74"/>
  <c r="C39" i="68"/>
  <c r="C43" i="68" s="1"/>
  <c r="C42" i="68"/>
  <c r="D14" i="71"/>
  <c r="C13" i="71"/>
  <c r="C39" i="69"/>
  <c r="C42" i="69"/>
  <c r="G52" i="33"/>
  <c r="H52" i="33" s="1"/>
  <c r="G53" i="33"/>
  <c r="H53" i="33" s="1"/>
  <c r="I52" i="33"/>
  <c r="J52" i="33" s="1"/>
  <c r="I53" i="33"/>
  <c r="J53" i="33" s="1"/>
  <c r="I46" i="37"/>
  <c r="J46" i="37" s="1"/>
  <c r="I47" i="37"/>
  <c r="J47" i="37" s="1"/>
  <c r="I53" i="34"/>
  <c r="J53" i="34" s="1"/>
  <c r="I54" i="34"/>
  <c r="J54" i="34" s="1"/>
  <c r="L67" i="39"/>
  <c r="K69" i="39"/>
  <c r="C40" i="15"/>
  <c r="C46" i="15" s="1"/>
  <c r="C80" i="15"/>
  <c r="C79" i="15" s="1"/>
  <c r="Q67" i="15"/>
  <c r="M21" i="67"/>
  <c r="F35" i="67"/>
  <c r="C56" i="11" l="1"/>
  <c r="C57" i="11" s="1"/>
  <c r="J14" i="67"/>
  <c r="J22" i="67" s="1"/>
  <c r="C13" i="67"/>
  <c r="C56" i="67" s="1"/>
  <c r="C65" i="67" s="1"/>
  <c r="C46" i="68"/>
  <c r="C45" i="68" s="1"/>
  <c r="C22" i="69"/>
  <c r="C57" i="67"/>
  <c r="C64" i="67" s="1"/>
  <c r="Q49" i="67"/>
  <c r="J59" i="67"/>
  <c r="J60" i="67" s="1"/>
  <c r="Q48" i="67" s="1"/>
  <c r="C28" i="69"/>
  <c r="C27" i="69" s="1"/>
  <c r="C22" i="68"/>
  <c r="C31" i="68" s="1"/>
  <c r="C27" i="12"/>
  <c r="C25" i="12" s="1"/>
  <c r="C32" i="12" s="1"/>
  <c r="B2" i="12" s="1"/>
  <c r="B3" i="12" s="1"/>
  <c r="F63" i="67"/>
  <c r="C62" i="67" s="1"/>
  <c r="C59" i="67" s="1"/>
  <c r="C34" i="67"/>
  <c r="C31" i="67" s="1"/>
  <c r="J20" i="67"/>
  <c r="J17" i="67" s="1"/>
  <c r="M67" i="39"/>
  <c r="L69" i="39"/>
  <c r="D13" i="71"/>
  <c r="C12" i="71"/>
  <c r="C42" i="37"/>
  <c r="C43" i="37"/>
  <c r="C48" i="33"/>
  <c r="C49" i="33"/>
  <c r="C49" i="34"/>
  <c r="C50" i="34"/>
  <c r="C46" i="69"/>
  <c r="C45" i="69" s="1"/>
  <c r="C43" i="69"/>
  <c r="C41" i="69" s="1"/>
  <c r="C41" i="68"/>
  <c r="E47" i="37"/>
  <c r="F47" i="37" s="1"/>
  <c r="E46" i="37"/>
  <c r="F46" i="37" s="1"/>
  <c r="E52" i="33"/>
  <c r="F52" i="33" s="1"/>
  <c r="E53" i="33"/>
  <c r="F53" i="33" s="1"/>
  <c r="R16" i="1"/>
  <c r="E53" i="34"/>
  <c r="F53" i="34" s="1"/>
  <c r="E54" i="34"/>
  <c r="F54" i="34" s="1"/>
  <c r="O63" i="40"/>
  <c r="O65" i="40" s="1"/>
  <c r="N65" i="40"/>
  <c r="Q65" i="15"/>
  <c r="Q75" i="15" s="1"/>
  <c r="C83" i="15"/>
  <c r="C82" i="15" s="1"/>
  <c r="C43" i="15"/>
  <c r="B2" i="15"/>
  <c r="B3" i="15" s="1"/>
  <c r="Q56" i="15"/>
  <c r="Q62" i="15" s="1"/>
  <c r="Q47" i="15"/>
  <c r="Q53" i="15" s="1"/>
  <c r="C49" i="68" l="1"/>
  <c r="C51" i="68" s="1"/>
  <c r="C52" i="68" s="1"/>
  <c r="B2" i="68" s="1"/>
  <c r="B3" i="68" s="1"/>
  <c r="J13" i="67"/>
  <c r="J23" i="67" s="1"/>
  <c r="J16" i="67" s="1"/>
  <c r="J25" i="67" s="1"/>
  <c r="Q70" i="67"/>
  <c r="C37" i="67"/>
  <c r="C30" i="67" s="1"/>
  <c r="C39" i="67" s="1"/>
  <c r="C40" i="67" s="1"/>
  <c r="L46" i="67"/>
  <c r="C31" i="69"/>
  <c r="C58" i="67"/>
  <c r="C67" i="67" s="1"/>
  <c r="C68" i="67" s="1"/>
  <c r="C71" i="67" s="1"/>
  <c r="C75" i="67"/>
  <c r="C80" i="67" s="1"/>
  <c r="C79" i="67" s="1"/>
  <c r="C49" i="69"/>
  <c r="C51" i="69" s="1"/>
  <c r="J7" i="40"/>
  <c r="F7" i="40"/>
  <c r="H7" i="40"/>
  <c r="B3" i="33"/>
  <c r="B2" i="33"/>
  <c r="B2" i="37"/>
  <c r="B3" i="37"/>
  <c r="C11" i="71"/>
  <c r="D12" i="71"/>
  <c r="U12" i="71" s="1"/>
  <c r="T12" i="71"/>
  <c r="B2" i="34"/>
  <c r="B3" i="34"/>
  <c r="N67" i="39"/>
  <c r="M69" i="39"/>
  <c r="L51" i="67"/>
  <c r="C19" i="9"/>
  <c r="C20" i="9"/>
  <c r="Q69" i="67" l="1"/>
  <c r="Q68" i="67" s="1"/>
  <c r="C52" i="69"/>
  <c r="B2" i="69" s="1"/>
  <c r="B3" i="69" s="1"/>
  <c r="C103" i="9"/>
  <c r="C21" i="9"/>
  <c r="C102" i="9"/>
  <c r="Q67" i="67"/>
  <c r="O67" i="39"/>
  <c r="O69" i="39" s="1"/>
  <c r="N69" i="39"/>
  <c r="AB7" i="40"/>
  <c r="T42" i="40" s="1"/>
  <c r="G42" i="40" s="1"/>
  <c r="U7" i="40"/>
  <c r="AC7" i="40"/>
  <c r="V42" i="40" s="1"/>
  <c r="I42" i="40" s="1"/>
  <c r="W7" i="40"/>
  <c r="Q65" i="67"/>
  <c r="Q75" i="67" s="1"/>
  <c r="Q47" i="67"/>
  <c r="Q53" i="67" s="1"/>
  <c r="D2" i="67"/>
  <c r="Q56" i="67"/>
  <c r="Q62" i="67" s="1"/>
  <c r="C43" i="67"/>
  <c r="C83" i="67"/>
  <c r="C82" i="67" s="1"/>
  <c r="C45" i="67"/>
  <c r="C46" i="67" s="1"/>
  <c r="C57" i="68"/>
  <c r="C56" i="68" s="1"/>
  <c r="C10" i="71"/>
  <c r="D11" i="71"/>
  <c r="AA7" i="40"/>
  <c r="R42" i="40" s="1"/>
  <c r="S7" i="40"/>
  <c r="C57" i="69" l="1"/>
  <c r="C56" i="69" s="1"/>
  <c r="E42" i="40"/>
  <c r="I47" i="40" s="1"/>
  <c r="J47" i="40" s="1"/>
  <c r="R43" i="40"/>
  <c r="C9" i="71"/>
  <c r="D10" i="71"/>
  <c r="I46" i="40"/>
  <c r="J46" i="40" s="1"/>
  <c r="F7" i="39"/>
  <c r="H7" i="39"/>
  <c r="J7" i="39"/>
  <c r="B2" i="67"/>
  <c r="B3" i="67"/>
  <c r="G47" i="40"/>
  <c r="H47" i="40" s="1"/>
  <c r="G46" i="40"/>
  <c r="H46" i="40" s="1"/>
  <c r="D20" i="9"/>
  <c r="D19" i="9"/>
  <c r="AO6" i="1"/>
  <c r="B6" i="70" l="1"/>
  <c r="B2" i="70" s="1"/>
  <c r="B3" i="70" s="1"/>
  <c r="G19" i="9"/>
  <c r="G21" i="9" s="1"/>
  <c r="D21" i="9"/>
  <c r="D22" i="9"/>
  <c r="D102" i="9"/>
  <c r="D103" i="9"/>
  <c r="G20" i="9"/>
  <c r="C32" i="9" s="1"/>
  <c r="W7" i="39"/>
  <c r="AC7" i="39"/>
  <c r="V47" i="39" s="1"/>
  <c r="I47" i="39" s="1"/>
  <c r="U7" i="39"/>
  <c r="AB7" i="39"/>
  <c r="T47" i="39" s="1"/>
  <c r="G47" i="39" s="1"/>
  <c r="C43" i="40"/>
  <c r="C42" i="40"/>
  <c r="AA7" i="39"/>
  <c r="R47" i="39" s="1"/>
  <c r="S7" i="39"/>
  <c r="D9" i="71"/>
  <c r="C8" i="71"/>
  <c r="E47" i="40"/>
  <c r="F47" i="40" s="1"/>
  <c r="E46" i="40"/>
  <c r="F46" i="40" s="1"/>
  <c r="E47" i="39" l="1"/>
  <c r="R48" i="39"/>
  <c r="B58" i="40"/>
  <c r="F58" i="40" s="1"/>
  <c r="B54" i="40"/>
  <c r="F54" i="40" s="1"/>
  <c r="B53" i="40"/>
  <c r="F53" i="40" s="1"/>
  <c r="B59" i="40"/>
  <c r="F59" i="40" s="1"/>
  <c r="B52" i="40"/>
  <c r="F52" i="40" s="1"/>
  <c r="B56" i="40"/>
  <c r="F56" i="40" s="1"/>
  <c r="B60" i="40"/>
  <c r="F60" i="40" s="1"/>
  <c r="B57" i="40"/>
  <c r="F57" i="40" s="1"/>
  <c r="B51" i="40"/>
  <c r="F51" i="40" s="1"/>
  <c r="F61" i="40"/>
  <c r="B2" i="40" s="1"/>
  <c r="B3" i="40" s="1"/>
  <c r="D8" i="71"/>
  <c r="C7" i="71"/>
  <c r="G51" i="39"/>
  <c r="H51" i="39" s="1"/>
  <c r="G52" i="39"/>
  <c r="H52" i="39" s="1"/>
  <c r="I51" i="39"/>
  <c r="J51" i="39" s="1"/>
  <c r="I52" i="39"/>
  <c r="J52" i="39" s="1"/>
  <c r="I118" i="9"/>
  <c r="C35" i="9"/>
  <c r="G118" i="9" l="1"/>
  <c r="E118" i="9" s="1"/>
  <c r="C34" i="9"/>
  <c r="D7" i="71"/>
  <c r="C6" i="71"/>
  <c r="C47" i="39"/>
  <c r="C48" i="39"/>
  <c r="I4" i="52"/>
  <c r="H102" i="9"/>
  <c r="D7" i="53" s="1"/>
  <c r="B21" i="72" s="1"/>
  <c r="C105" i="9"/>
  <c r="H118" i="9"/>
  <c r="E52" i="39"/>
  <c r="F52" i="39" s="1"/>
  <c r="E51" i="39"/>
  <c r="F51" i="39" s="1"/>
  <c r="B56" i="39" l="1"/>
  <c r="F56" i="39" s="1"/>
  <c r="F65" i="39" s="1"/>
  <c r="B2" i="39" s="1"/>
  <c r="B3" i="39" s="1"/>
  <c r="B63" i="39"/>
  <c r="F63" i="39" s="1"/>
  <c r="B64" i="39"/>
  <c r="F64" i="39" s="1"/>
  <c r="B60" i="39"/>
  <c r="F60" i="39" s="1"/>
  <c r="B61" i="39"/>
  <c r="F61" i="39" s="1"/>
  <c r="B57" i="39"/>
  <c r="F57" i="39" s="1"/>
  <c r="B58" i="39"/>
  <c r="F58" i="39" s="1"/>
  <c r="B62" i="39"/>
  <c r="F62" i="39" s="1"/>
  <c r="B59" i="39"/>
  <c r="F59" i="39" s="1"/>
  <c r="D6" i="71"/>
  <c r="C5" i="71"/>
  <c r="H4" i="52"/>
  <c r="D14" i="74"/>
  <c r="C104" i="9"/>
  <c r="H101" i="9"/>
  <c r="H119" i="9"/>
  <c r="H5" i="52" s="1"/>
  <c r="D118" i="9"/>
  <c r="E4" i="52"/>
  <c r="B48" i="72" s="1"/>
  <c r="F118" i="9"/>
  <c r="G4" i="52"/>
  <c r="B52" i="72" s="1"/>
  <c r="F4" i="52" l="1"/>
  <c r="B51" i="72" s="1"/>
  <c r="F119" i="9"/>
  <c r="F5" i="52" s="1"/>
  <c r="B53" i="72" s="1"/>
  <c r="D4" i="52"/>
  <c r="B47" i="72" s="1"/>
  <c r="D119" i="9"/>
  <c r="D5" i="52" s="1"/>
  <c r="B49" i="72" s="1"/>
  <c r="H107" i="9"/>
  <c r="D5" i="53"/>
  <c r="M48" i="9"/>
  <c r="D45" i="9"/>
  <c r="E14" i="74"/>
  <c r="F14" i="74"/>
  <c r="B5" i="74"/>
  <c r="D5" i="71"/>
  <c r="M24" i="43"/>
  <c r="C85" i="9" l="1"/>
  <c r="C72" i="9"/>
  <c r="C64" i="9"/>
  <c r="C63" i="9" s="1"/>
  <c r="C67" i="9" s="1"/>
  <c r="C68" i="9" s="1"/>
  <c r="D54" i="9" s="1"/>
  <c r="C93" i="9"/>
  <c r="C86" i="9" s="1"/>
  <c r="D52" i="9"/>
  <c r="C78" i="9"/>
  <c r="C73" i="9" s="1"/>
  <c r="D53" i="9"/>
  <c r="D48" i="9" s="1"/>
  <c r="M52" i="9" s="1"/>
  <c r="D55" i="9"/>
  <c r="M53" i="9" s="1"/>
  <c r="D6" i="53"/>
  <c r="B22" i="72" s="1"/>
  <c r="B20" i="72"/>
  <c r="C5" i="74"/>
  <c r="D5" i="74"/>
  <c r="D13" i="53"/>
  <c r="H108" i="9"/>
  <c r="D15" i="53" s="1"/>
  <c r="B31" i="72" s="1"/>
  <c r="D122" i="9"/>
  <c r="M49" i="9"/>
  <c r="G14" i="74"/>
  <c r="B6" i="74" s="1"/>
  <c r="C95" i="9" l="1"/>
  <c r="C96" i="9" s="1"/>
  <c r="E96" i="9" s="1"/>
  <c r="E97" i="9" s="1"/>
  <c r="L63" i="9"/>
  <c r="M63" i="9" s="1"/>
  <c r="L64" i="9"/>
  <c r="M64" i="9" s="1"/>
  <c r="L68" i="9"/>
  <c r="M68" i="9" s="1"/>
  <c r="L66" i="9"/>
  <c r="M66" i="9" s="1"/>
  <c r="L65" i="9"/>
  <c r="M65" i="9" s="1"/>
  <c r="L67" i="9"/>
  <c r="M67" i="9" s="1"/>
  <c r="C79" i="9"/>
  <c r="D6" i="74"/>
  <c r="C6" i="74"/>
  <c r="D8" i="52"/>
  <c r="D123" i="9"/>
  <c r="D9" i="52" s="1"/>
  <c r="D14" i="53"/>
  <c r="B32" i="72" s="1"/>
  <c r="B30" i="72"/>
  <c r="C97" i="9"/>
  <c r="D58" i="9" s="1"/>
  <c r="D56" i="9" s="1"/>
  <c r="M54" i="9" s="1"/>
  <c r="N57" i="9" s="1"/>
  <c r="C80" i="9" l="1"/>
  <c r="E80" i="9" s="1"/>
  <c r="E81" i="9" s="1"/>
  <c r="M69" i="9"/>
  <c r="N69" i="9" s="1"/>
  <c r="N58" i="9"/>
  <c r="P57"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<sst xmlns="http://schemas.openxmlformats.org/spreadsheetml/2006/main" count="8210" uniqueCount="3517">
  <si>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</si>
  <si>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</si>
  <si>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</si>
  <si>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</si>
  <si>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</si>
  <si>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</si>
  <si>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</si>
  <si>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</si>
  <si>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</si>
  <si>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</si>
  <si>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</si>
  <si>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</si>
  <si>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</si>
  <si>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</si>
  <si>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</si>
  <si>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</si>
  <si>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</si>
  <si>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</si>
  <si>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</si>
  <si>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</si>
  <si>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</si>
  <si>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</si>
  <si>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</si>
  <si>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</si>
  <si>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</si>
  <si>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</si>
  <si>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</si>
  <si>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</si>
  <si>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</si>
  <si>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</si>
  <si>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</si>
  <si>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</si>
  <si>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</si>
  <si>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</si>
  <si>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</si>
  <si>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</si>
  <si>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</si>
  <si>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</si>
  <si>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</si>
  <si>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</si>
  <si>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</si>
  <si>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</si>
  <si>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</si>
  <si>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</si>
  <si>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</si>
  <si>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</si>
  <si>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</si>
  <si>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</si>
  <si>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</si>
  <si>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</si>
  <si>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</si>
  <si>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</si>
  <si>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</si>
  <si>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</si>
  <si>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</si>
  <si>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</si>
  <si>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</si>
  <si>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</si>
  <si>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</si>
  <si>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</si>
  <si>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</si>
  <si>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</si>
  <si>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</si>
  <si>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</si>
  <si>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</si>
  <si>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</si>
  <si>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</si>
  <si>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</si>
  <si>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</si>
  <si>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</si>
  <si>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</si>
  <si>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</si>
  <si>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</si>
  <si>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</si>
  <si>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</si>
  <si>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</si>
  <si>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</si>
  <si>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</si>
  <si>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</si>
  <si>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</si>
  <si>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</si>
  <si>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</si>
  <si>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</si>
  <si>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</si>
  <si>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</si>
  <si>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</si>
  <si>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</si>
  <si>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</si>
  <si>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</si>
  <si>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</si>
  <si>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</si>
  <si>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</si>
  <si>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</si>
  <si>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</si>
  <si>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</si>
  <si>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</si>
  <si>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</si>
  <si>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</si>
  <si>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</si>
  <si>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</si>
  <si>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</si>
  <si>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</si>
  <si>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</si>
  <si>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</si>
  <si>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</si>
  <si>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</si>
  <si>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</si>
  <si>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</si>
  <si>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</si>
  <si>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</si>
  <si>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</si>
  <si>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</si>
  <si>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</si>
  <si>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</si>
  <si>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</si>
  <si>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</si>
  <si>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</si>
  <si>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</si>
  <si>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</si>
  <si>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</si>
  <si>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</si>
  <si>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</si>
  <si>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</si>
  <si>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</si>
  <si>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</si>
  <si>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</si>
  <si>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</si>
  <si>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</si>
  <si>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</si>
  <si>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</si>
  <si>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</si>
  <si>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</si>
  <si>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</si>
  <si>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</si>
  <si>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</si>
  <si>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</si>
  <si>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</si>
  <si>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</si>
  <si>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</si>
  <si>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</si>
  <si>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</si>
  <si>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</si>
  <si>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</si>
  <si>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</si>
  <si>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</si>
  <si>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</si>
  <si>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</si>
  <si>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</si>
  <si>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</si>
  <si>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</si>
  <si>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</si>
  <si>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</si>
  <si>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</si>
  <si>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</si>
  <si>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</si>
  <si>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</si>
  <si>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</si>
  <si>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</si>
  <si>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</si>
  <si>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</si>
  <si>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</si>
  <si>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</si>
  <si>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</si>
  <si>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</si>
  <si>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</si>
  <si>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</si>
  <si>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</si>
  <si>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</si>
  <si>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</si>
  <si>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</si>
  <si>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</si>
  <si>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</si>
  <si>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</si>
  <si>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</si>
  <si>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</si>
  <si>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</si>
  <si>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</si>
  <si>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</si>
  <si>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</si>
  <si>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</si>
  <si>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</si>
  <si>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</si>
  <si>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</si>
  <si>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</si>
  <si>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</si>
  <si>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</si>
  <si>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</si>
  <si>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</si>
  <si>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</si>
  <si>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</si>
  <si>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</si>
  <si>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</si>
  <si>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</si>
  <si>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</si>
  <si>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</si>
  <si>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</si>
  <si>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</si>
  <si>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</si>
  <si>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</si>
  <si>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</si>
  <si>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</si>
  <si>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</si>
  <si>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</si>
  <si>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</si>
  <si>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</si>
  <si>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</si>
  <si>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</si>
  <si>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</si>
  <si>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</si>
  <si>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</si>
  <si>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</si>
  <si>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</si>
  <si>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</si>
  <si>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</si>
  <si>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</si>
  <si>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</si>
  <si>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</si>
  <si>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</si>
  <si>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</si>
  <si>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</si>
  <si>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</si>
  <si>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</si>
  <si>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</si>
  <si>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</si>
  <si>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</si>
  <si>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</si>
  <si>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</si>
  <si>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</si>
  <si>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</si>
  <si>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</si>
  <si>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</si>
  <si>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</si>
  <si>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</si>
  <si>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</si>
  <si>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</si>
  <si>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</si>
  <si>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</si>
  <si>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</si>
  <si>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</si>
  <si>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</si>
  <si>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</si>
  <si>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</si>
  <si>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</si>
  <si>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</si>
  <si>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</si>
  <si>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</si>
  <si>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</si>
  <si>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</si>
  <si>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</si>
  <si>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</si>
  <si>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</si>
  <si>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</si>
  <si>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</si>
  <si>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</si>
  <si>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</si>
  <si>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</si>
  <si>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</si>
  <si>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</si>
  <si>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</si>
  <si>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</si>
  <si>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</si>
  <si>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</si>
  <si>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</si>
  <si>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</si>
  <si>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</si>
  <si>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</si>
  <si>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</si>
  <si>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</si>
  <si>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</si>
  <si>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</si>
  <si>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</si>
  <si>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</si>
  <si>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</si>
  <si>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</si>
  <si>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</si>
  <si>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</si>
  <si>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</si>
  <si>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</si>
  <si>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</si>
  <si>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</si>
  <si>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</si>
  <si>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</si>
  <si>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</si>
  <si>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</si>
  <si>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</si>
  <si>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</si>
  <si>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</si>
  <si>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</si>
  <si>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</si>
  <si>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</si>
  <si>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</si>
  <si>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</si>
  <si>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</si>
  <si>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</si>
  <si>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</si>
  <si>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</si>
  <si>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</si>
  <si>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</si>
  <si>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</si>
  <si>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</si>
  <si>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</si>
  <si>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</si>
  <si>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</si>
  <si>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</si>
  <si>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</si>
  <si>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</si>
  <si>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</si>
  <si>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</si>
  <si>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</si>
  <si>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</si>
  <si>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</si>
  <si>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</si>
  <si>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</si>
  <si>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</si>
  <si>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</si>
  <si>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</si>
  <si>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</si>
  <si>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</si>
  <si>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</si>
  <si>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</si>
  <si>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</si>
  <si>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</si>
  <si>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</si>
  <si>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</si>
  <si>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</si>
  <si>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</si>
  <si>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</si>
  <si>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</si>
  <si>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</si>
  <si>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</si>
  <si>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</si>
  <si>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</si>
  <si>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</si>
  <si>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</si>
  <si>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</si>
  <si>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</si>
  <si>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</si>
  <si>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</si>
  <si>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</si>
  <si>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</si>
  <si>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</si>
  <si>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</si>
  <si>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</si>
  <si>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</si>
  <si>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</si>
  <si>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</si>
  <si>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</si>
  <si>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</si>
  <si>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</si>
  <si>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</si>
  <si>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</si>
  <si>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</si>
  <si>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</si>
  <si>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</si>
  <si>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</si>
  <si>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</si>
  <si>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</si>
  <si>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</si>
  <si>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</si>
  <si>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</si>
  <si>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</si>
  <si>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</si>
  <si>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</si>
  <si>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</si>
  <si>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</si>
  <si>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</si>
  <si>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</si>
  <si>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</si>
  <si>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</si>
  <si>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</si>
  <si>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</si>
  <si>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</si>
  <si>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</si>
  <si>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</si>
  <si>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</si>
  <si>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</si>
  <si>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</si>
  <si>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</si>
  <si>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</si>
  <si>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</si>
  <si>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</si>
  <si>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</si>
  <si>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</si>
  <si>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</si>
  <si>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</si>
  <si>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</si>
  <si>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</si>
  <si>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</si>
  <si>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</si>
  <si>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</si>
  <si>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</si>
  <si>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</si>
  <si>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</si>
  <si>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</si>
  <si>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</si>
  <si>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</si>
  <si>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</si>
  <si>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</si>
  <si>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</si>
  <si>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</si>
  <si>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</si>
  <si>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</si>
  <si>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</si>
  <si>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</si>
  <si>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</si>
  <si>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</si>
  <si>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</si>
  <si>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</si>
  <si>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</si>
  <si>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</si>
  <si>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</si>
  <si>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</si>
  <si>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</si>
  <si>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</si>
  <si>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</si>
  <si>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</si>
  <si>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</si>
  <si>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</si>
  <si>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</si>
  <si>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</si>
  <si>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</si>
  <si>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</si>
  <si>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</si>
  <si>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</si>
  <si>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</si>
  <si>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</si>
  <si>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</si>
  <si>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</si>
  <si>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</si>
  <si>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</si>
  <si>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</si>
  <si>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</si>
  <si>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</si>
  <si>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</si>
  <si>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</si>
  <si>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</si>
  <si>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</si>
  <si>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</si>
  <si>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</si>
  <si>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</si>
  <si>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</si>
  <si>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</si>
  <si>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</si>
  <si>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</si>
  <si>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</si>
  <si>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</si>
  <si>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</si>
  <si>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</si>
  <si>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</si>
  <si>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</si>
  <si>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</si>
  <si>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</si>
  <si>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</si>
  <si>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</si>
  <si>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</si>
  <si>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</si>
  <si>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</si>
  <si>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</si>
  <si>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</si>
  <si>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</si>
  <si>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</si>
  <si>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</si>
  <si>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</si>
  <si>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</si>
  <si>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</si>
  <si>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</si>
  <si>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</si>
  <si>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</si>
  <si>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</si>
  <si>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</si>
  <si>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</si>
  <si>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</si>
  <si>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</si>
  <si>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</si>
  <si>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</si>
  <si>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</si>
  <si>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</si>
  <si>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</si>
  <si>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</si>
  <si>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</si>
  <si>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</si>
  <si>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</si>
  <si>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</si>
  <si>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</si>
  <si>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</si>
  <si>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</si>
  <si>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</si>
  <si>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</si>
  <si>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</si>
  <si>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</si>
  <si>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</si>
  <si>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</si>
  <si>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</si>
  <si>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</si>
  <si>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</si>
  <si>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</si>
  <si>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</si>
  <si>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</si>
  <si>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</si>
  <si>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</si>
  <si>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</si>
  <si>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</si>
  <si>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</si>
  <si>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</si>
  <si>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</si>
  <si>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</si>
  <si>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</si>
  <si>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</si>
  <si>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</si>
  <si>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</si>
  <si>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</si>
  <si>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</si>
  <si>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</si>
  <si>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</si>
  <si>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</si>
  <si>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</si>
  <si>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</si>
  <si>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</si>
  <si>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</si>
  <si>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</si>
  <si>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</si>
  <si>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</si>
  <si>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</si>
  <si>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</si>
  <si>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</si>
  <si>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</si>
  <si>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</si>
  <si>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</si>
  <si>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</si>
  <si>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</si>
  <si>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</si>
  <si>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</si>
  <si>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</si>
  <si>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</si>
  <si>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</si>
  <si>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</si>
  <si>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</si>
  <si>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</si>
  <si>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</si>
  <si>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</si>
  <si>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</si>
  <si>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</si>
  <si>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</si>
  <si>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</si>
  <si>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</si>
  <si>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</si>
  <si>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</si>
  <si>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</si>
  <si>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</si>
  <si>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</si>
  <si>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</si>
  <si>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</si>
  <si>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</si>
  <si>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</si>
  <si>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</si>
  <si>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</si>
  <si>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</si>
  <si>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</si>
  <si>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</si>
  <si>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</si>
  <si>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</si>
  <si>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</si>
  <si>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</si>
  <si>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</si>
  <si>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</si>
  <si>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</si>
  <si>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</si>
  <si>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</si>
  <si>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</si>
  <si>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</si>
  <si>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</si>
  <si>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</si>
  <si>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</si>
  <si>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</si>
  <si>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</si>
  <si>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</si>
  <si>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</si>
  <si>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</si>
  <si>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</si>
  <si>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</si>
  <si>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</si>
  <si>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</si>
  <si>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</si>
  <si>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</si>
  <si>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</si>
  <si>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</si>
  <si>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</si>
  <si>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</si>
  <si>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</si>
  <si>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</si>
  <si>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</si>
  <si>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</si>
  <si>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</si>
  <si>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</si>
  <si>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</si>
  <si>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</si>
  <si>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</si>
  <si>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</si>
  <si>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</si>
  <si>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</si>
  <si>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</si>
  <si>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</si>
  <si>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</si>
  <si>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</si>
  <si>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</si>
  <si>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</si>
  <si>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</si>
  <si>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</si>
  <si>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</si>
  <si>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</si>
  <si>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</si>
  <si>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</si>
  <si>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</si>
  <si>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</si>
  <si>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</si>
  <si>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</si>
  <si>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</si>
  <si>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</si>
  <si>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</si>
  <si>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</si>
  <si>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</si>
  <si>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</si>
  <si>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</si>
  <si>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</si>
  <si>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</si>
  <si>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</si>
  <si>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</si>
  <si>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</si>
  <si>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</si>
  <si>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</si>
  <si>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</si>
  <si>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</si>
  <si>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</si>
  <si>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</si>
  <si>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</si>
  <si>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</si>
  <si>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</si>
  <si>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</si>
  <si>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</si>
  <si>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</si>
  <si>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</si>
  <si>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</si>
  <si>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</si>
  <si>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</si>
  <si>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</si>
  <si>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</si>
  <si>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</si>
  <si>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</si>
  <si>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</si>
  <si>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</si>
  <si>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</si>
  <si>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</si>
  <si>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</si>
  <si>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</si>
  <si>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</si>
  <si>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</si>
  <si>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</si>
  <si>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</si>
  <si>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</si>
  <si>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</si>
  <si>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</si>
  <si>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</si>
  <si>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</si>
  <si>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</si>
  <si>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</si>
  <si>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</si>
  <si>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</si>
  <si>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</si>
  <si>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</si>
  <si>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</si>
  <si>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</si>
  <si>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</si>
  <si>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</si>
  <si>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</si>
  <si>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</si>
  <si>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</si>
  <si>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</si>
  <si>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</si>
  <si>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</si>
  <si>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</si>
  <si>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</si>
  <si>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</si>
  <si>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</si>
  <si>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</si>
  <si>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</si>
  <si>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</si>
  <si>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</si>
  <si>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</si>
  <si>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</si>
  <si>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</si>
  <si>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</si>
  <si>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</si>
  <si>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</si>
  <si>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</si>
  <si>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</si>
  <si>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</si>
  <si>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</si>
  <si>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</si>
  <si>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</si>
  <si>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</si>
  <si>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</si>
  <si>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</si>
  <si>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</si>
  <si>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</si>
  <si>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</si>
  <si>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</si>
  <si>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</si>
  <si>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</si>
  <si>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</si>
  <si>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</si>
  <si>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</si>
  <si>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</si>
  <si>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</si>
  <si>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</si>
  <si>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</si>
  <si>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</si>
  <si>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</si>
  <si>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</si>
  <si>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</si>
  <si>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</si>
  <si>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</si>
  <si>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</si>
  <si>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</si>
  <si>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</si>
  <si>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</si>
  <si>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</si>
  <si>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</si>
  <si>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</si>
  <si>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</si>
  <si>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</si>
  <si>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</si>
  <si>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</si>
  <si>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</si>
  <si>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</si>
  <si>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</si>
  <si>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</si>
  <si>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</si>
  <si>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</si>
  <si>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</si>
  <si>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</si>
  <si>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</si>
  <si>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</si>
  <si>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</si>
  <si>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</si>
  <si>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</si>
  <si>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</si>
  <si>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</si>
  <si>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</si>
  <si>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</si>
  <si>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</si>
  <si>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</si>
  <si>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</si>
  <si>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</si>
  <si>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</si>
  <si>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</si>
  <si>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</si>
  <si>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</si>
  <si>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</si>
  <si>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</si>
  <si>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</si>
  <si>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</si>
  <si>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</si>
  <si>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</si>
  <si>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</si>
  <si>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</si>
  <si>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</si>
  <si>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</si>
  <si>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</si>
  <si>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</si>
  <si>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</si>
  <si>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</si>
  <si>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</si>
  <si>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</si>
  <si>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</si>
  <si>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</si>
  <si>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</si>
  <si>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</si>
  <si>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</si>
  <si>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</si>
  <si>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</si>
  <si>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</si>
  <si>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</si>
  <si>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</si>
  <si>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</si>
  <si>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</si>
  <si>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</si>
  <si>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</si>
  <si>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</si>
  <si>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</si>
  <si>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</si>
  <si>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</si>
  <si>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</si>
  <si>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</si>
  <si>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</si>
  <si>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</si>
  <si>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</si>
  <si>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</si>
  <si>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</si>
  <si>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</si>
  <si>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</si>
  <si>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</si>
  <si>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</si>
  <si>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</si>
  <si>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</si>
  <si>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</si>
  <si>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</si>
  <si>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</si>
  <si>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</si>
  <si>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</si>
  <si>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</si>
  <si>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</si>
  <si>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</si>
  <si>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</si>
  <si>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</si>
  <si>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</si>
  <si>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</si>
  <si>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</si>
  <si>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</si>
  <si>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</si>
  <si>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</si>
  <si>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</si>
  <si>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</si>
  <si>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</si>
  <si>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</si>
  <si>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</si>
  <si>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</si>
  <si>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</si>
  <si>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</si>
  <si>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</si>
  <si>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</si>
  <si>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</si>
  <si>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</si>
  <si>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</si>
  <si>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</si>
  <si>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</si>
  <si>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</si>
  <si>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</si>
  <si>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</si>
  <si>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</si>
  <si>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</si>
  <si>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</si>
  <si>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</si>
  <si>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</si>
  <si>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</si>
  <si>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</si>
  <si>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</si>
  <si>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</si>
  <si>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</si>
  <si>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</si>
  <si>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</si>
  <si>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</si>
  <si>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</si>
  <si>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</si>
  <si>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</si>
  <si>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</si>
  <si>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</si>
  <si>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</si>
  <si>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</si>
  <si>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</si>
  <si>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</si>
  <si>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</si>
  <si>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</si>
  <si>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</si>
  <si>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</si>
  <si>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</si>
  <si>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</si>
  <si>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</si>
  <si>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</si>
  <si>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</si>
  <si>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</si>
  <si>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</si>
  <si>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</si>
  <si>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</si>
  <si>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</si>
  <si>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</si>
  <si>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</si>
  <si>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</si>
  <si>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</si>
  <si>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</si>
  <si>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</si>
  <si>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</si>
  <si>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</si>
  <si>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</si>
  <si>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</si>
  <si>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</si>
  <si>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</si>
  <si>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</si>
  <si>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</si>
  <si>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</si>
  <si>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</si>
  <si>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</si>
  <si>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</si>
  <si>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</si>
  <si>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</si>
  <si>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</si>
  <si>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</si>
  <si>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</si>
  <si>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</si>
  <si>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</si>
  <si>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</si>
  <si>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</si>
  <si>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</si>
  <si>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</si>
  <si>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</si>
  <si>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</si>
  <si>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</si>
  <si>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</si>
  <si>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</si>
  <si>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</si>
  <si>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</si>
  <si>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</si>
  <si>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</si>
  <si>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</si>
  <si>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</si>
  <si>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</si>
  <si>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</si>
  <si>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</si>
  <si>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</si>
  <si>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</si>
  <si>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</si>
  <si>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</si>
  <si>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</si>
  <si>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</si>
  <si>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</si>
  <si>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</si>
  <si>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</si>
  <si>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</si>
  <si>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</si>
  <si>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</si>
  <si>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</si>
  <si>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</si>
  <si>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</si>
  <si>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</si>
  <si>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</si>
  <si>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</si>
  <si>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</si>
  <si>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</si>
  <si>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</si>
  <si>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</si>
  <si>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</si>
  <si>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</si>
  <si>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</si>
  <si>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</si>
  <si>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</si>
  <si>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</si>
  <si>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</si>
  <si>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</si>
  <si>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</si>
  <si>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</si>
  <si>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</si>
  <si>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</si>
  <si>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</si>
  <si>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</si>
  <si>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</si>
  <si>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</si>
  <si>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</si>
  <si>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</si>
  <si>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</si>
  <si>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</si>
  <si>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</si>
  <si>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</si>
  <si>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</si>
  <si>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</si>
  <si>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</si>
  <si>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</si>
  <si>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</si>
  <si>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</si>
  <si>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</si>
  <si>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</si>
  <si>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</si>
  <si>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</si>
  <si>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</si>
  <si>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</si>
  <si>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</si>
  <si>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</si>
  <si>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</si>
  <si>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</si>
  <si>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</si>
  <si>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</si>
  <si>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</si>
  <si>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</si>
  <si>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</si>
  <si>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</si>
  <si>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</si>
  <si>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</si>
  <si>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</si>
  <si>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</si>
  <si>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</si>
  <si>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</si>
  <si>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</si>
  <si>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</si>
  <si>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</si>
  <si>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</si>
  <si>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</si>
  <si>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</si>
  <si>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</si>
  <si>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</si>
  <si>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</si>
  <si>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</si>
  <si>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</si>
  <si>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</si>
  <si>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</si>
  <si>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</si>
  <si>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</si>
  <si>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</si>
  <si>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</si>
  <si>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</si>
  <si>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</si>
  <si>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</si>
  <si>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</si>
  <si>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</si>
  <si>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</si>
  <si>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</si>
  <si>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</si>
  <si>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</si>
  <si>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</si>
  <si>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</si>
  <si>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</si>
  <si>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</si>
  <si>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</si>
  <si>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</si>
  <si>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</si>
  <si>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</si>
  <si>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</si>
  <si>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</si>
  <si>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</si>
  <si>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</si>
  <si>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</si>
  <si>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</si>
  <si>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</si>
  <si>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</si>
  <si>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</si>
  <si>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</si>
  <si>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</si>
  <si>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</si>
  <si>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</si>
  <si>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</si>
  <si>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</si>
  <si>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</si>
  <si>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</si>
  <si>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</si>
  <si>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</si>
  <si>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</si>
  <si>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</si>
  <si>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</si>
  <si>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</si>
  <si>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</si>
  <si>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</si>
  <si>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</si>
  <si>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</si>
  <si>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</si>
  <si>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</si>
  <si>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</si>
  <si>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</si>
  <si>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</si>
  <si>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</si>
  <si>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</si>
  <si>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</si>
  <si>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</si>
  <si>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</si>
  <si>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</si>
  <si>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</si>
  <si>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</si>
  <si>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</si>
  <si>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</si>
  <si>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</si>
  <si>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</si>
  <si>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</si>
  <si>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</si>
  <si>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</si>
  <si>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</si>
  <si>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</si>
  <si>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</si>
  <si>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</si>
  <si>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</si>
  <si>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</si>
  <si>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</si>
  <si>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</si>
  <si>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</si>
  <si>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</si>
  <si>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</si>
  <si>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</si>
  <si>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</si>
  <si>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</si>
  <si>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</si>
  <si>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</si>
  <si>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</si>
  <si>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</si>
  <si>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</si>
  <si>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</si>
  <si>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</si>
  <si>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</si>
  <si>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</si>
  <si>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</si>
  <si>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</si>
  <si>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</si>
  <si>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</si>
  <si>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</si>
  <si>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</si>
  <si>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</si>
  <si>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</si>
  <si>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</si>
  <si>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</si>
  <si>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</si>
  <si>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</si>
  <si>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</si>
  <si>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</si>
  <si>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</si>
  <si>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</si>
  <si>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</si>
  <si>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</si>
  <si>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</si>
  <si>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</si>
  <si>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</si>
  <si>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</si>
  <si>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</si>
  <si>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</si>
  <si>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</si>
  <si>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</si>
  <si>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</si>
  <si>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</si>
  <si>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</si>
  <si>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</si>
  <si>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</si>
  <si>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</si>
  <si>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</si>
  <si>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</si>
  <si>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</si>
  <si>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</si>
  <si>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</si>
  <si>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</si>
  <si>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</si>
  <si>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</si>
  <si>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</si>
  <si>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</si>
  <si>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</si>
  <si>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</si>
  <si>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</si>
  <si>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</si>
  <si>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</si>
  <si>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</si>
  <si>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</si>
  <si>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</si>
  <si>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</si>
  <si>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</si>
  <si>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</si>
  <si>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</si>
  <si>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</si>
  <si>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</si>
  <si>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</si>
  <si>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</si>
  <si>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</si>
  <si>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</si>
  <si>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</si>
  <si>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</si>
  <si>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</si>
  <si>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</si>
  <si>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</si>
  <si>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</si>
  <si>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</si>
  <si>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</si>
  <si>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</si>
  <si>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</si>
  <si>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</si>
  <si>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</si>
  <si>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</si>
  <si>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</si>
  <si>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</si>
  <si>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</si>
  <si>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</si>
  <si>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</si>
  <si>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</si>
  <si>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</si>
  <si>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</si>
  <si>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</si>
  <si>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</si>
  <si>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</si>
  <si>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</si>
  <si>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</si>
  <si>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</si>
  <si>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</si>
  <si>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</si>
  <si>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</si>
  <si>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</si>
  <si>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</si>
  <si>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</si>
  <si>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</si>
  <si>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</si>
  <si>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</si>
  <si>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</si>
  <si>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</si>
  <si>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</si>
  <si>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</si>
  <si>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</si>
  <si>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</si>
  <si>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</si>
  <si>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</si>
  <si>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</si>
  <si>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</si>
  <si>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</si>
  <si>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</si>
  <si>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</si>
  <si>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</si>
  <si>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</si>
  <si>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</si>
  <si>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</si>
  <si>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</si>
  <si>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</si>
  <si>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</si>
  <si>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</si>
  <si>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</si>
  <si>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</si>
  <si>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</si>
  <si>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</si>
  <si>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</si>
  <si>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</si>
  <si>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</si>
  <si>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</si>
  <si>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</si>
  <si>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</si>
  <si>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</si>
  <si>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</si>
  <si>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</si>
  <si>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</si>
  <si>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</si>
  <si>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</si>
  <si>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</si>
  <si>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</si>
  <si>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</si>
  <si>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</si>
  <si>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</si>
  <si>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</si>
  <si>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</si>
  <si>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</si>
  <si>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</si>
  <si>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</si>
  <si>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</si>
  <si>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</si>
  <si>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</si>
  <si>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</si>
  <si>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</si>
  <si>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</si>
  <si>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</si>
  <si>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</si>
  <si>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</si>
  <si>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</si>
  <si>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</si>
  <si>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</si>
  <si>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</si>
  <si>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</si>
  <si>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</si>
  <si>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</si>
  <si>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</si>
  <si>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</si>
  <si>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</si>
  <si>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</si>
  <si>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</si>
  <si>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</si>
  <si>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</si>
  <si>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</si>
  <si>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</si>
  <si>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</si>
  <si>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</si>
  <si>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</si>
  <si>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</si>
  <si>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</si>
  <si>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</si>
  <si>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</si>
  <si>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</si>
  <si>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</si>
  <si>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</si>
  <si>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</si>
  <si>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</si>
  <si>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</si>
  <si>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</si>
  <si>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</si>
  <si>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</si>
  <si>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</si>
  <si>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</si>
  <si>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</si>
  <si>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</si>
  <si>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</si>
  <si>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</si>
  <si>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</si>
  <si>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</si>
  <si>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</si>
  <si>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</si>
  <si>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</si>
  <si>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</si>
  <si>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</si>
  <si>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</si>
  <si>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</si>
  <si>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</si>
  <si>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</si>
  <si>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</si>
  <si>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</si>
  <si>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</si>
  <si>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</si>
  <si>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</si>
  <si>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</si>
  <si>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</si>
  <si>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</si>
  <si>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</si>
  <si>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</si>
  <si>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</si>
  <si>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</si>
  <si>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</si>
  <si>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</si>
  <si>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</si>
  <si>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</si>
  <si>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</si>
  <si>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</si>
  <si>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</si>
  <si>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</si>
  <si>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</si>
  <si>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</si>
  <si>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</si>
  <si>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</si>
  <si>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</si>
  <si>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</si>
  <si>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</si>
  <si>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</si>
  <si>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</si>
  <si>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</si>
  <si>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</si>
  <si>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</si>
  <si>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</si>
  <si>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</si>
  <si>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</si>
  <si>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</si>
  <si>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</si>
  <si>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</si>
  <si>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</si>
  <si>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</si>
  <si>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</si>
  <si>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</si>
  <si>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</si>
  <si>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</si>
  <si>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</si>
  <si>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</si>
  <si>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</si>
  <si>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</si>
  <si>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</si>
  <si>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</si>
  <si>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</si>
  <si>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</si>
  <si>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</si>
  <si>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</si>
  <si>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</si>
  <si>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</si>
  <si>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</si>
  <si>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</si>
  <si>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</si>
  <si>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</si>
  <si>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</si>
  <si>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</si>
  <si>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</si>
  <si>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</si>
  <si>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</si>
  <si>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</si>
  <si>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</si>
  <si>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</si>
  <si>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</si>
  <si>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</si>
  <si>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</si>
  <si>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</si>
  <si>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</si>
  <si>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</si>
  <si>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</si>
  <si>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</si>
  <si>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</si>
  <si>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</si>
  <si>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</si>
  <si>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</si>
  <si>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</si>
  <si>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</si>
  <si>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</si>
  <si>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</si>
  <si>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</si>
  <si>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</si>
  <si>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</si>
  <si>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</si>
  <si>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</si>
  <si>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</si>
  <si>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</si>
  <si>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</si>
  <si>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</si>
  <si>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</si>
  <si>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</si>
  <si>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</si>
  <si>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</si>
  <si>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</si>
  <si>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</si>
  <si>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</si>
  <si>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</si>
  <si>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</si>
  <si>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</si>
  <si>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</si>
  <si>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</si>
  <si>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</si>
  <si>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</si>
  <si>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</si>
  <si>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</si>
  <si>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</si>
  <si>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</si>
  <si>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</si>
  <si>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</si>
  <si>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</si>
  <si>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</si>
  <si>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</si>
  <si>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</si>
  <si>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</si>
  <si>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</si>
  <si>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</si>
  <si>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</si>
  <si>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</si>
  <si>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</si>
  <si>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</si>
  <si>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</si>
  <si>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</si>
  <si>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</si>
  <si>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</si>
  <si>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</si>
  <si>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</si>
  <si>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</si>
  <si>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</si>
  <si>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</si>
  <si>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</si>
  <si>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</si>
  <si>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</si>
  <si>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</si>
  <si>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</si>
  <si>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</si>
  <si>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</si>
  <si>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</si>
  <si>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</si>
  <si>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</si>
  <si>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</si>
  <si>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</si>
  <si>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</si>
  <si>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</si>
  <si>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</si>
  <si>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</si>
  <si>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</si>
  <si>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</si>
  <si>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</si>
  <si>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</si>
  <si>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</si>
  <si>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</si>
  <si>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</si>
  <si>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</si>
  <si>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</si>
  <si>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</si>
  <si>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</si>
  <si>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</si>
  <si>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</si>
  <si>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</si>
  <si>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</si>
  <si>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</si>
  <si>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</si>
  <si>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</si>
  <si>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</si>
  <si>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</si>
  <si>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</si>
  <si>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</si>
  <si>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</si>
  <si>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</si>
  <si>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</si>
  <si>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</si>
  <si>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</si>
  <si>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</si>
  <si>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</si>
  <si>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</si>
  <si>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</si>
  <si>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</si>
  <si>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</si>
  <si>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</si>
  <si>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</si>
  <si>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</si>
  <si>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</si>
  <si>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</si>
  <si>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</si>
  <si>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</si>
  <si>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</si>
  <si>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</si>
  <si>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</si>
  <si>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</si>
  <si>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</si>
  <si>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</si>
  <si>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</si>
  <si>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</si>
  <si>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</si>
  <si>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</si>
  <si>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</si>
  <si>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</si>
  <si>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</si>
  <si>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</si>
  <si>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</si>
  <si>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</si>
  <si>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</si>
  <si>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</si>
  <si>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</si>
  <si>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</si>
  <si>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</si>
  <si>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</si>
  <si>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</si>
  <si>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</si>
  <si>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</si>
  <si>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</si>
  <si>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</si>
  <si>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</si>
  <si>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</si>
  <si>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</si>
  <si>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</si>
  <si>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</si>
  <si>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</si>
  <si>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</si>
  <si>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</si>
  <si>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</si>
  <si>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</si>
  <si>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</si>
  <si>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</si>
  <si>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</si>
  <si>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</si>
  <si>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</si>
  <si>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</si>
  <si>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</si>
  <si>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</si>
  <si>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</si>
  <si>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</si>
  <si>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</si>
  <si>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</si>
  <si>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</si>
  <si>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</si>
  <si>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</si>
  <si>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</si>
  <si>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</si>
  <si>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</si>
  <si>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</si>
  <si>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</si>
  <si>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</si>
  <si>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</si>
  <si>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</si>
  <si>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</si>
  <si>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</si>
  <si>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</si>
  <si>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</si>
  <si>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</si>
  <si>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</si>
  <si>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</si>
  <si>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</si>
  <si>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</si>
  <si>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</si>
  <si>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</si>
  <si>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</si>
  <si>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</si>
  <si>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</si>
  <si>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</si>
  <si>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</si>
  <si>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</si>
  <si>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</si>
  <si>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</si>
  <si>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</si>
  <si>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</si>
  <si>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</si>
  <si>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</si>
  <si>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</si>
  <si>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</si>
  <si>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</si>
  <si>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</si>
  <si>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</si>
  <si>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</si>
  <si>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</si>
  <si>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</si>
  <si>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</si>
  <si>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</si>
  <si>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</si>
  <si>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</si>
  <si>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</si>
  <si>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</si>
  <si>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</si>
  <si>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</si>
  <si>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</si>
  <si>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</si>
  <si>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</si>
  <si>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</si>
  <si>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</si>
  <si>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</si>
  <si>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</si>
  <si>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</si>
  <si>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</si>
  <si>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</si>
  <si>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</si>
  <si>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</si>
  <si>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</si>
  <si>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</si>
  <si>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</si>
  <si>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</si>
  <si>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</si>
  <si>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</si>
  <si>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</si>
  <si>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</si>
  <si>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</si>
  <si>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</si>
  <si>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</si>
  <si>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</si>
  <si>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</si>
  <si>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</si>
  <si>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</si>
  <si>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</si>
  <si>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</si>
  <si>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</si>
  <si>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</si>
  <si>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</si>
  <si>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</si>
  <si>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</si>
  <si>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</si>
  <si>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</si>
  <si>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</si>
  <si>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</si>
  <si>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</si>
  <si>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</si>
  <si>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</si>
  <si>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</si>
  <si>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</si>
  <si>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</si>
  <si>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</si>
  <si>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</si>
  <si>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</si>
  <si>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</si>
  <si>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</si>
  <si>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</si>
  <si>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</si>
  <si>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</si>
  <si>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</si>
  <si>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</si>
  <si>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</si>
  <si>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</si>
  <si>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</si>
  <si>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</si>
  <si>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</si>
  <si>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</si>
  <si>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</si>
  <si>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</si>
  <si>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</si>
  <si>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</si>
  <si>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</si>
  <si>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</si>
  <si>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</si>
  <si>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</si>
  <si>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</si>
  <si>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</si>
  <si>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</si>
  <si>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</si>
  <si>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</si>
  <si>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</si>
  <si>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</si>
  <si>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</si>
  <si>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</si>
  <si>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</si>
  <si>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</si>
  <si>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</si>
  <si>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</si>
  <si>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</si>
  <si>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</si>
  <si>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</si>
  <si>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</si>
  <si>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</si>
  <si>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</si>
  <si>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</si>
  <si>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</si>
  <si>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</si>
  <si>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</si>
  <si>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</si>
  <si>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</si>
  <si>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</si>
  <si>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</si>
  <si>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</si>
  <si>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</si>
  <si>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</si>
  <si>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</si>
  <si>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</si>
  <si>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</si>
  <si>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</si>
  <si>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</si>
  <si>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</si>
  <si>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</si>
  <si>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</si>
  <si>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</si>
  <si>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</si>
  <si>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</si>
  <si>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</si>
  <si>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</si>
  <si>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</si>
  <si>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</si>
  <si>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</si>
  <si>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</si>
  <si>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</si>
  <si>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</si>
  <si>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</si>
  <si>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</si>
  <si>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</si>
  <si>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</si>
  <si>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</si>
  <si>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</si>
  <si>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</si>
  <si>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</si>
  <si>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</si>
  <si>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</si>
  <si>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</si>
  <si>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</si>
  <si>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</si>
  <si>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</si>
  <si>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</si>
  <si>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</si>
  <si>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</si>
  <si>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</si>
  <si>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</si>
  <si>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</si>
  <si>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</si>
  <si>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</si>
  <si>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</si>
  <si>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</si>
  <si>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</si>
  <si>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</si>
  <si>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</si>
  <si>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</si>
  <si>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</si>
  <si>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</si>
  <si>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</si>
  <si>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</si>
  <si>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</si>
  <si>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</si>
  <si>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</si>
  <si>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</si>
  <si>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</si>
  <si>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</si>
  <si>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</si>
  <si>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</si>
  <si>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</si>
  <si>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</si>
  <si>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</si>
  <si>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</si>
  <si>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</si>
  <si>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</si>
  <si>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</si>
  <si>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</si>
  <si>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</si>
  <si>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</si>
  <si>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</si>
  <si>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</si>
  <si>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</si>
  <si>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</si>
  <si>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</si>
  <si>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</si>
  <si>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</si>
  <si>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</si>
  <si>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</si>
  <si>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</si>
  <si>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</si>
  <si>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</si>
  <si>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</si>
  <si>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</si>
  <si>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</si>
  <si>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</si>
  <si>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</si>
  <si>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</si>
  <si>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</si>
  <si>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</si>
  <si>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</si>
  <si>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</si>
  <si>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</si>
  <si>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</si>
  <si>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</si>
  <si>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</si>
  <si>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</si>
  <si>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</si>
  <si>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</si>
  <si>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</si>
  <si>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</si>
  <si>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</si>
  <si>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</si>
  <si>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</si>
  <si>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</si>
  <si>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</si>
  <si>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</si>
  <si>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</si>
  <si>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</si>
  <si>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</si>
  <si>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</si>
  <si>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</si>
  <si>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</si>
  <si>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</si>
  <si>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</si>
  <si>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</si>
  <si>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</si>
  <si>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</si>
  <si>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</si>
  <si>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</si>
  <si>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</si>
  <si>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</si>
  <si>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</si>
  <si>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</si>
  <si>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</si>
  <si>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</si>
  <si>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</si>
  <si>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</si>
  <si>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</si>
  <si>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</si>
  <si>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</si>
  <si>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</si>
  <si>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</si>
  <si>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</si>
  <si>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</si>
  <si>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</si>
  <si>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</si>
  <si>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</si>
  <si>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</si>
  <si>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</si>
  <si>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</si>
  <si>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</si>
  <si>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</si>
  <si>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</si>
  <si>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</si>
  <si>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</si>
  <si>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</si>
  <si>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</si>
  <si>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</si>
  <si>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</si>
  <si>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</si>
  <si>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</si>
  <si>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</si>
  <si>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</si>
  <si>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</si>
  <si>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</si>
  <si>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</si>
  <si>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</si>
  <si>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</si>
  <si>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</si>
  <si>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</si>
  <si>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</si>
  <si>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</si>
  <si>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</si>
  <si>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</si>
  <si>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</si>
  <si>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</si>
  <si>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</si>
  <si>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</si>
  <si>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</si>
  <si>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</si>
  <si>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</si>
  <si>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</si>
  <si>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</si>
  <si>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</si>
  <si>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</si>
  <si>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</si>
  <si>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</si>
  <si>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</si>
  <si>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</si>
  <si>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</si>
  <si>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</si>
  <si>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</si>
  <si>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</si>
  <si>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</si>
  <si>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</si>
  <si>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</si>
  <si>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</si>
  <si>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</si>
  <si>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</si>
  <si>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</si>
  <si>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</si>
  <si>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</si>
  <si>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</si>
  <si>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</si>
  <si>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</si>
  <si>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</si>
  <si>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</si>
  <si>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</si>
  <si>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</si>
  <si>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</si>
  <si>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</si>
  <si>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</si>
  <si>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</si>
  <si>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</si>
  <si>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</si>
  <si>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</si>
  <si>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</si>
  <si>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</si>
  <si>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</si>
  <si>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</si>
  <si>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</si>
  <si>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</si>
  <si>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</si>
  <si>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</si>
  <si>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</si>
  <si>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</si>
  <si>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</si>
  <si>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</si>
  <si>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</si>
  <si>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</si>
  <si>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</si>
  <si>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</si>
  <si>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</si>
  <si>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</si>
  <si>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</si>
  <si>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</si>
  <si>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</si>
  <si>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</si>
  <si>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</si>
  <si>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</si>
  <si>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</si>
  <si>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</si>
  <si>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</si>
  <si>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</si>
  <si>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</si>
  <si>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</si>
  <si>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</si>
  <si>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</si>
  <si>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</si>
  <si>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</si>
  <si>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</si>
  <si>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</si>
  <si>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</si>
  <si>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</si>
  <si>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</si>
  <si>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</si>
  <si>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</si>
  <si>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</si>
  <si>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</si>
  <si>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</si>
  <si>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</si>
  <si>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</si>
  <si>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</si>
  <si>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</si>
  <si>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</si>
  <si>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</si>
  <si>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</si>
  <si>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</si>
  <si>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</si>
  <si>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</si>
  <si>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</si>
  <si>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</si>
  <si>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</si>
  <si>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</si>
  <si>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</si>
  <si>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</si>
  <si>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</si>
  <si>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</si>
  <si>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</si>
  <si>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</si>
  <si>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</si>
  <si>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</si>
  <si>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</si>
  <si>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</si>
  <si>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</si>
  <si>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</si>
  <si>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</si>
  <si>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</si>
  <si>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</si>
  <si>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</si>
  <si>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</si>
  <si>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</si>
  <si>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</si>
  <si>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</si>
  <si>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</si>
  <si>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</si>
  <si>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</si>
  <si>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</si>
  <si>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</si>
  <si>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</si>
  <si>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</si>
  <si>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</si>
  <si>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</si>
  <si>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</si>
  <si>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</si>
  <si>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</si>
  <si>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</si>
  <si>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</si>
  <si>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</si>
  <si>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</si>
  <si>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</si>
  <si>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</si>
  <si>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</si>
  <si>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</si>
  <si>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</si>
  <si>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</si>
  <si>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</si>
  <si>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</si>
  <si>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</si>
  <si>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</si>
  <si>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</si>
  <si>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</si>
  <si>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</si>
  <si>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</si>
  <si>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</si>
  <si>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</si>
  <si>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</si>
  <si>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</si>
  <si>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</si>
  <si>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</si>
  <si>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</si>
  <si>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</si>
  <si>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</si>
  <si>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</si>
  <si>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</si>
  <si>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</si>
  <si>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</si>
  <si>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</si>
  <si>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</si>
  <si>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</si>
  <si>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</si>
  <si>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</si>
  <si>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</si>
  <si>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</si>
  <si>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</si>
  <si>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</si>
  <si>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</si>
  <si>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</si>
  <si>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</si>
  <si>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</si>
  <si>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</si>
  <si>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</si>
  <si>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</si>
  <si>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</si>
  <si>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</si>
  <si>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</si>
  <si>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</si>
  <si>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</si>
  <si>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</si>
  <si>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</si>
  <si>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</si>
  <si>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</si>
  <si>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</si>
  <si>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</si>
  <si>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</si>
  <si>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</si>
  <si>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</si>
  <si>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</si>
  <si>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</si>
  <si>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</si>
  <si>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</si>
  <si>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</si>
  <si>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</si>
  <si>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</si>
  <si>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</si>
  <si>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</si>
  <si>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</si>
  <si>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</si>
  <si>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</si>
  <si>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</si>
  <si>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</si>
  <si>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</si>
  <si>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</si>
  <si>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</si>
  <si>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</si>
  <si>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</si>
  <si>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</si>
  <si>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</si>
  <si>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</si>
  <si>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</si>
  <si>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</si>
  <si>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</si>
  <si>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</si>
  <si>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</si>
  <si>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</si>
  <si>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</si>
  <si>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</si>
  <si>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</si>
  <si>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</si>
  <si>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</si>
  <si>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</si>
  <si>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</si>
  <si>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</si>
  <si>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</si>
  <si>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</si>
  <si>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</si>
  <si>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</si>
  <si>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</si>
  <si>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</si>
  <si>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</si>
  <si>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</si>
  <si>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</si>
  <si>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</si>
  <si>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</si>
  <si>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</si>
  <si>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</si>
  <si>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</si>
  <si>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</si>
  <si>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</si>
  <si>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</si>
  <si>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</si>
  <si>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</si>
  <si>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</si>
  <si>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</si>
  <si>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</si>
  <si>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</si>
  <si>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</si>
  <si>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</si>
  <si>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</si>
  <si>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</si>
  <si>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</si>
  <si>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</si>
  <si>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</si>
  <si>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</si>
  <si>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</si>
  <si>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</si>
  <si>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</si>
  <si>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</si>
  <si>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</si>
  <si>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</si>
  <si>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</si>
  <si>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</si>
  <si>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</si>
  <si>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</si>
  <si>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</si>
  <si>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</si>
  <si>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</si>
  <si>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</si>
  <si>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</si>
  <si>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</si>
  <si>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</si>
  <si>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</si>
  <si>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</si>
  <si>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</si>
  <si>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</si>
  <si>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</si>
  <si>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</si>
  <si>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</si>
  <si>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</si>
  <si>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</si>
  <si>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</si>
  <si>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</si>
  <si>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</si>
  <si>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</si>
  <si>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</si>
  <si>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</si>
  <si>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</si>
  <si>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</si>
  <si>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</si>
  <si>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</si>
  <si>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</si>
  <si>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</si>
  <si>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</si>
  <si>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</si>
  <si>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</si>
  <si>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</si>
  <si>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</si>
  <si>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</si>
  <si>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</si>
  <si>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</si>
  <si>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</si>
  <si>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</si>
  <si>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</si>
  <si>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</si>
  <si>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</si>
  <si>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</si>
  <si>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</si>
  <si>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</si>
  <si>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</si>
  <si>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</si>
  <si>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</si>
  <si>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</si>
  <si>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</si>
  <si>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</si>
  <si>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</si>
  <si>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</si>
  <si>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</si>
  <si>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</si>
  <si>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</si>
  <si>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</si>
  <si>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</si>
  <si>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</si>
  <si>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</si>
  <si>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</si>
  <si>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</si>
  <si>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</si>
  <si>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</si>
  <si>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</si>
  <si>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</si>
  <si>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</si>
  <si>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</si>
  <si>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</si>
  <si>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</si>
  <si>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</si>
  <si>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</si>
  <si>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</si>
  <si>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</si>
  <si>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</si>
  <si>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</si>
  <si>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</si>
  <si>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</si>
  <si>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</si>
  <si>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</si>
  <si>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</si>
  <si>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</si>
  <si>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</si>
  <si>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</si>
  <si>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</si>
  <si>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</si>
  <si>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</si>
  <si>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</si>
  <si>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</si>
  <si>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</si>
  <si>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</si>
  <si>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</si>
  <si>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</si>
  <si>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</si>
  <si>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</si>
  <si>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</si>
  <si>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</si>
  <si>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</si>
  <si>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</si>
  <si>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</si>
  <si>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</si>
  <si>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</si>
  <si>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</si>
  <si>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</si>
  <si>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</si>
  <si>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</si>
  <si>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</si>
  <si>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</si>
  <si>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</si>
  <si>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</si>
  <si>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</si>
  <si>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</si>
  <si>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</si>
  <si>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</si>
  <si>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</si>
  <si>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</si>
  <si>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</si>
  <si>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</si>
  <si>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</si>
  <si>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</si>
  <si>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</si>
  <si>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</si>
  <si>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</si>
  <si>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</si>
  <si>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</si>
  <si>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</si>
  <si>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</si>
  <si>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</si>
  <si>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</si>
  <si>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</si>
  <si>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</si>
  <si>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</si>
  <si>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</si>
  <si>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</si>
  <si>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</si>
  <si>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</si>
  <si>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</si>
  <si>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</si>
  <si>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</si>
  <si>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</si>
  <si>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</si>
  <si>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</si>
  <si>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</si>
  <si>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</si>
  <si>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</si>
  <si>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</si>
  <si>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</si>
  <si>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</si>
  <si>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</si>
  <si>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</si>
  <si>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</si>
  <si>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</si>
  <si>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</si>
  <si>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</si>
  <si>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</si>
  <si>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</si>
  <si>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</si>
  <si>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</si>
  <si>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</si>
  <si>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</si>
  <si>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</si>
  <si>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</si>
  <si>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</si>
  <si>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</si>
  <si>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</si>
  <si>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</si>
  <si>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</si>
  <si>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</si>
  <si>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</si>
  <si>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</si>
  <si>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</si>
  <si>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</si>
  <si>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</si>
  <si>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</si>
  <si>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</si>
  <si>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</si>
  <si>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</si>
  <si>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</si>
  <si>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</si>
  <si>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</si>
  <si>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</si>
  <si>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</si>
  <si>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</si>
  <si>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</si>
  <si>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</si>
  <si>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</si>
  <si>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</si>
  <si>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</si>
  <si>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</si>
  <si>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</si>
  <si>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</si>
  <si>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</si>
  <si>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</si>
  <si>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</si>
  <si>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</si>
  <si>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</si>
  <si>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</si>
  <si>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</si>
  <si>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</si>
  <si>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</si>
  <si>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</si>
  <si>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</si>
  <si>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</si>
  <si>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</si>
  <si>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</si>
  <si>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</si>
  <si>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</si>
  <si>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</si>
  <si>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</si>
  <si>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</si>
  <si>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</si>
  <si>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</si>
  <si>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</si>
  <si>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</si>
  <si>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</si>
  <si>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</si>
  <si>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</si>
  <si>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</si>
  <si>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</si>
  <si>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</si>
  <si>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</si>
  <si>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</si>
  <si>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</si>
  <si>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</si>
  <si>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</si>
  <si>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</si>
  <si>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</si>
  <si>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</si>
  <si>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</si>
  <si>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</si>
  <si>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</si>
  <si>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</si>
  <si>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</si>
  <si>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</si>
  <si>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</si>
  <si>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</si>
  <si>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</si>
  <si>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</si>
  <si>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</si>
  <si>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</si>
  <si>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</si>
  <si>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</si>
  <si>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</si>
  <si>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</si>
  <si>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</si>
  <si>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</si>
  <si>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</si>
  <si>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</si>
  <si>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</si>
  <si>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</si>
  <si>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</si>
  <si>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</si>
  <si>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</si>
  <si>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</si>
  <si>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</si>
  <si>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</si>
  <si>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</si>
  <si>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</si>
  <si>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</si>
  <si>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</si>
  <si>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</si>
  <si>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</si>
  <si>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</si>
  <si>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</si>
  <si>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</si>
  <si>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</si>
  <si>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</si>
  <si>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</si>
  <si>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</si>
  <si>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</si>
  <si>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</si>
  <si>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</si>
  <si>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</si>
  <si>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</si>
  <si>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</si>
  <si>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</si>
  <si>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</si>
  <si>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</si>
  <si>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</si>
  <si>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</si>
  <si>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</si>
  <si>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</si>
  <si>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</si>
  <si>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</si>
  <si>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</si>
  <si>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</si>
  <si>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</si>
  <si>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</si>
  <si>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</si>
  <si>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</si>
  <si>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</si>
  <si>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</si>
  <si>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</si>
  <si>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</si>
  <si>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</si>
  <si>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</si>
  <si>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</si>
  <si>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</si>
  <si>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</si>
  <si>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</si>
  <si>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</si>
  <si>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</si>
  <si>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</si>
  <si>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</si>
  <si>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</si>
  <si>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</si>
  <si>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</si>
  <si>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</si>
  <si>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</si>
  <si>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</si>
  <si>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</si>
  <si>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</si>
  <si>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</si>
  <si>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</si>
  <si>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</si>
  <si>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</si>
  <si>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</si>
  <si>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</si>
  <si>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</si>
  <si>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</si>
  <si>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</si>
  <si>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</si>
  <si>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</si>
  <si>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</si>
  <si>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</si>
  <si>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</si>
  <si>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</si>
  <si>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</si>
  <si>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</si>
  <si>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</si>
  <si>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</si>
  <si>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</si>
  <si>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</si>
  <si>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</si>
  <si>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</si>
  <si>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</si>
  <si>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</si>
  <si>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</si>
  <si>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</si>
  <si>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</si>
  <si>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</si>
  <si>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</si>
  <si>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</si>
  <si>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</si>
  <si>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</si>
  <si>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</si>
  <si>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</si>
  <si>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</si>
  <si>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</si>
  <si>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</si>
  <si>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</si>
  <si>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</si>
  <si>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</si>
  <si>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</si>
  <si>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</si>
  <si>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</si>
  <si>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</si>
  <si>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</si>
  <si>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</si>
  <si>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</si>
  <si>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</si>
  <si>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</si>
  <si>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</si>
  <si>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</si>
  <si>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</si>
  <si>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</si>
  <si>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</si>
  <si>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</si>
  <si>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</si>
  <si>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</si>
  <si>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</si>
  <si>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</si>
  <si>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</si>
  <si>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</si>
  <si>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</si>
  <si>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</si>
  <si>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</si>
  <si>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</si>
  <si>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</si>
  <si>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</si>
  <si>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</si>
  <si>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</si>
  <si>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</si>
  <si>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</si>
  <si>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</si>
  <si>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</si>
  <si>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</si>
  <si>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</si>
  <si>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</si>
  <si>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</si>
  <si>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</si>
  <si>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</si>
  <si>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</si>
  <si>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</si>
  <si>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</si>
  <si>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</si>
  <si>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</si>
  <si>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</si>
  <si>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</si>
  <si>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</si>
  <si>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</si>
  <si>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</si>
  <si>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</si>
  <si>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</si>
  <si>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</si>
  <si>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</si>
  <si>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</si>
  <si>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</si>
  <si>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</si>
  <si>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</si>
  <si>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</si>
  <si>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</si>
  <si>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</si>
  <si>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</si>
  <si>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</si>
  <si>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</si>
  <si>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</si>
  <si>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</si>
  <si>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</si>
  <si>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</si>
  <si>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</si>
  <si>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</si>
  <si>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</si>
  <si>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</si>
  <si>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</si>
  <si>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</si>
  <si>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</si>
  <si>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</si>
  <si>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</si>
  <si>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</si>
  <si>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</si>
  <si>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</si>
  <si>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</si>
  <si>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</si>
  <si>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</si>
  <si>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</si>
  <si>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</si>
  <si>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</si>
  <si>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</si>
  <si>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</si>
  <si>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</si>
  <si>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</si>
  <si>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</si>
  <si>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</si>
  <si>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</si>
  <si>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</si>
  <si>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</si>
  <si>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</si>
  <si>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</si>
  <si>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</si>
  <si>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</si>
  <si>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</si>
  <si>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</si>
  <si>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</si>
  <si>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</si>
  <si>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</si>
  <si>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</si>
  <si>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</si>
  <si>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</si>
  <si>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</si>
  <si>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</si>
  <si>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</si>
  <si>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</si>
  <si>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</si>
  <si>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</si>
  <si>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</si>
  <si>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</si>
  <si>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</si>
  <si>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</si>
  <si>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</si>
  <si>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</si>
  <si>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</si>
  <si>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</si>
  <si>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</si>
  <si>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</si>
  <si>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</si>
  <si>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</si>
  <si>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</si>
  <si>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</si>
  <si>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</si>
  <si>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</si>
  <si>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</si>
  <si>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</si>
  <si>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</si>
  <si>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</si>
  <si>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</si>
  <si>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</si>
  <si>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</si>
  <si>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</si>
  <si>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</si>
  <si>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</si>
  <si>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</si>
  <si>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</si>
  <si>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</si>
  <si>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</si>
  <si>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</si>
  <si>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</si>
  <si>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</si>
  <si>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</si>
  <si>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</si>
  <si>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</si>
  <si>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</si>
  <si>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</si>
  <si>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</si>
  <si>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</si>
  <si>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</si>
  <si>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</si>
  <si>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</si>
  <si>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</si>
  <si>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</si>
  <si>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</si>
  <si>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</si>
  <si>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</si>
  <si>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</si>
  <si>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</si>
  <si>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</si>
  <si>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</si>
  <si>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</si>
  <si>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</si>
  <si>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</si>
  <si>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</si>
  <si>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</si>
  <si>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</si>
  <si>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</si>
  <si>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</si>
  <si>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</si>
  <si>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</si>
  <si>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</si>
  <si>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</si>
  <si>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</si>
  <si>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</si>
  <si>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</si>
  <si>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</si>
  <si>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</si>
  <si>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</si>
  <si>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</si>
  <si>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</si>
  <si>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</si>
  <si>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</si>
  <si>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</si>
  <si>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</si>
  <si>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</si>
  <si>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</si>
  <si>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</si>
  <si>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</si>
  <si>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</si>
  <si>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</si>
  <si>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</si>
  <si>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</si>
  <si>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</si>
  <si>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</si>
  <si>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</si>
  <si>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</si>
  <si>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</si>
  <si>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</si>
  <si>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</si>
  <si>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</si>
  <si>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</si>
  <si>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</si>
  <si>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</si>
  <si>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</si>
  <si>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</si>
  <si>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</si>
  <si>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</si>
  <si>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</si>
  <si>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</si>
  <si>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</si>
  <si>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</si>
  <si>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</si>
  <si>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</si>
  <si>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</si>
  <si>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</si>
  <si>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</si>
  <si>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</si>
  <si>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</si>
  <si>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</si>
  <si>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</si>
  <si>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</si>
  <si>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</si>
  <si>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</si>
  <si>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</si>
  <si>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</si>
  <si>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</si>
  <si>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</si>
  <si>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</si>
  <si>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</si>
  <si>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</si>
  <si>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</si>
  <si>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</si>
  <si>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</si>
  <si>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</si>
  <si>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</si>
  <si>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</si>
  <si>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</si>
  <si>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</si>
  <si>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</si>
  <si>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</si>
  <si>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</si>
  <si>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</si>
  <si>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</si>
  <si>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</si>
  <si>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</si>
  <si>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</si>
  <si>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</si>
  <si>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</si>
  <si>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</si>
  <si>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</si>
  <si>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</si>
  <si>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</si>
  <si>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</si>
  <si>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</si>
  <si>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</si>
  <si>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</si>
  <si>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</si>
  <si>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</si>
  <si>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</si>
  <si>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</si>
  <si>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</si>
  <si>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</si>
  <si>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</si>
  <si>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</si>
  <si>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</si>
  <si>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</si>
  <si>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</si>
  <si>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</si>
  <si>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</si>
  <si>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</si>
  <si>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</si>
  <si>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</si>
  <si>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</si>
  <si>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</si>
  <si>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</si>
  <si>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</si>
  <si>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</si>
  <si>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</si>
  <si>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</si>
  <si>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</si>
  <si>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</si>
  <si>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</si>
  <si>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</si>
  <si>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</si>
  <si>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</si>
  <si>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</si>
  <si>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</si>
  <si>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</si>
  <si>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</si>
  <si>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</si>
  <si>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</si>
  <si>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</si>
  <si>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</si>
  <si>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</si>
  <si>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</si>
  <si>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</si>
  <si>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</si>
  <si>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</si>
  <si>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</si>
  <si>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</si>
  <si>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</si>
  <si>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</si>
  <si>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</si>
  <si>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</si>
  <si>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</si>
  <si>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</si>
  <si>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</si>
  <si>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</si>
  <si>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</si>
  <si>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</si>
  <si>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</si>
  <si>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</si>
  <si>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</si>
  <si>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</si>
  <si>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</si>
  <si>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</si>
  <si>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</si>
  <si>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</si>
  <si>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</si>
  <si>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</si>
  <si>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</si>
  <si>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</si>
  <si>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</si>
  <si>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</si>
  <si>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</si>
  <si>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</si>
  <si>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</si>
  <si>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</si>
  <si>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</si>
  <si>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</si>
  <si>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</si>
  <si>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</si>
  <si>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</si>
  <si>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</si>
  <si>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</si>
  <si>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</si>
  <si>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</si>
  <si>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</si>
  <si>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</si>
  <si>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</si>
  <si>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</si>
  <si>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</si>
  <si>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</si>
  <si>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</si>
  <si>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</si>
  <si>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</si>
  <si>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</si>
  <si>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</si>
  <si>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</si>
  <si>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</si>
  <si>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</si>
  <si>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</si>
  <si>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</si>
  <si>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</si>
  <si>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</si>
  <si>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</si>
  <si>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</si>
  <si>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</si>
  <si>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</si>
  <si>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</si>
  <si>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</si>
  <si>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</si>
  <si>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</si>
  <si>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</si>
  <si>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</si>
  <si>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</si>
  <si>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</si>
  <si>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</si>
  <si>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</si>
  <si>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</si>
  <si>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</si>
  <si>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</si>
  <si>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</si>
  <si>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</si>
  <si>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</si>
  <si>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</si>
  <si>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</si>
  <si>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</si>
  <si>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</si>
  <si>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</si>
  <si>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</si>
  <si>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</si>
  <si>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</si>
  <si>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</si>
  <si>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</si>
  <si>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</si>
  <si>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</si>
  <si>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</si>
  <si>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</si>
  <si>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</si>
  <si>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</si>
  <si>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</si>
  <si>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</si>
  <si>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</si>
  <si>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</si>
  <si>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</si>
  <si>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</si>
  <si>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</si>
  <si>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</si>
  <si>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</si>
  <si>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</si>
  <si>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</si>
  <si>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</si>
  <si>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</si>
  <si>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</si>
  <si>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</si>
  <si>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</si>
  <si>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</si>
  <si>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</si>
  <si>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</si>
  <si>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</si>
  <si>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</si>
  <si>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</si>
  <si>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</si>
  <si>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</si>
  <si>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</si>
  <si>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</si>
  <si>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</si>
  <si>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</si>
  <si>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</si>
  <si>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</si>
  <si>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</si>
  <si>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</si>
  <si>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</si>
  <si>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</si>
  <si>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</si>
  <si>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</si>
  <si>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</si>
  <si>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</si>
  <si>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</si>
  <si>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</si>
  <si>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</si>
  <si>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</si>
  <si>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</si>
  <si>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</si>
  <si>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</si>
  <si>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</si>
  <si>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</si>
  <si>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</si>
  <si>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</si>
  <si>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</si>
  <si>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</si>
  <si>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</si>
  <si>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</si>
  <si>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</si>
  <si>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</si>
  <si>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</si>
  <si>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</si>
  <si>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</si>
  <si>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</si>
  <si>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</si>
  <si>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</si>
  <si>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</si>
  <si>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</si>
  <si>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</si>
  <si>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</si>
  <si>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</si>
  <si>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</si>
  <si>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</si>
  <si>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</si>
  <si>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</si>
  <si>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</si>
  <si>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</si>
  <si>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</si>
  <si>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</si>
  <si>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</si>
  <si>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</si>
  <si>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</si>
  <si>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</si>
  <si>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</si>
  <si>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</si>
  <si>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</si>
  <si>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</si>
  <si>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</si>
  <si>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</si>
  <si>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</si>
  <si>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</si>
  <si>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</si>
  <si>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</si>
  <si>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</si>
  <si>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</si>
  <si>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</si>
  <si>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</si>
  <si>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</si>
  <si>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</si>
  <si>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</si>
  <si>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</si>
  <si>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</si>
  <si>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</si>
  <si>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</si>
  <si>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</si>
  <si>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</si>
  <si>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</si>
  <si>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</si>
  <si>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</si>
  <si>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</si>
  <si>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</si>
  <si>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</si>
  <si>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</si>
  <si>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</si>
  <si>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</si>
  <si>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</si>
  <si>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</si>
  <si>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</si>
  <si>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</si>
  <si>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</si>
  <si>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</si>
  <si>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</si>
  <si>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</si>
  <si>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</si>
  <si>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</si>
  <si>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</si>
  <si>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</si>
  <si>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</si>
  <si>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</si>
  <si>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</si>
  <si>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</si>
  <si>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</si>
  <si>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</si>
  <si>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</si>
  <si>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</si>
  <si>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</si>
  <si>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</si>
  <si>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</si>
  <si>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</si>
  <si>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</si>
  <si>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</si>
  <si>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</si>
  <si>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</si>
  <si>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</si>
  <si>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</si>
  <si>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</si>
  <si>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</si>
  <si>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</si>
  <si>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</si>
  <si>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</si>
  <si>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</si>
  <si>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</si>
  <si>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</si>
  <si>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</si>
  <si>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</si>
  <si>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</si>
  <si>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</si>
  <si>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</si>
  <si>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</si>
  <si>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</si>
  <si>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</si>
  <si>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</si>
  <si>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</si>
  <si>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</si>
  <si>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</si>
  <si>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</si>
  <si>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</si>
  <si>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</si>
  <si>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</si>
  <si>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</si>
  <si>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</si>
  <si>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</si>
  <si>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</si>
  <si>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</si>
  <si>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</si>
  <si>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</si>
  <si>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</si>
  <si>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</si>
  <si>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</si>
  <si>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</si>
  <si>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</si>
  <si>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</si>
  <si>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</si>
  <si>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</si>
  <si>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</si>
  <si>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</si>
  <si>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</si>
  <si>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</si>
  <si>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</si>
  <si>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</si>
  <si>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</si>
  <si>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</si>
  <si>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</si>
  <si>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</si>
  <si>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</si>
  <si>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</si>
  <si>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</si>
  <si>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</si>
  <si>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</si>
  <si>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</si>
  <si>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</si>
  <si>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</si>
  <si>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</si>
  <si>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</si>
  <si>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</si>
  <si>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</si>
  <si>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</si>
  <si>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</si>
  <si>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</si>
  <si>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</si>
  <si>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</si>
  <si>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</si>
  <si>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</si>
  <si>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</si>
  <si>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</si>
  <si>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</si>
  <si>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</si>
  <si>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</si>
  <si>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</si>
  <si>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</si>
  <si>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</si>
  <si>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</si>
  <si>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</si>
  <si>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</si>
  <si>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</si>
  <si>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</si>
  <si>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</si>
  <si>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</si>
  <si>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</si>
  <si>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</si>
  <si>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</si>
  <si>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</si>
  <si>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</si>
  <si>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</si>
  <si>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</si>
  <si>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</si>
  <si>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</si>
  <si>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</si>
  <si>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</si>
  <si>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</si>
  <si>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</si>
  <si>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</si>
  <si>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</si>
  <si>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</si>
  <si>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</si>
  <si>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</si>
  <si>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</si>
  <si>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</si>
  <si>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</si>
  <si>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</si>
  <si>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</si>
  <si>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</si>
  <si>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</si>
  <si>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</si>
  <si>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</si>
  <si>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</si>
  <si>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</si>
  <si>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</si>
  <si>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</si>
  <si>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</si>
  <si>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</si>
  <si>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</si>
  <si>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</si>
  <si>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</si>
  <si>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</si>
  <si>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</si>
  <si>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</si>
  <si>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</si>
  <si>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</si>
  <si>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</si>
  <si>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</si>
  <si>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</si>
  <si>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</si>
  <si>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</si>
  <si>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</si>
  <si>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</si>
  <si>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</si>
  <si>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</si>
  <si>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</si>
  <si>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</si>
  <si>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</si>
  <si>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</si>
  <si>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</si>
  <si>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</si>
  <si>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</si>
  <si>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</si>
  <si>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</si>
  <si>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</si>
  <si>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</si>
  <si>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</si>
  <si>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</si>
  <si>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</si>
  <si>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</si>
  <si>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</si>
  <si>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</si>
  <si>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</si>
  <si>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</si>
  <si>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</si>
  <si>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</si>
  <si>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</si>
  <si>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</si>
  <si>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</si>
  <si>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</si>
  <si>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</si>
  <si>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</si>
  <si>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</si>
  <si>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</si>
  <si>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</si>
  <si>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</si>
  <si>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</si>
  <si>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</si>
  <si>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</si>
  <si>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</si>
  <si>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</si>
  <si>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</si>
  <si>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</si>
  <si>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</si>
  <si>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</si>
  <si>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</si>
  <si>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</si>
  <si>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</si>
  <si>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</si>
  <si>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</si>
  <si>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</si>
  <si>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</si>
  <si>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</si>
  <si>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</si>
  <si>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</si>
  <si>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</si>
  <si>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</si>
  <si>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</si>
  <si>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</si>
  <si>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</si>
  <si>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</si>
  <si>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</si>
  <si>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</si>
  <si>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</si>
  <si>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</si>
  <si>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</si>
  <si>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</si>
  <si>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</si>
  <si>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</si>
  <si>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</si>
  <si>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</si>
  <si>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</si>
  <si>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</si>
  <si>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</si>
  <si>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</si>
  <si>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</si>
  <si>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</si>
  <si>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</si>
  <si>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</si>
  <si>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</si>
  <si>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</si>
  <si>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</si>
  <si>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</si>
  <si>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</si>
  <si>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</si>
  <si>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</si>
  <si>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</si>
  <si>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</si>
  <si>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</si>
  <si>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</si>
  <si>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</si>
  <si>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</si>
  <si>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</si>
  <si>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</si>
  <si>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</si>
  <si>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</si>
  <si>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</si>
  <si>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</si>
  <si>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</si>
  <si>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</si>
  <si>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</si>
  <si>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</si>
  <si>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</si>
  <si>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</si>
  <si>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</si>
  <si>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</si>
  <si>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</si>
  <si>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</si>
  <si>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</si>
  <si>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</si>
  <si>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</si>
  <si>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</si>
  <si>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</si>
  <si>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</si>
  <si>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</si>
  <si>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</si>
  <si>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</si>
  <si>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</si>
  <si>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</si>
  <si>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</si>
  <si>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</si>
  <si>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</si>
  <si>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</si>
  <si>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</si>
  <si>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</si>
  <si>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</si>
  <si>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</si>
  <si>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</si>
  <si>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</si>
  <si>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</si>
  <si>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</si>
  <si>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</si>
  <si>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</si>
  <si>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</si>
  <si>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</si>
  <si>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</si>
  <si>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</si>
  <si>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</si>
  <si>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</si>
  <si>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</si>
  <si>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</si>
  <si>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</si>
  <si>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</si>
  <si>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</si>
  <si>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</si>
  <si>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</si>
  <si>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</si>
  <si>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</si>
  <si>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</si>
  <si>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</si>
  <si>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</si>
  <si>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</si>
  <si>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</si>
  <si>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</si>
  <si>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</si>
  <si>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</si>
  <si>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</si>
  <si>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</si>
  <si>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</si>
  <si>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</si>
  <si>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</si>
  <si>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</si>
  <si>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</si>
  <si>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</si>
  <si>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</si>
  <si>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</si>
  <si>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</si>
  <si>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</si>
  <si>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</si>
  <si>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</si>
  <si>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</si>
  <si>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</si>
  <si>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</si>
  <si>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</si>
  <si>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</si>
  <si>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</si>
  <si>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</si>
  <si>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</si>
  <si>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</si>
  <si>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</si>
  <si>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</si>
  <si>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</si>
  <si>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</si>
  <si>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</si>
  <si>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</si>
  <si>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</si>
  <si>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</si>
  <si>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</si>
  <si>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</si>
  <si>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</si>
  <si>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</si>
  <si>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</si>
  <si>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</si>
  <si>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</si>
  <si>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</si>
  <si>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</si>
  <si>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</si>
  <si>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</si>
  <si>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</si>
  <si>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</si>
  <si>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</si>
  <si>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</si>
  <si>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</si>
  <si>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</si>
  <si>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</si>
  <si>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</si>
  <si>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</si>
  <si>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</si>
  <si>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</si>
  <si>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</si>
  <si>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</si>
  <si>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</si>
  <si>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</si>
  <si>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</si>
  <si>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</si>
  <si>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</si>
  <si>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</si>
  <si>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</si>
  <si>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</si>
  <si>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</si>
  <si>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</si>
  <si>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</si>
  <si>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</si>
  <si>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</si>
  <si>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</si>
  <si>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</si>
  <si>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</si>
  <si>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</si>
  <si>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</si>
  <si>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</si>
  <si>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</si>
  <si>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</si>
  <si>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</si>
  <si>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</si>
  <si>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</si>
  <si>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</si>
  <si>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</si>
  <si>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</si>
  <si>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</si>
  <si>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</si>
  <si>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</si>
  <si>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</si>
  <si>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</si>
  <si>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</si>
  <si>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</si>
  <si>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</si>
  <si>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</si>
  <si>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</si>
  <si>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</si>
  <si>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</si>
  <si>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</si>
  <si>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</si>
  <si>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</si>
  <si>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</si>
  <si>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</si>
  <si>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</si>
  <si>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</si>
  <si>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</si>
  <si>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</si>
  <si>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</si>
  <si>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</si>
  <si>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</si>
  <si>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</si>
  <si>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</si>
  <si>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</si>
  <si>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</si>
  <si>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</si>
  <si>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</si>
  <si>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</si>
  <si>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</si>
  <si>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</si>
  <si>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</si>
  <si>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</si>
  <si>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</si>
  <si>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</si>
  <si>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</si>
  <si>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</si>
  <si>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</si>
  <si>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</si>
  <si>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</si>
  <si>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</si>
  <si>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</si>
  <si>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</si>
  <si>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</si>
  <si>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</si>
  <si>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</si>
  <si>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</si>
  <si>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</si>
  <si>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</si>
  <si>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</si>
  <si>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</si>
  <si>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</si>
  <si>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</si>
  <si>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</si>
  <si>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</si>
  <si>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</si>
  <si>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</si>
  <si>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</si>
  <si>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</si>
  <si>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</si>
  <si>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</si>
  <si>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</si>
  <si>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</si>
  <si>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</si>
  <si>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</si>
  <si>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</si>
  <si>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</si>
  <si>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</si>
  <si>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</si>
  <si>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</si>
  <si>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</si>
  <si>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</si>
  <si>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</si>
  <si>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</si>
  <si>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</si>
  <si>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</si>
  <si>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</si>
  <si>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</si>
  <si>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</si>
  <si>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</si>
  <si>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</si>
  <si>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</si>
  <si>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</si>
  <si>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</si>
  <si>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</si>
  <si>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</si>
  <si>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</si>
  <si>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</si>
  <si>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</si>
  <si>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</si>
  <si>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</si>
  <si>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</si>
  <si>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</si>
  <si>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</si>
  <si>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</si>
  <si>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</si>
  <si>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</si>
  <si>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</si>
  <si>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</si>
  <si>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</si>
  <si>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</si>
  <si>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</si>
  <si>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</si>
  <si>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</si>
  <si>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</si>
  <si>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</si>
  <si>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</si>
  <si>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</si>
  <si>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</si>
  <si>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</si>
  <si>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</si>
  <si>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</si>
  <si>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</si>
  <si>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</si>
  <si>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</si>
  <si>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</si>
  <si>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</si>
  <si>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</si>
  <si>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</si>
  <si>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</si>
  <si>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</si>
  <si>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</si>
  <si>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</si>
  <si>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</si>
  <si>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</si>
  <si>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</si>
  <si>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</si>
  <si>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</si>
  <si>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</si>
  <si>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</si>
  <si>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</si>
  <si>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</si>
  <si>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</si>
  <si>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</si>
  <si>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</si>
  <si>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</si>
  <si>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办公楼</t>
  </si>
  <si>
    <t>是</t>
  </si>
  <si>
    <t>办公</t>
    <phoneticPr fontId="7" type="noConversion"/>
  </si>
  <si>
    <t>收益法 (元)</t>
  </si>
  <si>
    <t>金融街长安中心‘</t>
    <phoneticPr fontId="134" type="noConversion"/>
  </si>
  <si>
    <t>绿地环球文化金融城</t>
    <phoneticPr fontId="134" type="noConversion"/>
  </si>
  <si>
    <t>比较法-办公</t>
  </si>
  <si>
    <t>高区</t>
  </si>
  <si>
    <t>中区</t>
  </si>
  <si>
    <t>询价函</t>
    <phoneticPr fontId="8" type="noConversion"/>
  </si>
  <si>
    <t>项目局部</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</si>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</sst>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179" fontId="44" fillId="23"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6</xdr:col>
      <xdr:colOff>589736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6</xdr:col>
      <xdr:colOff>475450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twoCellAnchor editAs="oneCell">
    <xdr:from>
      <xdr:col>8</xdr:col>
      <xdr:colOff>0</xdr:colOff>
      <xdr:row>6</xdr:row>
      <xdr:rowOff>0</xdr:rowOff>
    </xdr:from>
    <xdr:to>
      <xdr:col>11</xdr:col>
      <xdr:colOff>504505</xdr:colOff>
      <xdr:row>44</xdr:row>
      <xdr:rowOff>65853</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1028700"/>
          <a:ext cx="2561905" cy="6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2511;&#22320;&#29615;&#29699;&#25991;&#21270;&#37329;&#34701;&#22478;-&#22320;&#1997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基准地价修正"/>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199.13</v>
          </cell>
          <cell r="C14">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估价对象为北京市房地产，为所有。根据《国有土地使用证》[]，估价对象（分摊）出让国有建设用地使用权面积为0平方米，建筑面积为207.53平方米。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估价对象为北京市房地产,属开发建设的，该项目尚在开发建设中。根据《国有土地使用证》[]，估价对象（分摊）出让国有建设用地使用权面积为0平方米，规划建筑面积为207.53平方米。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587</v>
      </c>
    </row>
    <row r="21" spans="1:2" s="1203" customFormat="1">
      <c r="A21" s="1201" t="s">
        <v>537</v>
      </c>
      <c r="B21" s="1202">
        <f ca="1">'预评函-2'!D7</f>
        <v>28273</v>
      </c>
    </row>
    <row r="22" spans="1:2" s="1203" customFormat="1">
      <c r="A22" s="1201" t="s">
        <v>538</v>
      </c>
      <c r="B22" s="1202" t="str">
        <f ca="1">'预评函-2'!D6</f>
        <v>伍佰捌拾柒万元整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587</v>
      </c>
    </row>
    <row r="31" spans="1:2" s="1203" customFormat="1">
      <c r="A31" s="1201" t="s">
        <v>576</v>
      </c>
      <c r="B31" s="1202">
        <f ca="1">'预评函-2'!D15</f>
        <v>28273</v>
      </c>
    </row>
    <row r="32" spans="1:2" s="1203" customFormat="1">
      <c r="A32" s="1201" t="s">
        <v>543</v>
      </c>
      <c r="B32" s="1202" t="str">
        <f ca="1">'预评函-2'!D14</f>
        <v>伍佰捌拾柒万元整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207.53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10" t="s">
        <v>2575</v>
      </c>
      <c r="J2" s="3510"/>
      <c r="K2" s="3510"/>
      <c r="L2" s="3510"/>
      <c r="M2" s="3510"/>
      <c r="N2" s="3510"/>
      <c r="O2" s="3510"/>
      <c r="P2" s="3510"/>
      <c r="Q2" s="3510"/>
      <c r="R2" s="3510"/>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7" sqref="M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3371</v>
      </c>
      <c r="C4" s="2374">
        <f ca="1">SUMIF(注册房地产估价师,B4,估价师及机构信息!B3:B24)</f>
        <v>1120100036</v>
      </c>
      <c r="D4" s="2373" t="s">
        <v>3372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3373</v>
      </c>
      <c r="C8" s="2388"/>
      <c r="D8" s="3522" t="s">
        <v>2177</v>
      </c>
      <c r="E8" s="2389" t="s">
        <v>3375</v>
      </c>
      <c r="F8" s="2390"/>
      <c r="G8" s="2656"/>
      <c r="H8" s="2656"/>
      <c r="I8" s="2656"/>
      <c r="J8" s="2437"/>
      <c r="K8" s="2607"/>
      <c r="L8" s="2606"/>
      <c r="M8" s="2606"/>
      <c r="N8" s="2437"/>
      <c r="O8" s="2448"/>
      <c r="P8" s="2437"/>
      <c r="Q8" s="2437"/>
      <c r="R8" s="2437"/>
    </row>
    <row r="9" spans="1:30" ht="13.5" thickBot="1">
      <c r="A9" s="2391" t="s">
        <v>2178</v>
      </c>
      <c r="B9" s="2392" t="s">
        <v>3374</v>
      </c>
      <c r="C9" s="2393"/>
      <c r="D9" s="3523"/>
      <c r="E9" s="2392" t="s">
        <v>43</v>
      </c>
      <c r="F9" s="2394"/>
      <c r="G9" s="2658"/>
      <c r="H9" s="2658"/>
      <c r="I9" s="2658"/>
      <c r="J9" s="2437"/>
      <c r="K9" s="2609"/>
      <c r="L9" s="2606"/>
      <c r="M9" s="2606"/>
      <c r="N9" s="2437"/>
      <c r="O9" s="2448"/>
      <c r="P9" s="2437"/>
      <c r="Q9" s="2437"/>
      <c r="R9" s="2437"/>
    </row>
    <row r="10" spans="1:30" ht="13.5" thickTop="1">
      <c r="A10" s="2395" t="s">
        <v>2179</v>
      </c>
      <c r="B10" s="2396" t="s">
        <v>3376</v>
      </c>
      <c r="C10" s="2397"/>
      <c r="D10" s="2380"/>
      <c r="E10" s="2398" t="s">
        <v>2180</v>
      </c>
      <c r="F10" s="2659"/>
      <c r="G10" s="2660"/>
      <c r="H10" s="2661"/>
      <c r="I10" s="2662"/>
      <c r="J10" s="2437"/>
      <c r="K10" s="2609"/>
      <c r="L10" s="2606"/>
      <c r="M10" s="2606"/>
      <c r="N10" s="2437"/>
      <c r="O10" s="2448"/>
      <c r="P10" s="2437"/>
      <c r="Q10" s="2437"/>
      <c r="R10" s="2437"/>
    </row>
    <row r="11" spans="1:30">
      <c r="A11" s="2399" t="s">
        <v>2181</v>
      </c>
      <c r="B11" s="2400" t="s">
        <v>3377</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3503</v>
      </c>
      <c r="L12" s="2606"/>
      <c r="M12" s="2437"/>
      <c r="N12" s="2448"/>
      <c r="O12" s="2437"/>
      <c r="P12" s="2437"/>
      <c r="Q12" s="2437"/>
      <c r="AD12" s="1745"/>
    </row>
    <row r="13" spans="1:30">
      <c r="A13" s="3416" t="s">
        <v>3329</v>
      </c>
      <c r="B13" s="2405" t="s">
        <v>2190</v>
      </c>
      <c r="C13" s="856"/>
      <c r="D13" s="856"/>
      <c r="E13" s="856">
        <v>59761</v>
      </c>
      <c r="F13" s="856"/>
      <c r="G13" s="856"/>
      <c r="H13" s="856"/>
      <c r="I13" s="856"/>
      <c r="J13" s="3055"/>
      <c r="K13" s="2606" t="s">
        <v>3504</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9"/>
      <c r="C16" s="3530"/>
      <c r="D16" s="3531"/>
      <c r="E16" s="2411" t="s">
        <v>2194</v>
      </c>
      <c r="F16" s="3532"/>
      <c r="G16" s="3533"/>
      <c r="H16" s="3533"/>
      <c r="I16" s="3534"/>
      <c r="J16" s="2437"/>
      <c r="K16" s="2610"/>
      <c r="L16" s="2449"/>
      <c r="M16" s="2449"/>
      <c r="N16" s="2502"/>
      <c r="O16" s="2449"/>
      <c r="P16" s="2502"/>
      <c r="Q16" s="2437"/>
      <c r="R16" s="2437"/>
    </row>
    <row r="17" spans="1:28">
      <c r="A17" s="313" t="s">
        <v>2195</v>
      </c>
      <c r="B17" s="302" t="s">
        <v>2196</v>
      </c>
      <c r="C17" s="8">
        <f>'数据-汇总表'!E3</f>
        <v>207.53</v>
      </c>
      <c r="D17" s="2320" t="s">
        <v>2197</v>
      </c>
      <c r="E17" s="3535" t="s">
        <v>2198</v>
      </c>
      <c r="F17" s="3536"/>
      <c r="G17" s="3536"/>
      <c r="H17" s="3536"/>
      <c r="I17" s="3537"/>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38" t="s">
        <v>2202</v>
      </c>
      <c r="F18" s="3539"/>
      <c r="G18" s="3539"/>
      <c r="H18" s="3539"/>
      <c r="I18" s="3540"/>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25" t="s">
        <v>2206</v>
      </c>
      <c r="C20" s="3526"/>
      <c r="D20" s="3527" t="s">
        <v>2207</v>
      </c>
      <c r="E20" s="3528"/>
      <c r="F20" s="2640" t="s">
        <v>1056</v>
      </c>
      <c r="G20" s="2657"/>
      <c r="H20" s="2657"/>
      <c r="I20" s="2657"/>
      <c r="J20" s="2437"/>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12"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12"/>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12"/>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13"/>
      <c r="B30" s="302" t="s">
        <v>2218</v>
      </c>
      <c r="C30" s="3514"/>
      <c r="D30" s="3515"/>
      <c r="E30" s="2657"/>
      <c r="F30" s="2657"/>
      <c r="G30" s="2657"/>
      <c r="H30" s="2657"/>
      <c r="I30" s="2657"/>
      <c r="J30" s="2437"/>
      <c r="K30" s="2609"/>
      <c r="L30" s="2606"/>
      <c r="M30" s="2606"/>
      <c r="N30" s="2437"/>
      <c r="O30" s="2448"/>
      <c r="P30" s="2437"/>
      <c r="Q30" s="2437"/>
      <c r="R30" s="2437"/>
      <c r="S30" s="2437"/>
      <c r="T30" s="2437"/>
      <c r="U30" s="2437"/>
      <c r="V30" s="2437"/>
    </row>
    <row r="31" spans="1:28">
      <c r="A31" s="3516" t="s">
        <v>2219</v>
      </c>
      <c r="B31" s="2420" t="s">
        <v>3378</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17"/>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3379</v>
      </c>
      <c r="C34" s="2024" t="s">
        <v>3380</v>
      </c>
      <c r="D34" s="2024" t="s">
        <v>3381</v>
      </c>
      <c r="E34" s="2024" t="s">
        <v>3382</v>
      </c>
      <c r="F34" s="2024" t="s">
        <v>3383</v>
      </c>
      <c r="G34" s="2024" t="s">
        <v>3384</v>
      </c>
      <c r="H34" s="2024"/>
      <c r="I34" s="2657"/>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1"/>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4" sqref="B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207.53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207.53</v>
      </c>
      <c r="H5" s="13">
        <f t="shared" ref="H5:AT5" si="0">SUM(H13:H656)</f>
        <v>207.53</v>
      </c>
      <c r="I5" s="13">
        <f t="shared" si="0"/>
        <v>207.53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207.53</v>
      </c>
      <c r="BA5" s="15">
        <f t="shared" si="1"/>
        <v>207.53</v>
      </c>
      <c r="BB5" s="15">
        <f t="shared" si="1"/>
        <v>207.53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3506</v>
      </c>
      <c r="E13" s="13">
        <f>IF($C$3="是",ROUND($A$3*G13/$B$3,2),ROUND($A$3*(G13-AT13)/$B$3,2))</f>
        <v>0</v>
      </c>
      <c r="F13" s="29"/>
      <c r="G13" s="30">
        <f>H13+AC13+AT13</f>
        <v>207.53</v>
      </c>
      <c r="H13" s="17">
        <f>SUMIF(I$12:AB$12,"总值",I13:AB13)</f>
        <v>207.53</v>
      </c>
      <c r="I13" s="1626">
        <v>207.53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207.53</v>
      </c>
      <c r="BA13" s="13">
        <f>SUM(BB13:BK13)</f>
        <v>207.53</v>
      </c>
      <c r="BB13" s="13">
        <f>IF($D13="是",I13-J13,0)</f>
        <v>207.53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2"/>
      <c r="G2" s="2643"/>
      <c r="H2" s="2644"/>
      <c r="I2" s="2323" t="s">
        <v>1132</v>
      </c>
      <c r="J2" s="2652"/>
      <c r="K2" s="2652"/>
      <c r="L2" s="2652"/>
      <c r="M2" s="2652"/>
      <c r="N2" s="2654"/>
      <c r="O2" s="2652"/>
      <c r="P2" s="2652"/>
    </row>
    <row r="3" spans="1:16" ht="15.75" thickBot="1">
      <c r="A3" s="3551" t="s">
        <v>1105</v>
      </c>
      <c r="B3" s="3551"/>
      <c r="C3" s="3551"/>
      <c r="D3" s="43">
        <f>'数据-基础表'!AY6</f>
        <v>0</v>
      </c>
      <c r="E3" s="43">
        <f>'数据-基础表'!AZ5</f>
        <v>207.53</v>
      </c>
      <c r="F3" s="2652"/>
      <c r="G3" s="1145"/>
      <c r="H3" s="1026" t="s">
        <v>1106</v>
      </c>
      <c r="I3" s="855" t="e">
        <f>ROUND('数据-基础表'!B3/'数据-基础表'!A3,2)</f>
        <v>#DIV/0!</v>
      </c>
      <c r="J3" s="2652"/>
      <c r="K3" s="2652"/>
      <c r="L3" s="2652"/>
      <c r="M3" s="2652"/>
      <c r="N3" s="2654"/>
      <c r="O3" s="2652"/>
      <c r="P3" s="2652"/>
    </row>
    <row r="4" spans="1:16" ht="15">
      <c r="A4" s="3552"/>
      <c r="B4" s="3553"/>
      <c r="C4" s="3554"/>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5" t="s">
        <v>1110</v>
      </c>
      <c r="C5" s="3555"/>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5" t="s">
        <v>1111</v>
      </c>
      <c r="C6" s="3555"/>
      <c r="D6" s="45">
        <f>ROUND($D$3*E6/$E$3,2)</f>
        <v>0</v>
      </c>
      <c r="E6" s="46">
        <f>E3-E5</f>
        <v>207.53</v>
      </c>
      <c r="F6" s="2652"/>
      <c r="G6" s="2646" t="s">
        <v>1112</v>
      </c>
      <c r="H6" s="1146" t="s">
        <v>1113</v>
      </c>
      <c r="I6" s="2647" t="e">
        <f>ROUND(F31/D31,2)</f>
        <v>#DIV/0!</v>
      </c>
      <c r="J6" s="2652"/>
      <c r="K6" s="2652"/>
      <c r="L6" s="2652"/>
      <c r="M6" s="2652"/>
      <c r="N6" s="2652"/>
      <c r="O6" s="2652"/>
      <c r="P6" s="2652"/>
    </row>
    <row r="7" spans="1:16" ht="15.75" thickBot="1">
      <c r="A7" s="3547"/>
      <c r="B7" s="3548"/>
      <c r="C7" s="3549"/>
      <c r="D7" s="1641" t="s">
        <v>1107</v>
      </c>
      <c r="E7" s="1645"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207.53</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207.53</v>
      </c>
      <c r="F16" s="2652"/>
      <c r="G16" s="2653"/>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3507</v>
      </c>
      <c r="D19" s="45">
        <f>ROUND($D$3*E19/$E$3,2)</f>
        <v>0</v>
      </c>
      <c r="E19" s="53">
        <f t="shared" ref="E19:E26" si="1">SUM(F19:G19)</f>
        <v>207.53</v>
      </c>
      <c r="F19" s="2788">
        <f>'数据-基础表'!I5</f>
        <v>207.53</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207.53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207.53</v>
      </c>
      <c r="F27" s="1140">
        <f>IF(SUM(F19:F26)=E8,SUM(F19:F26),"地上面积有误")</f>
        <v>207.53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207.53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207.53</v>
      </c>
      <c r="F31" s="677">
        <f>F27+F30</f>
        <v>207.53</v>
      </c>
      <c r="G31" s="678">
        <f>G27+G30</f>
        <v>0</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33" sqref="R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59761</v>
      </c>
      <c r="F6" s="64">
        <f>SUMIF(项目基本情况!C$12:I$12,C6,项目基本情况!C$15:I$15)</f>
        <v>39.75</v>
      </c>
      <c r="G6" s="65">
        <f>IF(ISERROR(ROUND(POWER(1+H6,D6-F6)*(POWER(1+H6,F6)-1)/(POWER(1+H6,D6)-1),3)),0,ROUND(POWER(1+H6,D6-F6)*(POWER(1+H6,F6)-1)/(POWER(1+H6,D6)-1),3))</f>
        <v>0.93799999999999994</v>
      </c>
      <c r="H6" s="732">
        <v>0.05</v>
      </c>
      <c r="I6" s="732">
        <v>5.5E-2</v>
      </c>
      <c r="J6" s="66">
        <v>7.0000000000000007E-2</v>
      </c>
      <c r="K6" s="1030">
        <f>SUMIF('数据-汇总表'!C$19:C$33,A6,'数据-汇总表'!E$19:E$33)</f>
        <v>207.53</v>
      </c>
      <c r="L6" s="733">
        <v>4500</v>
      </c>
      <c r="M6" s="67">
        <f t="shared" ref="M6:M14" si="0">ROUND(K6*L6/10000,0)</f>
        <v>93</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8">
        <v>3.8</v>
      </c>
      <c r="V6" s="70">
        <v>2.5000000000000001E-2</v>
      </c>
      <c r="W6" s="70">
        <v>0.1</v>
      </c>
      <c r="X6" s="1040"/>
      <c r="Y6" s="71">
        <f>N6</f>
        <v>0.9</v>
      </c>
      <c r="Z6" s="72"/>
      <c r="AA6" s="66"/>
      <c r="AB6" s="66"/>
      <c r="AC6" s="1040"/>
      <c r="AD6" s="73"/>
      <c r="AE6" s="1041">
        <f ca="1">IF(AN6="",0,SUMIF(INDIRECT("'"&amp;AN6&amp;"'"&amp;"!E:E"),$AE$5,INDIRECT("'"&amp;AN6&amp;"'"&amp;"!F:F")))</f>
        <v>39.75</v>
      </c>
      <c r="AF6" s="1348"/>
      <c r="AG6" s="138">
        <f>IF(AF6="",0,AE6-AF6)</f>
        <v>0</v>
      </c>
      <c r="AH6" s="74"/>
      <c r="AI6" s="76">
        <v>365</v>
      </c>
      <c r="AJ6" s="77"/>
      <c r="AK6" s="78">
        <v>5.0000000000000001E-3</v>
      </c>
      <c r="AL6" s="79">
        <v>1E-3</v>
      </c>
      <c r="AM6" s="80">
        <v>5.0000000000000001E-3</v>
      </c>
      <c r="AN6" s="1715" t="s">
        <v>3508</v>
      </c>
      <c r="AO6" s="52">
        <f ca="1">SUMIF(INDIRECT("'"&amp;AN6&amp;"'"&amp;"!A:A"),"总价",INDIRECT("'"&amp;AN6&amp;"'"&amp;"!B:B"))</f>
        <v>473.09179999999998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0.93799999999999994</v>
      </c>
      <c r="H16" s="90">
        <f>ROUND(SUMPRODUCT(H6:H13,K6:K13)/SUMPRODUCT((H6:H13&gt;0)*(K6:K13)),3)</f>
        <v>0.05</v>
      </c>
      <c r="I16" s="91"/>
      <c r="J16" s="91"/>
      <c r="K16" s="92">
        <f>SUM(K6:K15)</f>
        <v>207.53</v>
      </c>
      <c r="L16" s="93">
        <f>ROUND(M16*10000/SUM(K6:K14),0)</f>
        <v>4481</v>
      </c>
      <c r="M16" s="93">
        <f>SUM(M6:M14)</f>
        <v>93</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3386</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3387</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3388</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3389</v>
      </c>
      <c r="N21" s="2664">
        <f>ROUND((N19+N20)/2,2)</f>
        <v>0.45</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6" t="s">
        <v>2277</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3392</v>
      </c>
      <c r="D3" s="2462"/>
      <c r="E3" s="2440" t="s">
        <v>2276</v>
      </c>
      <c r="F3" s="2463" t="s">
        <v>2253</v>
      </c>
      <c r="G3" s="3447" t="s">
        <v>3392</v>
      </c>
      <c r="H3" s="799"/>
      <c r="I3" s="799"/>
      <c r="J3" s="799"/>
      <c r="K3" s="799"/>
      <c r="L3" s="799"/>
      <c r="M3" s="799"/>
      <c r="N3" s="799"/>
      <c r="O3" s="799"/>
      <c r="P3" s="799"/>
      <c r="Q3" s="799"/>
      <c r="R3" s="799"/>
    </row>
    <row r="4" spans="1:29">
      <c r="A4" s="2440"/>
      <c r="B4" s="323" t="s">
        <v>2254</v>
      </c>
      <c r="C4" s="3445" t="s">
        <v>3393</v>
      </c>
      <c r="D4" s="2462"/>
      <c r="E4" s="2464"/>
      <c r="F4" s="1373" t="s">
        <v>2255</v>
      </c>
      <c r="G4" s="3446" t="s">
        <v>3394</v>
      </c>
      <c r="H4" s="799"/>
      <c r="I4" s="799"/>
      <c r="J4" s="799"/>
      <c r="K4" s="799"/>
      <c r="L4" s="799"/>
      <c r="M4" s="799"/>
      <c r="N4" s="799"/>
      <c r="O4" s="799"/>
      <c r="P4" s="799"/>
      <c r="Q4" s="799"/>
      <c r="R4" s="799"/>
    </row>
    <row r="5" spans="1:29">
      <c r="A5" s="2440"/>
      <c r="B5" s="323" t="s">
        <v>2256</v>
      </c>
      <c r="C5" s="3445" t="s">
        <v>3393</v>
      </c>
      <c r="D5" s="2462"/>
      <c r="E5" s="2464"/>
      <c r="F5" s="323" t="s">
        <v>2257</v>
      </c>
      <c r="G5" s="3446" t="s">
        <v>3394</v>
      </c>
      <c r="H5" s="799"/>
      <c r="I5" s="799"/>
      <c r="J5" s="799"/>
      <c r="K5" s="799"/>
      <c r="L5" s="799"/>
      <c r="M5" s="799"/>
      <c r="N5" s="799"/>
      <c r="O5" s="799"/>
      <c r="P5" s="799"/>
      <c r="Q5" s="799"/>
      <c r="R5" s="799"/>
    </row>
    <row r="6" spans="1:29">
      <c r="A6" s="2440"/>
      <c r="B6" s="323" t="s">
        <v>2258</v>
      </c>
      <c r="C6" s="3446" t="s">
        <v>3394</v>
      </c>
      <c r="D6" s="2462"/>
      <c r="E6" s="2464"/>
      <c r="F6" s="323" t="s">
        <v>2259</v>
      </c>
      <c r="G6" s="3446" t="s">
        <v>3396</v>
      </c>
      <c r="H6" s="799"/>
      <c r="I6" s="799"/>
      <c r="J6" s="799"/>
      <c r="K6" s="799"/>
      <c r="L6" s="799"/>
      <c r="M6" s="799"/>
      <c r="N6" s="799"/>
      <c r="O6" s="799"/>
      <c r="P6" s="799"/>
      <c r="Q6" s="799"/>
      <c r="R6" s="799"/>
    </row>
    <row r="7" spans="1:29" ht="15" thickBot="1">
      <c r="A7" s="2440"/>
      <c r="B7" s="323" t="s">
        <v>2257</v>
      </c>
      <c r="C7" s="3446" t="s">
        <v>3394</v>
      </c>
      <c r="D7" s="2465"/>
      <c r="E7" s="2466"/>
      <c r="F7" s="2467" t="s">
        <v>2260</v>
      </c>
      <c r="G7" s="3448" t="s">
        <v>3394</v>
      </c>
      <c r="H7" s="799"/>
      <c r="I7" s="799"/>
      <c r="J7" s="799"/>
      <c r="K7" s="799"/>
      <c r="L7" s="799"/>
      <c r="M7" s="799"/>
      <c r="N7" s="799"/>
      <c r="O7" s="799"/>
      <c r="P7" s="799"/>
      <c r="Q7" s="799"/>
      <c r="R7" s="799"/>
    </row>
    <row r="8" spans="1:29">
      <c r="A8" s="2440"/>
      <c r="B8" s="323" t="s">
        <v>2259</v>
      </c>
      <c r="C8" s="3446" t="s">
        <v>3396</v>
      </c>
      <c r="D8" s="2465"/>
      <c r="E8" s="2465"/>
      <c r="F8" s="2468"/>
      <c r="G8" s="2468"/>
      <c r="H8" s="799"/>
      <c r="I8" s="799"/>
      <c r="J8" s="799"/>
      <c r="K8" s="799"/>
      <c r="L8" s="799"/>
      <c r="M8" s="799"/>
      <c r="N8" s="799"/>
      <c r="O8" s="799"/>
      <c r="P8" s="799"/>
      <c r="Q8" s="799"/>
      <c r="R8" s="799"/>
    </row>
    <row r="9" spans="1:29">
      <c r="A9" s="2440"/>
      <c r="B9" s="323" t="s">
        <v>2261</v>
      </c>
      <c r="C9" s="3445" t="s">
        <v>3394</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较好</v>
      </c>
      <c r="D16" s="2462"/>
      <c r="E16" s="2445"/>
      <c r="F16" s="2495" t="s">
        <v>2255</v>
      </c>
      <c r="G16" s="2496" t="str">
        <f>G4</f>
        <v>较好</v>
      </c>
    </row>
    <row r="17" spans="1:18">
      <c r="A17" s="2444"/>
      <c r="B17" s="2493" t="s">
        <v>2256</v>
      </c>
      <c r="C17" s="2494" t="str">
        <f>C5</f>
        <v>较好</v>
      </c>
      <c r="D17" s="2465"/>
      <c r="E17" s="2445"/>
      <c r="F17" s="2495" t="s">
        <v>2268</v>
      </c>
      <c r="G17" s="3449" t="s">
        <v>3397</v>
      </c>
    </row>
    <row r="18" spans="1:18">
      <c r="A18" s="2444"/>
      <c r="B18" s="2495" t="s">
        <v>2258</v>
      </c>
      <c r="C18" s="2496" t="str">
        <f>C6</f>
        <v>较好</v>
      </c>
      <c r="D18" s="2465"/>
      <c r="E18" s="2445"/>
      <c r="F18" s="2495" t="s">
        <v>2260</v>
      </c>
      <c r="G18" s="2496" t="str">
        <f>G7</f>
        <v>较好</v>
      </c>
    </row>
    <row r="19" spans="1:18">
      <c r="A19" s="2444"/>
      <c r="B19" s="2495" t="s">
        <v>2269</v>
      </c>
      <c r="C19" s="3449" t="s">
        <v>3397</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43" sqref="I43"/>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406.65999999999997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819</v>
      </c>
      <c r="C5" s="2505">
        <f ca="1">IF(B5=D14,结果表!H102,ROUND(B5*10000/$B$1,0))</f>
        <v>20140</v>
      </c>
      <c r="D5" s="2505" t="e">
        <f ca="1">ROUND(B5*10000/$B$2,0)</f>
        <v>#DIV/0!</v>
      </c>
      <c r="E5" s="2679"/>
      <c r="F5" s="2680"/>
      <c r="G5" s="2680"/>
      <c r="H5" s="2681"/>
      <c r="I5" s="2681"/>
      <c r="J5" s="2681"/>
      <c r="K5" s="2681"/>
    </row>
    <row r="6" spans="1:11" ht="16.5">
      <c r="A6" s="2505" t="s">
        <v>656</v>
      </c>
      <c r="B6" s="2505">
        <f ca="1">SUM(G14:G23)</f>
        <v>819</v>
      </c>
      <c r="C6" s="2505">
        <f ca="1">IF(B6=G14,结果表!H108,ROUND(B6*10000/$B$1,0))</f>
        <v>20140</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3353</v>
      </c>
      <c r="D10" s="2505" t="s">
        <v>3354</v>
      </c>
      <c r="E10" s="3434"/>
      <c r="F10" s="3438" t="s">
        <v>3355</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207.53</v>
      </c>
      <c r="C14" s="2511">
        <f>结果表!C118</f>
        <v>0</v>
      </c>
      <c r="D14" s="2511">
        <f ca="1">结果表!H118</f>
        <v>587</v>
      </c>
      <c r="E14" s="2511">
        <f ca="1">ROUND(D14*10000/B14,0)</f>
        <v>28285</v>
      </c>
      <c r="F14" s="2511" t="e">
        <f ca="1">ROUND(D14*10000/C14,0)</f>
        <v>#DIV/0!</v>
      </c>
      <c r="G14" s="2511">
        <f ca="1">结果表!H107</f>
        <v>587</v>
      </c>
      <c r="H14" s="2511"/>
      <c r="I14" s="2511"/>
      <c r="J14" s="2680"/>
      <c r="K14" s="2681"/>
    </row>
    <row r="15" spans="1:11" ht="16.5">
      <c r="A15" s="2510" t="s">
        <v>649</v>
      </c>
      <c r="B15" s="2512">
        <f>[2]系统读取表!B14</f>
        <v>199.13</v>
      </c>
      <c r="C15" s="2512">
        <f>[2]系统读取表!C14</f>
        <v>0</v>
      </c>
      <c r="D15" s="2512">
        <v>232</v>
      </c>
      <c r="E15" s="2511">
        <f t="shared" ref="E15:E23" si="0">ROUND(D15*10000/B15,0)</f>
        <v>11651</v>
      </c>
      <c r="F15" s="2511" t="e">
        <f t="shared" ref="F15:F23" si="1">ROUND(D15*10000/C15,0)</f>
        <v>#DIV/0!</v>
      </c>
      <c r="G15" s="2512">
        <f>D15</f>
        <v>232</v>
      </c>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3378</v>
      </c>
      <c r="H1" s="1750" t="str">
        <f>IF(G1="现房","——","估价对象范围")</f>
        <v>——</v>
      </c>
      <c r="I1" s="1751" t="s">
        <v>3515</v>
      </c>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3511</v>
      </c>
      <c r="D4" s="1756" t="s">
        <v>3508</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7</v>
      </c>
      <c r="D14" s="3595">
        <f>10-C14</f>
        <v>3</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2" t="s">
        <v>2131</v>
      </c>
      <c r="F18" s="3583"/>
      <c r="G18" s="3583"/>
      <c r="H18" s="3583"/>
      <c r="I18" s="3583"/>
      <c r="J18" s="3467" t="s">
        <v>3514</v>
      </c>
      <c r="K18" s="302" t="s">
        <v>1289</v>
      </c>
      <c r="L18" s="302">
        <f>IF(C1="",'数据-汇总表'!E3,SUMIF(项目类型,C1,'数据-汇总表'!E17:E26)+SUMIF(项目类型,C1,'数据-汇总表'!I17:I26))</f>
        <v>207.53</v>
      </c>
      <c r="M18" s="302">
        <f>IF(C1="",'数据-汇总表'!E3,SUMIF(项目类型,C1,'数据-汇总表'!E17:E26))</f>
        <v>207.53</v>
      </c>
    </row>
    <row r="19" spans="1:36" ht="15">
      <c r="A19" s="1761" t="s">
        <v>1290</v>
      </c>
      <c r="B19" s="1762" t="s">
        <v>1291</v>
      </c>
      <c r="C19" s="134">
        <f ca="1">SUMIF(INDIRECT("'"&amp;C4&amp;"'"&amp;"!A:A"),结果表!B19,INDIRECT("'"&amp;C4&amp;"'"&amp;"!B:B"))</f>
        <v>635.45690000000002</v>
      </c>
      <c r="D19" s="135">
        <f ca="1">SUMIF(INDIRECT("'"&amp;D4&amp;"'"&amp;"!A:A"),结果表!B19,INDIRECT("'"&amp;D4&amp;"'"&amp;"!B:B"))</f>
        <v>473.09179999999998</v>
      </c>
      <c r="E19" s="1761" t="s">
        <v>1292</v>
      </c>
      <c r="F19" s="1762" t="s">
        <v>1291</v>
      </c>
      <c r="G19" s="136">
        <f ca="1">ROUND(C19*$C$18+D19*$D$18,0)</f>
        <v>587</v>
      </c>
      <c r="H19" s="1763" t="s">
        <v>1293</v>
      </c>
      <c r="I19" s="129"/>
      <c r="J19" s="728">
        <v>587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30620</v>
      </c>
      <c r="D20" s="138">
        <f ca="1">SUMIF(INDIRECT("'"&amp;D4&amp;"'"&amp;"!A:A"),结果表!B20,INDIRECT("'"&amp;D4&amp;"'"&amp;"!B:B"))</f>
        <v>22796</v>
      </c>
      <c r="E20" s="1764"/>
      <c r="F20" s="1026" t="s">
        <v>1295</v>
      </c>
      <c r="G20" s="139">
        <f ca="1">ROUND(C20*$C$18+D20*$D$18,0)</f>
        <v>28273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0.34319998782477312</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28273</v>
      </c>
      <c r="D32" s="1775" t="s">
        <v>3516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3" t="s">
        <v>1326</v>
      </c>
      <c r="B45" s="3564"/>
      <c r="C45" s="3565"/>
      <c r="D45" s="155">
        <f ca="1">ROUND(H101*F45,0)</f>
        <v>587</v>
      </c>
      <c r="E45" s="156" t="s">
        <v>1327</v>
      </c>
      <c r="F45" s="157">
        <v>1</v>
      </c>
      <c r="G45" s="158" t="s">
        <v>1328</v>
      </c>
      <c r="H45" s="129"/>
      <c r="I45" s="129"/>
      <c r="J45" s="3641" t="s">
        <v>1329</v>
      </c>
      <c r="K45" s="3641"/>
      <c r="L45" s="3641"/>
      <c r="M45" s="3641"/>
      <c r="N45" s="3641"/>
      <c r="O45" s="3641"/>
    </row>
    <row r="46" spans="1:15" ht="14.25" hidden="1" customHeight="1">
      <c r="A46" s="3560" t="s">
        <v>1330</v>
      </c>
      <c r="B46" s="3561"/>
      <c r="C46" s="3561"/>
      <c r="D46" s="3561"/>
      <c r="E46" s="3561"/>
      <c r="F46" s="3561"/>
      <c r="G46" s="3562"/>
      <c r="H46" s="1806"/>
      <c r="I46" s="159"/>
      <c r="J46" s="2516">
        <v>1</v>
      </c>
      <c r="K46" s="3622" t="s">
        <v>1331</v>
      </c>
      <c r="L46" s="3622"/>
      <c r="M46" s="3642"/>
      <c r="N46" s="3642"/>
      <c r="O46" s="3642"/>
    </row>
    <row r="47" spans="1:15" ht="12" hidden="1" customHeight="1">
      <c r="A47" s="160" t="s">
        <v>1332</v>
      </c>
      <c r="B47" s="161"/>
      <c r="C47" s="162"/>
      <c r="D47" s="1087" t="s">
        <v>1333</v>
      </c>
      <c r="E47" s="302" t="s">
        <v>1334</v>
      </c>
      <c r="F47" s="163" t="s">
        <v>1335</v>
      </c>
      <c r="G47" s="2539" t="s">
        <v>1336</v>
      </c>
      <c r="H47" s="2540"/>
      <c r="I47" s="159"/>
      <c r="J47" s="2516">
        <v>2</v>
      </c>
      <c r="K47" s="3622" t="s">
        <v>1337</v>
      </c>
      <c r="L47" s="3622"/>
      <c r="M47" s="3643">
        <f>'数据-取费表'!B2</f>
        <v>45251</v>
      </c>
      <c r="N47" s="3643"/>
      <c r="O47" s="3643"/>
    </row>
    <row r="48" spans="1:15" ht="25.5" hidden="1">
      <c r="A48" s="3591" t="s">
        <v>1338</v>
      </c>
      <c r="B48" s="3574"/>
      <c r="C48" s="3574"/>
      <c r="D48" s="2322">
        <f ca="1">IF(H48="情况1",0,IF(H48="情况2",D52,IF(H48="情况3",D53,IF(H48="情况4",D54))))</f>
        <v>31</v>
      </c>
      <c r="E48" s="2332" t="str">
        <f>IF(H48="情况4","(销售额-原购置价)×税（费）率","销售额×税（费）率")</f>
        <v>销售额×税（费）率</v>
      </c>
      <c r="F48" s="2541">
        <f>IF(H48="情况1","免征",'数据-取费表'!B41)</f>
        <v>5.6000000000000001E-2</v>
      </c>
      <c r="G48" s="2542" t="s">
        <v>1339</v>
      </c>
      <c r="H48" s="2543" t="s">
        <v>3398</v>
      </c>
      <c r="I48" s="1806"/>
      <c r="J48" s="2516">
        <v>3</v>
      </c>
      <c r="K48" s="3622" t="s">
        <v>1340</v>
      </c>
      <c r="L48" s="3622"/>
      <c r="M48" s="3644">
        <f ca="1">H101</f>
        <v>587</v>
      </c>
      <c r="N48" s="3644"/>
      <c r="O48" s="3644"/>
    </row>
    <row r="49" spans="1:35" ht="25.5" hidden="1" customHeight="1">
      <c r="A49" s="2331" t="s">
        <v>1341</v>
      </c>
      <c r="B49" s="3558" t="s">
        <v>1342</v>
      </c>
      <c r="C49" s="3558"/>
      <c r="D49" s="1590">
        <v>0</v>
      </c>
      <c r="E49" s="324" t="s">
        <v>1343</v>
      </c>
      <c r="F49" s="2422" t="s">
        <v>28</v>
      </c>
      <c r="G49" s="3628"/>
      <c r="H49" s="2308" t="s">
        <v>2134</v>
      </c>
      <c r="I49" s="2309"/>
      <c r="J49" s="2516">
        <v>4</v>
      </c>
      <c r="K49" s="3622" t="str">
        <f>IF(项目基本情况!E8="房地产抵押价值","房地产抵押价值","抵押担保权已注销时的房地产抵押价值")</f>
        <v>房地产抵押价值</v>
      </c>
      <c r="L49" s="3622"/>
      <c r="M49" s="3644">
        <f ca="1">IF(项目基本情况!E8="房地产抵押价值",H107,H109)</f>
        <v>587</v>
      </c>
      <c r="N49" s="3644"/>
      <c r="O49" s="3644"/>
    </row>
    <row r="50" spans="1:35" ht="25.5" hidden="1" customHeight="1">
      <c r="A50" s="2544"/>
      <c r="B50" s="3558" t="s">
        <v>1344</v>
      </c>
      <c r="C50" s="3558"/>
      <c r="D50" s="2545"/>
      <c r="E50" s="332"/>
      <c r="F50" s="2422"/>
      <c r="G50" s="3629"/>
      <c r="H50" s="2310" t="s">
        <v>2135</v>
      </c>
      <c r="I50" s="2309"/>
      <c r="J50" s="3641" t="s">
        <v>1345</v>
      </c>
      <c r="K50" s="3641"/>
      <c r="L50" s="3641"/>
      <c r="M50" s="3641"/>
      <c r="N50" s="3641"/>
      <c r="O50" s="3641"/>
    </row>
    <row r="51" spans="1:35" ht="20.45" hidden="1" customHeight="1">
      <c r="A51" s="2546"/>
      <c r="B51" s="3558" t="s">
        <v>1346</v>
      </c>
      <c r="C51" s="3558"/>
      <c r="D51" s="1087"/>
      <c r="E51" s="327"/>
      <c r="F51" s="2422"/>
      <c r="G51" s="3630"/>
      <c r="H51" s="2310" t="s">
        <v>2136</v>
      </c>
      <c r="I51" s="2309"/>
      <c r="J51" s="2517" t="s">
        <v>1347</v>
      </c>
      <c r="K51" s="3622" t="s">
        <v>1348</v>
      </c>
      <c r="L51" s="3622"/>
      <c r="M51" s="2517" t="s">
        <v>1349</v>
      </c>
      <c r="N51" s="2517" t="s">
        <v>1350</v>
      </c>
      <c r="O51" s="2517" t="s">
        <v>1351</v>
      </c>
    </row>
    <row r="52" spans="1:35" ht="24" hidden="1" customHeight="1">
      <c r="A52" s="2333" t="s">
        <v>1352</v>
      </c>
      <c r="B52" s="3558" t="s">
        <v>1353</v>
      </c>
      <c r="C52" s="3558"/>
      <c r="D52" s="1087">
        <f ca="1">ROUND(D45*'数据-取费表'!B41/(1+'数据-取费表'!C42),0)</f>
        <v>31</v>
      </c>
      <c r="E52" s="2332" t="s">
        <v>1354</v>
      </c>
      <c r="F52" s="2547">
        <f>'数据-取费表'!B41</f>
        <v>5.6000000000000001E-2</v>
      </c>
      <c r="G52" s="2548"/>
      <c r="H52" s="2537"/>
      <c r="I52" s="1807"/>
      <c r="J52" s="2516">
        <v>1</v>
      </c>
      <c r="K52" s="3623" t="s">
        <v>1355</v>
      </c>
      <c r="L52" s="3623"/>
      <c r="M52" s="2518">
        <f ca="1">D48</f>
        <v>31</v>
      </c>
      <c r="N52" s="2516" t="str">
        <f>E48</f>
        <v>销售额×税（费）率</v>
      </c>
      <c r="O52" s="2519">
        <f>F48</f>
        <v>5.6000000000000001E-2</v>
      </c>
    </row>
    <row r="53" spans="1:35" ht="12" hidden="1" customHeight="1">
      <c r="A53" s="2333" t="s">
        <v>1356</v>
      </c>
      <c r="B53" s="3584" t="s">
        <v>2282</v>
      </c>
      <c r="C53" s="3585"/>
      <c r="D53" s="1087">
        <f ca="1">ROUND(D45*'数据-取费表'!B41/(1+'数据-取费表'!C42),0)</f>
        <v>31</v>
      </c>
      <c r="E53" s="2332" t="s">
        <v>1354</v>
      </c>
      <c r="F53" s="2547">
        <f>'数据-取费表'!B41</f>
        <v>5.6000000000000001E-2</v>
      </c>
      <c r="G53" s="2548"/>
      <c r="H53" s="2537"/>
      <c r="I53" s="1807"/>
      <c r="J53" s="2516">
        <v>2</v>
      </c>
      <c r="K53" s="3623" t="s">
        <v>1357</v>
      </c>
      <c r="L53" s="3623"/>
      <c r="M53" s="2518">
        <f t="shared" ref="M53:O54" ca="1" si="0">D55</f>
        <v>0</v>
      </c>
      <c r="N53" s="2516" t="str">
        <f t="shared" si="0"/>
        <v>销售额×税（费）率</v>
      </c>
      <c r="O53" s="2519">
        <f t="shared" si="0"/>
        <v>5.0000000000000001E-4</v>
      </c>
    </row>
    <row r="54" spans="1:35" ht="12" hidden="1" customHeight="1">
      <c r="A54" s="2333" t="s">
        <v>1358</v>
      </c>
      <c r="B54" s="3584" t="s">
        <v>2283</v>
      </c>
      <c r="C54" s="3585"/>
      <c r="D54" s="1087">
        <f ca="1">C68</f>
        <v>31</v>
      </c>
      <c r="E54" s="327" t="s">
        <v>1359</v>
      </c>
      <c r="F54" s="2547">
        <f>'数据-取费表'!B41</f>
        <v>5.6000000000000001E-2</v>
      </c>
      <c r="G54" s="2548"/>
      <c r="H54" s="2549"/>
      <c r="I54" s="1807"/>
      <c r="J54" s="2516">
        <v>3</v>
      </c>
      <c r="K54" s="3623" t="s">
        <v>1360</v>
      </c>
      <c r="L54" s="3623"/>
      <c r="M54" s="2518">
        <f t="shared" ca="1" si="0"/>
        <v>333</v>
      </c>
      <c r="N54" s="2516" t="str">
        <f t="shared" si="0"/>
        <v>增值额×税（费）率</v>
      </c>
      <c r="O54" s="2520" t="str">
        <f t="shared" si="0"/>
        <v>——</v>
      </c>
    </row>
    <row r="55" spans="1:35" ht="24" hidden="1" customHeight="1">
      <c r="A55" s="3573" t="s">
        <v>1361</v>
      </c>
      <c r="B55" s="3574"/>
      <c r="C55" s="3574"/>
      <c r="D55" s="2322">
        <f ca="1">IF(H55="个人住宅",0,ROUND(D45*I55,0))</f>
        <v>0</v>
      </c>
      <c r="E55" s="2332" t="s">
        <v>1362</v>
      </c>
      <c r="F55" s="2547">
        <f>IF(H55="正常",I55,"免征")</f>
        <v>5.0000000000000001E-4</v>
      </c>
      <c r="G55" s="2548"/>
      <c r="H55" s="2543" t="s">
        <v>3399</v>
      </c>
      <c r="I55" s="165">
        <f>'数据-取费表'!B49</f>
        <v>5.0000000000000001E-4</v>
      </c>
      <c r="J55" s="2516" t="str">
        <f>IF(H59="非个人房产","",4)</f>
        <v/>
      </c>
      <c r="K55" s="3623" t="str">
        <f>IF(H59="非个人房产","——","个人所得税")</f>
        <v>——</v>
      </c>
      <c r="L55" s="3623"/>
      <c r="M55" s="2521" t="str">
        <f>D59</f>
        <v>——</v>
      </c>
      <c r="N55" s="2038" t="str">
        <f>E59</f>
        <v>——</v>
      </c>
      <c r="O55" s="2522" t="str">
        <f>F59</f>
        <v>——</v>
      </c>
    </row>
    <row r="56" spans="1:35" ht="24.75" hidden="1">
      <c r="A56" s="3573" t="s">
        <v>1363</v>
      </c>
      <c r="B56" s="3574"/>
      <c r="C56" s="3574"/>
      <c r="D56" s="2322">
        <f ca="1">IF(H56="个人住宅",D57,D58)</f>
        <v>333</v>
      </c>
      <c r="E56" s="2332" t="s">
        <v>1364</v>
      </c>
      <c r="F56" s="2547" t="str">
        <f>IF(H56="正常",F58,"免征")</f>
        <v>——</v>
      </c>
      <c r="G56" s="2550" t="s">
        <v>1365</v>
      </c>
      <c r="H56" s="2551" t="s">
        <v>3399</v>
      </c>
      <c r="I56" s="1808"/>
      <c r="J56" s="2516" t="str">
        <f>IF(项目基本情况!K6="上海银行",IF(J55="",4,J55+1),"")</f>
        <v/>
      </c>
      <c r="K56" s="3646" t="str">
        <f>IF(项目基本情况!K6="上海银行","其他处置费用","")</f>
        <v/>
      </c>
      <c r="L56" s="3647"/>
      <c r="M56" s="2518" t="str">
        <f>IF(项目基本情况!K6="上海银行",M69,"")</f>
        <v/>
      </c>
      <c r="N56" s="3646" t="str">
        <f>IF(项目基本情况!K6="上海银行","包含处置中涉及的律师、诉讼、拍卖、评估等费用","")</f>
        <v/>
      </c>
      <c r="O56" s="3649"/>
    </row>
    <row r="57" spans="1:35" ht="12.75" hidden="1">
      <c r="A57" s="2333" t="s">
        <v>1341</v>
      </c>
      <c r="B57" s="3584" t="s">
        <v>1366</v>
      </c>
      <c r="C57" s="3585"/>
      <c r="D57" s="1590">
        <v>0</v>
      </c>
      <c r="E57" s="324" t="s">
        <v>1343</v>
      </c>
      <c r="F57" s="302"/>
      <c r="G57" s="2548"/>
      <c r="H57" s="2552"/>
      <c r="I57" s="1808"/>
      <c r="J57" s="3623">
        <f>IF(AND(J55="",J56=""),4,IF(项目基本情况!K6="上海银行",结果表!J56+1,结果表!J55+1))</f>
        <v>4</v>
      </c>
      <c r="K57" s="3623" t="s">
        <v>1367</v>
      </c>
      <c r="L57" s="2523" t="s">
        <v>1368</v>
      </c>
      <c r="M57" s="2524"/>
      <c r="N57" s="2525">
        <f ca="1">SUMIF(M52:M56,"&lt;9e307")</f>
        <v>364</v>
      </c>
      <c r="O57" s="2526"/>
      <c r="P57" s="2683">
        <f ca="1">N57/M49</f>
        <v>0.62010221465076665</v>
      </c>
    </row>
    <row r="58" spans="1:35" ht="24.75" hidden="1">
      <c r="A58" s="2333" t="s">
        <v>1352</v>
      </c>
      <c r="B58" s="3584" t="s">
        <v>1369</v>
      </c>
      <c r="C58" s="3558"/>
      <c r="D58" s="2322">
        <f ca="1">IF(H58="转让取得",C81,C97)</f>
        <v>333</v>
      </c>
      <c r="E58" s="2332" t="s">
        <v>1364</v>
      </c>
      <c r="F58" s="302" t="s">
        <v>28</v>
      </c>
      <c r="G58" s="2548"/>
      <c r="H58" s="2551" t="s">
        <v>3400</v>
      </c>
      <c r="I58" s="1808"/>
      <c r="J58" s="3623"/>
      <c r="K58" s="3623"/>
      <c r="L58" s="2523" t="s">
        <v>1370</v>
      </c>
      <c r="M58" s="2527"/>
      <c r="N58" s="2528" t="str">
        <f ca="1">NUMBERSTRING(INT(N57*10000),2)&amp;"元整"</f>
        <v>叁佰陆拾肆万元整</v>
      </c>
      <c r="O58" s="2529"/>
    </row>
    <row r="59" spans="1:35" ht="24.75" hidden="1" thickBot="1">
      <c r="A59" s="3626" t="s">
        <v>1371</v>
      </c>
      <c r="B59" s="3627"/>
      <c r="C59" s="3627"/>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3401</v>
      </c>
      <c r="I59" s="2311" t="s">
        <v>2137</v>
      </c>
      <c r="J59" s="3624">
        <f>J57+1</f>
        <v>5</v>
      </c>
      <c r="K59" s="3623" t="s">
        <v>1372</v>
      </c>
      <c r="L59" s="2516" t="s">
        <v>1368</v>
      </c>
      <c r="M59" s="2530"/>
      <c r="N59" s="2531">
        <f ca="1">M49-N57</f>
        <v>223</v>
      </c>
      <c r="O59" s="2532"/>
    </row>
    <row r="60" spans="1:35" ht="12" hidden="1" customHeight="1">
      <c r="A60" s="1809"/>
      <c r="B60" s="1747"/>
      <c r="C60" s="1747"/>
      <c r="D60" s="1747"/>
      <c r="E60" s="1578"/>
      <c r="F60" s="1808"/>
      <c r="G60" s="1808"/>
      <c r="H60" s="1810"/>
      <c r="I60" s="129"/>
      <c r="J60" s="3625"/>
      <c r="K60" s="3623"/>
      <c r="L60" s="2523" t="s">
        <v>1370</v>
      </c>
      <c r="M60" s="2527"/>
      <c r="N60" s="2528" t="str">
        <f ca="1">NUMBERSTRING(INT(N59*10000),2)&amp;"元整"</f>
        <v>贰佰贰拾叁万元整</v>
      </c>
      <c r="O60" s="2529"/>
    </row>
    <row r="61" spans="1:35" ht="13.5" hidden="1" thickBot="1">
      <c r="A61" s="3571" t="s">
        <v>1373</v>
      </c>
      <c r="B61" s="3571"/>
      <c r="C61" s="3571"/>
      <c r="D61" s="3571"/>
      <c r="E61" s="3571"/>
      <c r="F61" s="1808"/>
      <c r="G61" s="1808"/>
      <c r="H61" s="1810"/>
      <c r="I61" s="129"/>
      <c r="J61" s="2516">
        <f>J59+1</f>
        <v>6</v>
      </c>
      <c r="K61" s="3623" t="s">
        <v>1374</v>
      </c>
      <c r="L61" s="3623"/>
      <c r="M61" s="2533"/>
      <c r="N61" s="2534">
        <f ca="1">ROUND(N59*10000/'数据-汇总表'!E3,0)</f>
        <v>10745</v>
      </c>
      <c r="O61" s="2535"/>
    </row>
    <row r="62" spans="1:35" ht="12.75" hidden="1">
      <c r="A62" s="3589" t="s">
        <v>1375</v>
      </c>
      <c r="B62" s="3590"/>
      <c r="C62" s="2019"/>
      <c r="D62" s="2019" t="s">
        <v>1376</v>
      </c>
      <c r="E62" s="166" t="s">
        <v>1377</v>
      </c>
      <c r="F62" s="1808"/>
      <c r="G62" s="1808"/>
      <c r="H62" s="1810"/>
      <c r="I62" s="129"/>
    </row>
    <row r="63" spans="1:35" ht="12.75" hidden="1">
      <c r="A63" s="173" t="s">
        <v>330</v>
      </c>
      <c r="B63" s="167" t="s">
        <v>1378</v>
      </c>
      <c r="C63" s="2557">
        <f ca="1">ROUND((C64+C65)/(1+'数据-取费表'!C42),0)</f>
        <v>559</v>
      </c>
      <c r="D63" s="167"/>
      <c r="E63" s="168"/>
      <c r="F63" s="1808"/>
      <c r="G63" s="1808"/>
      <c r="H63" s="1810"/>
      <c r="I63" s="129"/>
      <c r="J63" s="3648" t="s">
        <v>1379</v>
      </c>
      <c r="K63" s="1332" t="s">
        <v>1380</v>
      </c>
      <c r="L63" s="1332">
        <f ca="1">IF(M49&gt;10000,M49*0.5%,IF(AND(M49&gt;1000,M49&lt;=10000),M49*1%,IF(AND(M49&gt;100,M49&lt;=1000),M49*3%,IF(AND(M49&gt;10,M49&lt;=100),M49*5%,M49*8%))))</f>
        <v>17.61</v>
      </c>
      <c r="M63" s="302">
        <f ca="1">ROUND(L63,1)</f>
        <v>17.600000000000001</v>
      </c>
      <c r="N63" s="2536"/>
      <c r="Z63" s="1752"/>
      <c r="AI63" s="1753"/>
    </row>
    <row r="64" spans="1:35" ht="14.25" hidden="1" customHeight="1">
      <c r="A64" s="169" t="s">
        <v>325</v>
      </c>
      <c r="B64" s="170" t="s">
        <v>1381</v>
      </c>
      <c r="C64" s="2558">
        <f ca="1">D45</f>
        <v>587</v>
      </c>
      <c r="D64" s="170" t="s">
        <v>26</v>
      </c>
      <c r="E64" s="172"/>
      <c r="F64" s="1808"/>
      <c r="G64" s="1808"/>
      <c r="H64" s="1810"/>
      <c r="I64" s="129"/>
      <c r="J64" s="3648"/>
      <c r="K64" s="1332" t="s">
        <v>1382</v>
      </c>
      <c r="L64" s="1332">
        <f ca="1">IF(M49&gt;2000,M49*0.5%,IF(AND(M49&gt;1000,M49&lt;=2000),M49*0.6%,IF(AND(M49&gt;500,M49&lt;=1000),M49*0.7%,IF(AND(M49&gt;200,M49&lt;=500),M49*0.8%,IF(AND(M49&gt;100,M49&lt;=200),M49*0.9%,IF(AND(M49&gt;50,M49&lt;=100),M49*1%,IF(AND(M49&gt;20,M49&lt;=50),M49*1.5%,IF(AND(M49&gt;10,M49&lt;=20),M49*2%,IF(AND(M49&gt;1,M49&lt;=10),M49*2.5%)))))))))</f>
        <v>4.109</v>
      </c>
      <c r="M64" s="302">
        <f t="shared" ref="M64:M65" ca="1" si="1">ROUND(L64,1)</f>
        <v>4.0999999999999996</v>
      </c>
      <c r="N64" s="2537" t="s">
        <v>1383</v>
      </c>
      <c r="Z64" s="1752"/>
      <c r="AI64" s="1753"/>
    </row>
    <row r="65" spans="1:35" ht="14.25" hidden="1" customHeight="1">
      <c r="A65" s="169" t="s">
        <v>326</v>
      </c>
      <c r="B65" s="170" t="s">
        <v>1384</v>
      </c>
      <c r="C65" s="2559"/>
      <c r="D65" s="170"/>
      <c r="E65" s="172"/>
      <c r="F65" s="1808"/>
      <c r="G65" s="1808"/>
      <c r="H65" s="1810"/>
      <c r="I65" s="129"/>
      <c r="J65" s="3648"/>
      <c r="K65" s="1332" t="s">
        <v>1385</v>
      </c>
      <c r="L65" s="1332">
        <f ca="1">IF(M49&gt;1000,M49*0.1%,IF(AND(M49&gt;500,M49&lt;=1000),M49*0.5%,IF(AND(M49&gt;50,M49&lt;=500),M49*1%,IF(AND(M49&gt;1,M49&lt;=50),M49*1.5%))))</f>
        <v>2.9350000000000001</v>
      </c>
      <c r="M65" s="302">
        <f t="shared" ca="1" si="1"/>
        <v>2.9</v>
      </c>
      <c r="N65" s="2537" t="s">
        <v>1383</v>
      </c>
      <c r="Z65" s="1752"/>
      <c r="AI65" s="1753"/>
    </row>
    <row r="66" spans="1:35" ht="14.25" hidden="1" customHeight="1">
      <c r="A66" s="173" t="s">
        <v>327</v>
      </c>
      <c r="B66" s="174" t="s">
        <v>1386</v>
      </c>
      <c r="C66" s="2560"/>
      <c r="D66" s="174" t="s">
        <v>26</v>
      </c>
      <c r="E66" s="1338" t="s">
        <v>671</v>
      </c>
      <c r="F66" s="1808"/>
      <c r="G66" s="1808"/>
      <c r="H66" s="1810"/>
      <c r="I66" s="129"/>
      <c r="J66" s="3648"/>
      <c r="K66" s="1332" t="s">
        <v>1387</v>
      </c>
      <c r="L66" s="1332">
        <f ca="1">M49*0.5%</f>
        <v>2.9350000000000001</v>
      </c>
      <c r="M66" s="302">
        <f ca="1">IF(L66&gt;0.5,0.5,ROUND(L66,0))</f>
        <v>0.5</v>
      </c>
      <c r="N66" s="2537" t="s">
        <v>1388</v>
      </c>
      <c r="Z66" s="1752"/>
      <c r="AI66" s="1753"/>
    </row>
    <row r="67" spans="1:35" ht="14.25" hidden="1" customHeight="1">
      <c r="A67" s="173" t="s">
        <v>328</v>
      </c>
      <c r="B67" s="174" t="s">
        <v>1389</v>
      </c>
      <c r="C67" s="2561">
        <f ca="1">C63-C66</f>
        <v>559</v>
      </c>
      <c r="D67" s="170" t="s">
        <v>26</v>
      </c>
      <c r="E67" s="172"/>
      <c r="F67" s="1808"/>
      <c r="G67" s="1808"/>
      <c r="H67" s="1810"/>
      <c r="I67" s="129"/>
      <c r="J67" s="3648"/>
      <c r="K67" s="1332" t="s">
        <v>1390</v>
      </c>
      <c r="L67" s="1332">
        <f ca="1">IF(M49&gt;=10000,(8.25+(M49-10000)*0.01%),IF(AND(M49&gt;=8000,M49&lt;10000),(7.85+(M49-8000)*0.02%),IF(AND(M49&gt;=5000,M49&lt;8000),(6.65+(M49-5000)*0.04%),IF(AND(M49&gt;=2000,M49&lt;5000),(4.25+(PM49-2000)*0.08%),IF(AND(M49&gt;=1000,M49&lt;2000),(2.75+(M49-1000)*0.15%),IF(AND(M49&gt;=100,M49&lt;1000),(0.5+(M49-100)*0.25%),IF(AND(M49&gt;0,M49&lt;100),M49*0.5%)))))))</f>
        <v>1.7175</v>
      </c>
      <c r="M67" s="302">
        <f ca="1">ROUND(L67*0.9,1)</f>
        <v>1.5</v>
      </c>
      <c r="N67" s="2536"/>
      <c r="Z67" s="1752"/>
      <c r="AI67" s="1753"/>
    </row>
    <row r="68" spans="1:35" ht="14.25" hidden="1" customHeight="1" thickBot="1">
      <c r="A68" s="176" t="s">
        <v>329</v>
      </c>
      <c r="B68" s="177" t="s">
        <v>1391</v>
      </c>
      <c r="C68" s="2562">
        <f ca="1">IF(C67&lt;=0,0,ROUND(C67*D68,0))</f>
        <v>31</v>
      </c>
      <c r="D68" s="2563">
        <f>'数据-取费表'!B41</f>
        <v>5.6000000000000001E-2</v>
      </c>
      <c r="E68" s="178"/>
      <c r="F68" s="1808"/>
      <c r="G68" s="1808"/>
      <c r="H68" s="1810"/>
      <c r="I68" s="129"/>
      <c r="J68" s="3648"/>
      <c r="K68" s="1332" t="s">
        <v>1392</v>
      </c>
      <c r="L68" s="1332">
        <f ca="1">IF(M49&gt;10000,M49*0.5%,IF(AND(M49&gt;5000,M49&lt;=10000),M49*1%,IF(AND(M49&gt;1000,M49&lt;=5000),M49*2%,IF(AND(M49&gt;200,M49&lt;=1000),M49*3%,M49*5%))))</f>
        <v>17.61</v>
      </c>
      <c r="M68" s="302">
        <f ca="1">ROUND(L68,1)</f>
        <v>17.600000000000001</v>
      </c>
      <c r="N68" s="2536"/>
      <c r="Z68" s="1752"/>
      <c r="AI68" s="1753"/>
    </row>
    <row r="69" spans="1:35" s="1772" customFormat="1" ht="16.5" hidden="1" customHeight="1">
      <c r="A69" s="1811"/>
      <c r="B69" s="1812"/>
      <c r="C69" s="1813"/>
      <c r="D69" s="1814"/>
      <c r="E69" s="1815"/>
      <c r="F69" s="1578"/>
      <c r="G69" s="1578"/>
      <c r="H69" s="1577"/>
      <c r="I69" s="1747"/>
      <c r="J69" s="3648"/>
      <c r="K69" s="1332" t="s">
        <v>1393</v>
      </c>
      <c r="L69" s="1332"/>
      <c r="M69" s="302">
        <f ca="1">ROUND(SUM(M63:M68),0)</f>
        <v>44</v>
      </c>
      <c r="N69" s="2538">
        <f ca="1">M69/M49</f>
        <v>7.4957410562180582E-2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0" t="s">
        <v>1394</v>
      </c>
      <c r="B70" s="3611"/>
      <c r="C70" s="3611"/>
      <c r="D70" s="3611"/>
      <c r="E70" s="3611"/>
      <c r="F70" s="3611"/>
      <c r="G70" s="3611"/>
      <c r="H70" s="3611"/>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9" t="s">
        <v>1375</v>
      </c>
      <c r="B71" s="3590"/>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559</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3</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3</v>
      </c>
      <c r="D78" s="2570">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556</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185.33333333333334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333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9" t="s">
        <v>1375</v>
      </c>
      <c r="B84" s="3590"/>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559</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3</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650" t="s">
        <v>2129</v>
      </c>
      <c r="H90" s="3651"/>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568" t="s">
        <v>1422</v>
      </c>
      <c r="F92" s="3569"/>
      <c r="G92" s="3569"/>
      <c r="H92" s="3578"/>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3</v>
      </c>
      <c r="D93" s="2570">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556</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185.33333333333334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333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78" t="str">
        <f>C4</f>
        <v>比较法-办公</v>
      </c>
      <c r="D101" s="2579" t="str">
        <f>D4</f>
        <v>收益法 (元)</v>
      </c>
      <c r="E101" s="3645" t="s">
        <v>1431</v>
      </c>
      <c r="F101" s="3602"/>
      <c r="G101" s="1827" t="s">
        <v>1432</v>
      </c>
      <c r="H101" s="2588">
        <f ca="1">H118</f>
        <v>587</v>
      </c>
      <c r="I101" s="129"/>
    </row>
    <row r="102" spans="1:35" ht="18.75" customHeight="1">
      <c r="A102" s="3604" t="s">
        <v>1433</v>
      </c>
      <c r="B102" s="2577" t="s">
        <v>1432</v>
      </c>
      <c r="C102" s="2578">
        <f ca="1">IF(D32="楼面单价",ROUND(C19,0),C19)</f>
        <v>635</v>
      </c>
      <c r="D102" s="2579">
        <f ca="1">IF(D32="楼面单价",ROUND(D19,0),D19)</f>
        <v>473</v>
      </c>
      <c r="E102" s="3645"/>
      <c r="F102" s="3602"/>
      <c r="G102" s="1827" t="s">
        <v>1434</v>
      </c>
      <c r="H102" s="2548">
        <f ca="1">I118</f>
        <v>28273</v>
      </c>
      <c r="I102" s="129"/>
    </row>
    <row r="103" spans="1:35" ht="42.75" customHeight="1">
      <c r="A103" s="3604"/>
      <c r="B103" s="2577" t="s">
        <v>1434</v>
      </c>
      <c r="C103" s="2580">
        <f ca="1">C20</f>
        <v>30620</v>
      </c>
      <c r="D103" s="2581">
        <f ca="1">D20</f>
        <v>22796</v>
      </c>
      <c r="E103" s="3639" t="s">
        <v>1435</v>
      </c>
      <c r="F103" s="3640"/>
      <c r="G103" s="1828" t="s">
        <v>1436</v>
      </c>
      <c r="H103" s="2588">
        <f>IF(D36="正常操作",H104+H105+H106,H105+H106)</f>
        <v>0</v>
      </c>
      <c r="I103" s="129"/>
    </row>
    <row r="104" spans="1:35" ht="18.75" customHeight="1">
      <c r="A104" s="3604" t="s">
        <v>1437</v>
      </c>
      <c r="B104" s="2582" t="s">
        <v>1432</v>
      </c>
      <c r="C104" s="2583">
        <f ca="1">H118</f>
        <v>587</v>
      </c>
      <c r="D104" s="2584"/>
      <c r="E104" s="1674" t="s">
        <v>1438</v>
      </c>
      <c r="F104" s="1666"/>
      <c r="G104" s="1828" t="s">
        <v>1436</v>
      </c>
      <c r="H104" s="2589">
        <f>IF(D36="同一抵押权人同一抵押物续贷",C36&amp;"（续贷，未扣减，详见特别提示）",C36)</f>
        <v>0</v>
      </c>
      <c r="I104" s="129"/>
    </row>
    <row r="105" spans="1:35" ht="18.75" customHeight="1" thickBot="1">
      <c r="A105" s="3605"/>
      <c r="B105" s="2585" t="s">
        <v>1434</v>
      </c>
      <c r="C105" s="2586">
        <f ca="1">I118</f>
        <v>28273</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601" t="str">
        <f>IF(项目基本情况!E8="已注销","——","3.房地产抵押价值")</f>
        <v>3.房地产抵押价值</v>
      </c>
      <c r="F107" s="3602"/>
      <c r="G107" s="1827" t="s">
        <v>1432</v>
      </c>
      <c r="H107" s="2588">
        <f ca="1">IF(E107="——","——",H101-H103)</f>
        <v>587</v>
      </c>
      <c r="I107" s="129"/>
    </row>
    <row r="108" spans="1:35" ht="18.75" customHeight="1">
      <c r="A108" s="129"/>
      <c r="B108" s="129"/>
      <c r="C108" s="129"/>
      <c r="D108" s="129"/>
      <c r="E108" s="3601"/>
      <c r="F108" s="3602"/>
      <c r="G108" s="1827" t="s">
        <v>1434</v>
      </c>
      <c r="H108" s="2548">
        <f ca="1">IF(H107=H101,H102,ROUND(H107*10000/'数据-汇总表'!E3,0))</f>
        <v>28273</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1" t="str">
        <f>IF(E109="——","——",H101-H105-H106)</f>
        <v>——</v>
      </c>
      <c r="I109" s="129"/>
    </row>
    <row r="110" spans="1:35" ht="18.75" customHeight="1">
      <c r="A110" s="129"/>
      <c r="B110" s="129"/>
      <c r="C110" s="129"/>
      <c r="D110" s="129"/>
      <c r="E110" s="3601"/>
      <c r="F110" s="3602"/>
      <c r="G110" s="1827" t="s">
        <v>1434</v>
      </c>
      <c r="H110" s="2548"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88" t="str">
        <f>IF(E111="——","——",N59)</f>
        <v>——</v>
      </c>
      <c r="I111" s="129"/>
    </row>
    <row r="112" spans="1:35" ht="18.75" customHeight="1" thickBot="1">
      <c r="A112" s="129"/>
      <c r="B112" s="129"/>
      <c r="C112" s="129"/>
      <c r="D112" s="129"/>
      <c r="E112" s="3634"/>
      <c r="F112" s="3635"/>
      <c r="G112" s="1830" t="s">
        <v>1434</v>
      </c>
      <c r="H112" s="2592"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3" t="str">
        <f>项目基本情况!S2</f>
        <v>北京市房地产</v>
      </c>
      <c r="B118" s="2327">
        <f>M18</f>
        <v>207.53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587</v>
      </c>
      <c r="I118" s="2327">
        <f ca="1">ROUND(IF(D32="楼面单价",C32,H118*10000/B118),0)</f>
        <v>28273</v>
      </c>
    </row>
    <row r="119" spans="1:27" ht="18.75" customHeight="1">
      <c r="A119" s="3572" t="s">
        <v>1452</v>
      </c>
      <c r="B119" s="3572"/>
      <c r="C119" s="3572"/>
      <c r="D119" s="3612" t="e">
        <f ca="1">NUMBERSTRING(INT(D118*10000),2)&amp;"元整"</f>
        <v>#REF!</v>
      </c>
      <c r="E119" s="3614"/>
      <c r="F119" s="3612" t="e">
        <f ca="1">NUMBERSTRING(INT(F118*10000),2)&amp;"元整"</f>
        <v>#REF!</v>
      </c>
      <c r="G119" s="3614"/>
      <c r="H119" s="3612" t="str">
        <f ca="1">NUMBERSTRING(INT(H118*10000),2)&amp;"元整"</f>
        <v>伍佰捌拾柒万元整</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f ca="1">H107</f>
        <v>587</v>
      </c>
      <c r="E122" s="3637"/>
      <c r="F122" s="3637"/>
      <c r="G122" s="3637"/>
      <c r="H122" s="3637"/>
      <c r="I122" s="3638"/>
      <c r="AA122" s="725"/>
    </row>
    <row r="123" spans="1:27" ht="18.75" customHeight="1">
      <c r="A123" s="3572" t="s">
        <v>1452</v>
      </c>
      <c r="B123" s="3572"/>
      <c r="C123" s="3572"/>
      <c r="D123" s="3612" t="str">
        <f ca="1">NUMBERSTRING(INT(D122*10000),2)&amp;"元整"</f>
        <v>伍佰捌拾柒万元整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207.53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207.53</v>
      </c>
      <c r="E19" s="211">
        <f>'数据-取费表'!B31</f>
        <v>200</v>
      </c>
      <c r="F19" s="231"/>
      <c r="G19" s="1856" t="s">
        <v>3403</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207.53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122</v>
      </c>
      <c r="D51" s="232"/>
      <c r="E51" s="232"/>
      <c r="F51" s="264"/>
      <c r="G51" s="234" t="s">
        <v>1560</v>
      </c>
    </row>
    <row r="52" spans="1:7" s="208" customFormat="1" ht="16.5" thickBot="1">
      <c r="A52" s="265" t="s">
        <v>1561</v>
      </c>
      <c r="B52" s="266"/>
      <c r="C52" s="267">
        <f ca="1">C31+C51</f>
        <v>127</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127.6538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41506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41506</v>
      </c>
      <c r="D8" s="222"/>
      <c r="E8" s="220"/>
      <c r="F8" s="221"/>
      <c r="G8" s="1856"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41506</v>
      </c>
      <c r="D10" s="845">
        <f ca="1">IF(B1="",'数据-汇总表'!E6,IF(INDIRECT("'数据-取费表'!c"&amp;$G$1)="住宅",INDIRECT("'数据-取费表'!s"&amp;$G$1),INDIRECT("'数据-取费表'!k"&amp;$G$1)+INDIRECT("'数据-取费表'!s"&amp;$G$1)))</f>
        <v>207.53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207.53</v>
      </c>
      <c r="E19" s="211">
        <f>'数据-取费表'!B31</f>
        <v>200</v>
      </c>
      <c r="F19" s="231"/>
      <c r="G19" s="1856" t="s">
        <v>3403</v>
      </c>
    </row>
    <row r="20" spans="1:7" s="214" customFormat="1" ht="13.5" customHeight="1">
      <c r="A20" s="255" t="s">
        <v>1574</v>
      </c>
      <c r="B20" s="210" t="s">
        <v>1575</v>
      </c>
      <c r="C20" s="232">
        <f ca="1">ROUND((C5+C19)*F20,0)</f>
        <v>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2942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6350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6350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1036093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933885</v>
      </c>
      <c r="D34" s="217"/>
      <c r="E34" s="220"/>
      <c r="F34" s="257"/>
      <c r="G34" s="219"/>
    </row>
    <row r="35" spans="1:7" ht="13.5" customHeight="1">
      <c r="A35" s="780" t="s">
        <v>351</v>
      </c>
      <c r="B35" s="215" t="s">
        <v>1527</v>
      </c>
      <c r="C35" s="220">
        <f ca="1">ROUND(C34*F35,0)</f>
        <v>46694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41506</v>
      </c>
      <c r="D37" s="217">
        <f ca="1">D19</f>
        <v>207.53</v>
      </c>
      <c r="E37" s="249">
        <f>'数据-取费表'!B35</f>
        <v>200</v>
      </c>
      <c r="F37" s="259"/>
      <c r="G37" s="261"/>
    </row>
    <row r="38" spans="1:7" ht="13.5" customHeight="1">
      <c r="A38" s="780" t="s">
        <v>354</v>
      </c>
      <c r="B38" s="215" t="s">
        <v>1533</v>
      </c>
      <c r="C38" s="220">
        <f ca="1">ROUND(C34*F38,0)</f>
        <v>14008</v>
      </c>
      <c r="D38" s="220"/>
      <c r="E38" s="220"/>
      <c r="F38" s="259">
        <f>'数据-取费表'!B36</f>
        <v>1.4999999999999999E-2</v>
      </c>
      <c r="G38" s="219" t="s">
        <v>1528</v>
      </c>
    </row>
    <row r="39" spans="1:7" s="214" customFormat="1" ht="13.5" customHeight="1">
      <c r="A39" s="255" t="s">
        <v>1534</v>
      </c>
      <c r="B39" s="210" t="s">
        <v>1535</v>
      </c>
      <c r="C39" s="232">
        <f ca="1">ROUND(C33*F20,0)</f>
        <v>20722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36460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35745</v>
      </c>
      <c r="D42" s="238"/>
      <c r="E42" s="238"/>
      <c r="F42" s="239"/>
      <c r="G42" s="3652" t="s">
        <v>1591</v>
      </c>
    </row>
    <row r="43" spans="1:7" ht="13.5" customHeight="1">
      <c r="A43" s="780" t="s">
        <v>347</v>
      </c>
      <c r="B43" s="215" t="s">
        <v>1545</v>
      </c>
      <c r="C43" s="238">
        <f ca="1">ROUND(IF('数据-取费表'!B22&lt;=1,C39*F22*'数据-取费表'!B20/2,C39*(POWER((1+F22),'数据-取费表'!B20/2)-1)),0)</f>
        <v>715</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158522</v>
      </c>
      <c r="D45" s="235">
        <f ca="1">C47</f>
        <v>3.0000000000000001E-3</v>
      </c>
      <c r="E45" s="236" t="s">
        <v>1539</v>
      </c>
      <c r="F45" s="246">
        <f ca="1">F27</f>
        <v>0.15</v>
      </c>
      <c r="G45" s="247" t="s">
        <v>1548</v>
      </c>
    </row>
    <row r="46" spans="1:7" s="214" customFormat="1" ht="13.5" customHeight="1">
      <c r="A46" s="780" t="s">
        <v>346</v>
      </c>
      <c r="B46" s="248" t="s">
        <v>1549</v>
      </c>
      <c r="C46" s="249">
        <f ca="1">ROUND((C33+C39)*F27,0)</f>
        <v>158522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1356226</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1220603</v>
      </c>
      <c r="D51" s="232"/>
      <c r="E51" s="232"/>
      <c r="F51" s="264"/>
      <c r="G51" s="234" t="s">
        <v>1560</v>
      </c>
    </row>
    <row r="52" spans="1:7" s="208" customFormat="1" ht="16.5" thickBot="1">
      <c r="A52" s="265" t="s">
        <v>1561</v>
      </c>
      <c r="B52" s="266"/>
      <c r="C52" s="267">
        <f ca="1">C31+C51</f>
        <v>1276538</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207.53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3407</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G48" sqref="G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8.5" style="357" customWidth="1"/>
    <col min="6" max="6" width="12.25" style="357" customWidth="1"/>
    <col min="7" max="7" width="17.5" style="357" customWidth="1"/>
    <col min="8" max="8" width="12.25" style="357" customWidth="1"/>
    <col min="9" max="9" width="18.8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3426</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635.45690000000002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30620</v>
      </c>
      <c r="C3" s="354" t="s">
        <v>1768</v>
      </c>
      <c r="D3" s="353">
        <f>IF(D1="",'数据-汇总表'!E3,SUMIF('数据-汇总表'!$C19:$C33,D1,'数据-汇总表'!$E19:$E33))</f>
        <v>207.53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08"/>
      <c r="M4" s="2709"/>
      <c r="N4" s="2709"/>
      <c r="O4" s="2709"/>
      <c r="P4" s="3682" t="s">
        <v>1775</v>
      </c>
      <c r="Q4" s="3683"/>
      <c r="R4" s="3688" t="s">
        <v>1771</v>
      </c>
      <c r="S4" s="3689"/>
      <c r="T4" s="3688" t="s">
        <v>1772</v>
      </c>
      <c r="U4" s="3689"/>
      <c r="V4" s="3694" t="s">
        <v>1773</v>
      </c>
      <c r="W4" s="3694"/>
      <c r="X4" s="1956"/>
      <c r="Y4" s="3688" t="s">
        <v>1775</v>
      </c>
      <c r="Z4" s="3689"/>
      <c r="AA4" s="3706" t="s">
        <v>1771</v>
      </c>
      <c r="AB4" s="3706" t="s">
        <v>1772</v>
      </c>
      <c r="AC4" s="3675" t="s">
        <v>1773</v>
      </c>
    </row>
    <row r="5" spans="1:29" ht="15">
      <c r="A5" s="358"/>
      <c r="B5" s="359"/>
      <c r="C5" s="3698" t="s">
        <v>1673</v>
      </c>
      <c r="D5" s="3699"/>
      <c r="E5" s="3709" t="str">
        <f>'案例 (2)'!A2</f>
        <v>金融街长安中心‘</v>
      </c>
      <c r="F5" s="3710"/>
      <c r="G5" s="3698" t="str">
        <f>'案例 (2)'!A3</f>
        <v>绿地环球文化金融城</v>
      </c>
      <c r="H5" s="3699"/>
      <c r="I5" s="3698" t="str">
        <f>'案例 (2)'!A4</f>
        <v>绿地环球文化金融城</v>
      </c>
      <c r="J5" s="3699"/>
      <c r="K5" s="559"/>
      <c r="L5" s="2708"/>
      <c r="M5" s="2709"/>
      <c r="N5" s="2709"/>
      <c r="O5" s="2709"/>
      <c r="P5" s="3684"/>
      <c r="Q5" s="3685"/>
      <c r="R5" s="3690"/>
      <c r="S5" s="3691"/>
      <c r="T5" s="3690"/>
      <c r="U5" s="3691"/>
      <c r="V5" s="3695"/>
      <c r="W5" s="3695"/>
      <c r="X5" s="1355"/>
      <c r="Y5" s="3690"/>
      <c r="Z5" s="3691"/>
      <c r="AA5" s="3707"/>
      <c r="AB5" s="3707"/>
      <c r="AC5" s="3676"/>
    </row>
    <row r="6" spans="1:29" ht="15.75" thickBot="1">
      <c r="A6" s="360"/>
      <c r="B6" s="361"/>
      <c r="C6" s="3696" t="s">
        <v>1677</v>
      </c>
      <c r="D6" s="3697"/>
      <c r="E6" s="3704" t="s">
        <v>1677</v>
      </c>
      <c r="F6" s="3705"/>
      <c r="G6" s="3696" t="s">
        <v>1677</v>
      </c>
      <c r="H6" s="3697"/>
      <c r="I6" s="3696" t="s">
        <v>1677</v>
      </c>
      <c r="J6" s="3697"/>
      <c r="K6" s="559" t="s">
        <v>1678</v>
      </c>
      <c r="L6" s="2708"/>
      <c r="M6" s="2709"/>
      <c r="N6" s="2709"/>
      <c r="O6" s="2709"/>
      <c r="P6" s="3686"/>
      <c r="Q6" s="3687"/>
      <c r="R6" s="3690"/>
      <c r="S6" s="3691"/>
      <c r="T6" s="3692"/>
      <c r="U6" s="3693"/>
      <c r="V6" s="3695"/>
      <c r="W6" s="3695"/>
      <c r="X6" s="1355"/>
      <c r="Y6" s="3692"/>
      <c r="Z6" s="3693"/>
      <c r="AA6" s="3708"/>
      <c r="AB6" s="3708"/>
      <c r="AC6" s="3677"/>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0"/>
      <c r="M7" s="2711"/>
      <c r="N7" s="2711"/>
      <c r="O7" s="2711"/>
      <c r="P7" s="3700" t="s">
        <v>1680</v>
      </c>
      <c r="Q7" s="3703"/>
      <c r="R7" s="701" t="s">
        <v>14</v>
      </c>
      <c r="S7" s="702">
        <f t="shared" ref="S7:S15" si="0">F7</f>
        <v>100</v>
      </c>
      <c r="T7" s="701" t="s">
        <v>14</v>
      </c>
      <c r="U7" s="702">
        <f t="shared" ref="U7:U15" si="1">H7</f>
        <v>100</v>
      </c>
      <c r="V7" s="701" t="s">
        <v>14</v>
      </c>
      <c r="W7" s="702">
        <f t="shared" ref="W7:W15" si="2">J7</f>
        <v>100</v>
      </c>
      <c r="X7" s="703"/>
      <c r="Y7" s="3702" t="s">
        <v>1680</v>
      </c>
      <c r="Z7" s="3701"/>
      <c r="AA7" s="704">
        <f>D7/F7</f>
        <v>1</v>
      </c>
      <c r="AB7" s="704">
        <f>D7/H7</f>
        <v>1</v>
      </c>
      <c r="AC7" s="1957">
        <f>D7/J7</f>
        <v>1</v>
      </c>
    </row>
    <row r="8" spans="1:29" s="108" customFormat="1" ht="15.75" thickBot="1">
      <c r="A8" s="362" t="s">
        <v>1681</v>
      </c>
      <c r="B8" s="363"/>
      <c r="C8" s="368" t="s">
        <v>3399</v>
      </c>
      <c r="D8" s="365">
        <v>100</v>
      </c>
      <c r="E8" s="368" t="s">
        <v>3428</v>
      </c>
      <c r="F8" s="367">
        <f>SUMIF(62:62,E8,63:63)-SUMIF(62:62,C8,63:63)+100</f>
        <v>102</v>
      </c>
      <c r="G8" s="368" t="s">
        <v>3428</v>
      </c>
      <c r="H8" s="365">
        <f>SUMIF(62:62,G8,63:63)-SUMIF(62:62,C8,63:63)+100</f>
        <v>102</v>
      </c>
      <c r="I8" s="368" t="s">
        <v>3428</v>
      </c>
      <c r="J8" s="365">
        <f>SUMIF(62:62,I8,63:63)-SUMIF(62:62,C8,63:63)+100</f>
        <v>102</v>
      </c>
      <c r="K8" s="560"/>
      <c r="L8" s="2710"/>
      <c r="M8" s="2711"/>
      <c r="N8" s="2711"/>
      <c r="O8" s="2711"/>
      <c r="P8" s="3700" t="s">
        <v>1683</v>
      </c>
      <c r="Q8" s="3701"/>
      <c r="R8" s="701" t="s">
        <v>14</v>
      </c>
      <c r="S8" s="702">
        <f t="shared" si="0"/>
        <v>102</v>
      </c>
      <c r="T8" s="701" t="s">
        <v>14</v>
      </c>
      <c r="U8" s="702">
        <f t="shared" si="1"/>
        <v>102</v>
      </c>
      <c r="V8" s="701" t="s">
        <v>14</v>
      </c>
      <c r="W8" s="702">
        <f t="shared" si="2"/>
        <v>102</v>
      </c>
      <c r="X8" s="703"/>
      <c r="Y8" s="3702" t="s">
        <v>1683</v>
      </c>
      <c r="Z8" s="3701"/>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3494</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60"/>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5"/>
      <c r="M15" s="2709"/>
      <c r="N15" s="2709"/>
      <c r="O15" s="2709"/>
      <c r="P15" s="3666"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0">
        <f t="shared" si="5"/>
        <v>1</v>
      </c>
    </row>
    <row r="16" spans="1:29" ht="15">
      <c r="A16" s="379"/>
      <c r="B16" s="578"/>
      <c r="C16" s="1904" t="s">
        <v>3391</v>
      </c>
      <c r="D16" s="399"/>
      <c r="E16" s="398" t="s">
        <v>3391</v>
      </c>
      <c r="F16" s="399"/>
      <c r="G16" s="398" t="s">
        <v>3391</v>
      </c>
      <c r="H16" s="401"/>
      <c r="I16" s="398" t="s">
        <v>3391</v>
      </c>
      <c r="J16" s="399"/>
      <c r="K16" s="564"/>
      <c r="L16" s="2715"/>
      <c r="M16" s="2709"/>
      <c r="N16" s="2709"/>
      <c r="O16" s="2709"/>
      <c r="P16" s="3667"/>
      <c r="Q16" s="1352"/>
      <c r="R16" s="705"/>
      <c r="S16" s="706"/>
      <c r="T16" s="705"/>
      <c r="U16" s="706"/>
      <c r="V16" s="705"/>
      <c r="W16" s="706"/>
      <c r="X16" s="1355"/>
      <c r="Y16" s="3669"/>
      <c r="Z16" s="1356"/>
      <c r="AA16" s="1353">
        <v>1</v>
      </c>
      <c r="AB16" s="1353">
        <v>1</v>
      </c>
      <c r="AC16" s="1960">
        <v>1</v>
      </c>
    </row>
    <row r="17" spans="1:29" ht="15">
      <c r="A17" s="379"/>
      <c r="B17" s="579" t="s">
        <v>1259</v>
      </c>
      <c r="C17" s="1961"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5"/>
      <c r="M17" s="2709"/>
      <c r="N17" s="2709"/>
      <c r="O17" s="2709"/>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0">
        <f t="shared" si="5"/>
        <v>1</v>
      </c>
    </row>
    <row r="18" spans="1:29" ht="15">
      <c r="A18" s="379"/>
      <c r="B18" s="580"/>
      <c r="C18" s="1962" t="s">
        <v>3391</v>
      </c>
      <c r="D18" s="401"/>
      <c r="E18" s="1902" t="s">
        <v>3391</v>
      </c>
      <c r="F18" s="401"/>
      <c r="G18" s="1902" t="s">
        <v>3391</v>
      </c>
      <c r="H18" s="399"/>
      <c r="I18" s="1902" t="s">
        <v>3391</v>
      </c>
      <c r="J18" s="399"/>
      <c r="K18" s="564"/>
      <c r="L18" s="2715"/>
      <c r="M18" s="2709"/>
      <c r="N18" s="2709"/>
      <c r="O18" s="2709"/>
      <c r="P18" s="3667"/>
      <c r="Q18" s="1352"/>
      <c r="R18" s="705"/>
      <c r="S18" s="706"/>
      <c r="T18" s="705"/>
      <c r="U18" s="706"/>
      <c r="V18" s="705"/>
      <c r="W18" s="706"/>
      <c r="X18" s="1355"/>
      <c r="Y18" s="3669"/>
      <c r="Z18" s="1356"/>
      <c r="AA18" s="1353">
        <v>1</v>
      </c>
      <c r="AB18" s="1353">
        <v>1</v>
      </c>
      <c r="AC18" s="1960">
        <v>1</v>
      </c>
    </row>
    <row r="19" spans="1:29" ht="15">
      <c r="A19" s="379"/>
      <c r="B19" s="579" t="s">
        <v>1812</v>
      </c>
      <c r="C19" s="1961"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5"/>
      <c r="M19" s="2709"/>
      <c r="N19" s="2709"/>
      <c r="O19" s="2709"/>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0">
        <f t="shared" si="5"/>
        <v>1</v>
      </c>
    </row>
    <row r="20" spans="1:29" ht="15">
      <c r="A20" s="379"/>
      <c r="B20" s="580"/>
      <c r="C20" s="1904" t="s">
        <v>3391</v>
      </c>
      <c r="D20" s="399"/>
      <c r="E20" s="1897" t="s">
        <v>3391</v>
      </c>
      <c r="F20" s="399"/>
      <c r="G20" s="1897" t="s">
        <v>3391</v>
      </c>
      <c r="H20" s="399"/>
      <c r="I20" s="1897" t="s">
        <v>3391</v>
      </c>
      <c r="J20" s="399"/>
      <c r="K20" s="564"/>
      <c r="L20" s="2715"/>
      <c r="M20" s="2709"/>
      <c r="N20" s="2709"/>
      <c r="O20" s="2709"/>
      <c r="P20" s="3667"/>
      <c r="Q20" s="1352"/>
      <c r="R20" s="705"/>
      <c r="S20" s="706"/>
      <c r="T20" s="705"/>
      <c r="U20" s="706"/>
      <c r="V20" s="705"/>
      <c r="W20" s="706"/>
      <c r="X20" s="1355"/>
      <c r="Y20" s="3669"/>
      <c r="Z20" s="1356"/>
      <c r="AA20" s="1353">
        <v>1</v>
      </c>
      <c r="AB20" s="1353">
        <v>1</v>
      </c>
      <c r="AC20" s="1960">
        <v>1</v>
      </c>
    </row>
    <row r="21" spans="1:29" ht="15">
      <c r="A21" s="379"/>
      <c r="B21" s="581" t="s">
        <v>1813</v>
      </c>
      <c r="C21" s="1961"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5"/>
      <c r="M21" s="2709"/>
      <c r="N21" s="2709"/>
      <c r="O21" s="2709"/>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0">
        <f t="shared" ref="AC21" si="10">D21/J21</f>
        <v>1</v>
      </c>
    </row>
    <row r="22" spans="1:29" ht="15">
      <c r="A22" s="379"/>
      <c r="B22" s="581"/>
      <c r="C22" s="1962" t="s">
        <v>3395</v>
      </c>
      <c r="D22" s="399"/>
      <c r="E22" s="398" t="s">
        <v>3395</v>
      </c>
      <c r="F22" s="399"/>
      <c r="G22" s="398" t="s">
        <v>3395</v>
      </c>
      <c r="H22" s="399"/>
      <c r="I22" s="398" t="s">
        <v>3395</v>
      </c>
      <c r="J22" s="399"/>
      <c r="K22" s="1130"/>
      <c r="L22" s="2715"/>
      <c r="M22" s="2709"/>
      <c r="N22" s="2709"/>
      <c r="O22" s="2709"/>
      <c r="P22" s="3667"/>
      <c r="Q22" s="1352"/>
      <c r="R22" s="705"/>
      <c r="S22" s="706"/>
      <c r="T22" s="705"/>
      <c r="U22" s="706"/>
      <c r="V22" s="705"/>
      <c r="W22" s="706"/>
      <c r="X22" s="1355"/>
      <c r="Y22" s="3669"/>
      <c r="Z22" s="1356"/>
      <c r="AA22" s="1353">
        <v>1</v>
      </c>
      <c r="AB22" s="1353">
        <v>1</v>
      </c>
      <c r="AC22" s="1960">
        <v>1</v>
      </c>
    </row>
    <row r="23" spans="1:29" ht="15">
      <c r="A23" s="379"/>
      <c r="B23" s="579" t="s">
        <v>1814</v>
      </c>
      <c r="C23" s="1961"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5"/>
      <c r="M23" s="2709"/>
      <c r="N23" s="2709"/>
      <c r="O23" s="2709"/>
      <c r="P23" s="3667"/>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0">
        <f t="shared" si="5"/>
        <v>1</v>
      </c>
    </row>
    <row r="24" spans="1:29" ht="15">
      <c r="A24" s="379"/>
      <c r="B24" s="581"/>
      <c r="C24" s="1904" t="s">
        <v>3391</v>
      </c>
      <c r="D24" s="399"/>
      <c r="E24" s="1897" t="s">
        <v>3391</v>
      </c>
      <c r="F24" s="399"/>
      <c r="G24" s="1897" t="s">
        <v>3391</v>
      </c>
      <c r="H24" s="399"/>
      <c r="I24" s="1897" t="s">
        <v>3391</v>
      </c>
      <c r="J24" s="399"/>
      <c r="K24" s="564"/>
      <c r="L24" s="2715"/>
      <c r="M24" s="2709"/>
      <c r="N24" s="2709"/>
      <c r="O24" s="2709"/>
      <c r="P24" s="3667"/>
      <c r="Q24" s="1352"/>
      <c r="R24" s="705"/>
      <c r="S24" s="706"/>
      <c r="T24" s="705"/>
      <c r="U24" s="706"/>
      <c r="V24" s="705"/>
      <c r="W24" s="706"/>
      <c r="X24" s="1355"/>
      <c r="Y24" s="3669"/>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7"/>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67"/>
      <c r="Q26" s="1352"/>
      <c r="R26" s="705"/>
      <c r="S26" s="706"/>
      <c r="T26" s="705"/>
      <c r="U26" s="706"/>
      <c r="V26" s="705"/>
      <c r="W26" s="706"/>
      <c r="X26" s="1355"/>
      <c r="Y26" s="3669"/>
      <c r="Z26" s="1356"/>
      <c r="AA26" s="1353">
        <v>1</v>
      </c>
      <c r="AB26" s="1353">
        <v>1</v>
      </c>
      <c r="AC26" s="1960">
        <v>1</v>
      </c>
    </row>
    <row r="27" spans="1:29" ht="15">
      <c r="A27" s="379"/>
      <c r="B27" s="580" t="s">
        <v>1783</v>
      </c>
      <c r="C27" s="582" t="s">
        <v>3512</v>
      </c>
      <c r="D27" s="386">
        <v>100</v>
      </c>
      <c r="E27" s="565" t="s">
        <v>3512</v>
      </c>
      <c r="F27" s="386">
        <f>SUMIF(89:89,E27,90:90)-SUMIF(89:89,C27,90:90)+100</f>
        <v>100</v>
      </c>
      <c r="G27" s="582" t="s">
        <v>3513</v>
      </c>
      <c r="H27" s="386">
        <f>SUMIF(89:89,G27,90:90)-SUMIF(89:89,C27,90:90)+100</f>
        <v>97</v>
      </c>
      <c r="I27" s="565" t="s">
        <v>3513</v>
      </c>
      <c r="J27" s="386">
        <f>SUMIF(89:89,I27,90:90)-SUMIF(89:89,C27,90:90)+100</f>
        <v>97</v>
      </c>
      <c r="K27" s="561">
        <v>3</v>
      </c>
      <c r="L27" s="2715"/>
      <c r="M27" s="2709"/>
      <c r="N27" s="2709"/>
      <c r="O27" s="2709"/>
      <c r="P27" s="3667"/>
      <c r="Q27" s="1352" t="str">
        <f t="shared" ref="Q27:Q47" si="11">B27</f>
        <v>楼层</v>
      </c>
      <c r="R27" s="705" t="s">
        <v>14</v>
      </c>
      <c r="S27" s="706">
        <f>F27</f>
        <v>100</v>
      </c>
      <c r="T27" s="705" t="s">
        <v>14</v>
      </c>
      <c r="U27" s="706">
        <f>H27</f>
        <v>97</v>
      </c>
      <c r="V27" s="705" t="s">
        <v>14</v>
      </c>
      <c r="W27" s="706">
        <f>J27</f>
        <v>97</v>
      </c>
      <c r="X27" s="1355"/>
      <c r="Y27" s="3669"/>
      <c r="Z27" s="1356" t="str">
        <f>Q27</f>
        <v>楼层</v>
      </c>
      <c r="AA27" s="1353">
        <f t="shared" si="3"/>
        <v>1</v>
      </c>
      <c r="AB27" s="1353">
        <f t="shared" si="4"/>
        <v>1.0309278350515463</v>
      </c>
      <c r="AC27" s="1960">
        <f t="shared" si="5"/>
        <v>1.0309278350515463</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67"/>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67"/>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67"/>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0">
        <f t="shared" si="5"/>
        <v>1</v>
      </c>
    </row>
    <row r="33" spans="1:29" ht="15">
      <c r="A33" s="391" t="s">
        <v>1694</v>
      </c>
      <c r="B33" s="63" t="s">
        <v>1817</v>
      </c>
      <c r="C33" s="1965" t="s">
        <v>3480</v>
      </c>
      <c r="D33" s="418">
        <v>100</v>
      </c>
      <c r="E33" s="1965" t="s">
        <v>3480</v>
      </c>
      <c r="F33" s="412">
        <f>SUMIF(101:101,E33,102:102)-SUMIF(101:101,C33,102:102)+100</f>
        <v>100</v>
      </c>
      <c r="G33" s="1965" t="s">
        <v>3480</v>
      </c>
      <c r="H33" s="386">
        <f>SUMIF(101:101,G33,102:102)-SUMIF(101:101,C33,102:102)+100</f>
        <v>100</v>
      </c>
      <c r="I33" s="1965" t="s">
        <v>3480</v>
      </c>
      <c r="J33" s="418">
        <f>SUMIF(101:101,I33,102:102)-SUMIF(101:101,C33,102:102)+100</f>
        <v>100</v>
      </c>
      <c r="K33" s="561">
        <v>5</v>
      </c>
      <c r="L33" s="2715"/>
      <c r="M33" s="2709"/>
      <c r="N33" s="2709"/>
      <c r="O33" s="2709"/>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0">
        <f t="shared" si="5"/>
        <v>1</v>
      </c>
    </row>
    <row r="34" spans="1:29" s="422" customFormat="1" ht="15">
      <c r="A34" s="419"/>
      <c r="B34" s="375" t="s">
        <v>1697</v>
      </c>
      <c r="C34" s="420">
        <f>'数据-汇总表'!E3</f>
        <v>207.53</v>
      </c>
      <c r="D34" s="127">
        <v>100</v>
      </c>
      <c r="E34" s="381">
        <v>64</v>
      </c>
      <c r="F34" s="376">
        <f>LOOKUP(E34,104:104,105:105)-LOOKUP(C34,104:104,105:105)+100</f>
        <v>98</v>
      </c>
      <c r="G34" s="380">
        <v>55</v>
      </c>
      <c r="H34" s="127">
        <f>LOOKUP(G34,104:104,105:105)-LOOKUP(C34,104:104,105:105)+100</f>
        <v>98</v>
      </c>
      <c r="I34" s="380">
        <v>1600</v>
      </c>
      <c r="J34" s="127">
        <f>LOOKUP(I34,104:104,105:105)-LOOKUP(C34,104:104,105:105)+100</f>
        <v>98</v>
      </c>
      <c r="K34" s="562"/>
      <c r="L34" s="2714"/>
      <c r="M34" s="2716"/>
      <c r="N34" s="2716"/>
      <c r="O34" s="2716"/>
      <c r="P34" s="3671"/>
      <c r="Q34" s="707" t="str">
        <f t="shared" si="11"/>
        <v>项目建筑规模</v>
      </c>
      <c r="R34" s="708" t="s">
        <v>14</v>
      </c>
      <c r="S34" s="709">
        <f t="shared" si="12"/>
        <v>98</v>
      </c>
      <c r="T34" s="708" t="s">
        <v>14</v>
      </c>
      <c r="U34" s="709">
        <f t="shared" si="13"/>
        <v>98</v>
      </c>
      <c r="V34" s="708" t="s">
        <v>14</v>
      </c>
      <c r="W34" s="709">
        <f t="shared" si="14"/>
        <v>98</v>
      </c>
      <c r="X34" s="710"/>
      <c r="Y34" s="3673"/>
      <c r="Z34" s="711" t="str">
        <f t="shared" si="15"/>
        <v>项目建筑规模</v>
      </c>
      <c r="AA34" s="1353">
        <f t="shared" si="3"/>
        <v>1.0204081632653061</v>
      </c>
      <c r="AB34" s="1353">
        <f t="shared" si="4"/>
        <v>1.0204081632653061</v>
      </c>
      <c r="AC34" s="1960">
        <f t="shared" si="5"/>
        <v>1.0204081632653061</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5"/>
      <c r="M35" s="2709"/>
      <c r="N35" s="2709"/>
      <c r="O35" s="2709"/>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0">
        <f t="shared" si="5"/>
        <v>1</v>
      </c>
    </row>
    <row r="36" spans="1:29" ht="15">
      <c r="A36" s="423"/>
      <c r="B36" s="375" t="s">
        <v>1785</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2</v>
      </c>
      <c r="L36" s="2715"/>
      <c r="M36" s="2709"/>
      <c r="N36" s="2709"/>
      <c r="O36" s="2709"/>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671"/>
      <c r="Q37" s="1352" t="str">
        <f t="shared" si="11"/>
        <v>成新度</v>
      </c>
      <c r="R37" s="705" t="s">
        <v>14</v>
      </c>
      <c r="S37" s="706">
        <f t="shared" si="12"/>
        <v>100</v>
      </c>
      <c r="T37" s="705" t="s">
        <v>14</v>
      </c>
      <c r="U37" s="706">
        <f t="shared" si="13"/>
        <v>100</v>
      </c>
      <c r="V37" s="705" t="s">
        <v>14</v>
      </c>
      <c r="W37" s="706">
        <f t="shared" si="14"/>
        <v>100</v>
      </c>
      <c r="X37" s="1355"/>
      <c r="Y37" s="3673"/>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7">
        <f t="shared" si="5"/>
        <v>1</v>
      </c>
    </row>
    <row r="39" spans="1:29" ht="15">
      <c r="A39" s="423"/>
      <c r="B39" s="375" t="s">
        <v>1819</v>
      </c>
      <c r="C39" s="411" t="s">
        <v>3488</v>
      </c>
      <c r="D39" s="386">
        <v>100</v>
      </c>
      <c r="E39" s="411" t="s">
        <v>3488</v>
      </c>
      <c r="F39" s="412">
        <f>SUMIF(115:115,E39,116:116)-SUMIF(115:115,C39,116:116)+100</f>
        <v>100</v>
      </c>
      <c r="G39" s="411" t="s">
        <v>3488</v>
      </c>
      <c r="H39" s="386">
        <f>SUMIF(115:115,G39,116:116)-SUMIF(115:115,C39,116:116)+100</f>
        <v>100</v>
      </c>
      <c r="I39" s="411" t="s">
        <v>3488</v>
      </c>
      <c r="J39" s="386">
        <f>SUMIF(115:115,I39,116:116)-SUMIF(115:115,C39,116:116)+100</f>
        <v>100</v>
      </c>
      <c r="K39" s="561">
        <v>2</v>
      </c>
      <c r="L39" s="2715"/>
      <c r="M39" s="2709"/>
      <c r="N39" s="2709"/>
      <c r="O39" s="2709"/>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0">
        <f t="shared" si="5"/>
        <v>1</v>
      </c>
    </row>
    <row r="40" spans="1:29" ht="15">
      <c r="A40" s="423"/>
      <c r="B40" s="375" t="s">
        <v>1787</v>
      </c>
      <c r="C40" s="411" t="s">
        <v>3470</v>
      </c>
      <c r="D40" s="386">
        <v>100</v>
      </c>
      <c r="E40" s="411" t="s">
        <v>3470</v>
      </c>
      <c r="F40" s="412">
        <f>SUMIF(117:117,E40,118:118)-SUMIF(117:117,C40,118:118)+100</f>
        <v>100</v>
      </c>
      <c r="G40" s="411" t="s">
        <v>3470</v>
      </c>
      <c r="H40" s="386">
        <f>SUMIF(117:117,G40,118:118)-SUMIF(117:117,C40,118:118)+100</f>
        <v>100</v>
      </c>
      <c r="I40" s="411" t="s">
        <v>3470</v>
      </c>
      <c r="J40" s="386">
        <f>SUMIF(117:117,I40,118:118)-SUMIF(117:117,C40,118:118)+100</f>
        <v>100</v>
      </c>
      <c r="K40" s="561">
        <v>1</v>
      </c>
      <c r="L40" s="2715"/>
      <c r="M40" s="2709"/>
      <c r="N40" s="2709"/>
      <c r="O40" s="2709"/>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0">
        <f t="shared" si="5"/>
        <v>1</v>
      </c>
    </row>
    <row r="41" spans="1:29" ht="15">
      <c r="A41" s="423"/>
      <c r="B41" s="375" t="s">
        <v>1789</v>
      </c>
      <c r="C41" s="565" t="s">
        <v>3492</v>
      </c>
      <c r="D41" s="386">
        <v>100</v>
      </c>
      <c r="E41" s="565" t="s">
        <v>3492</v>
      </c>
      <c r="F41" s="412">
        <f>SUMIF(119:119,E41,120:120)-SUMIF(119:119,C41,120:120)+100</f>
        <v>100</v>
      </c>
      <c r="G41" s="565" t="s">
        <v>3492</v>
      </c>
      <c r="H41" s="386">
        <f>SUMIF(119:119,G41,120:120)-SUMIF(119:119,C41,120:120)+100</f>
        <v>100</v>
      </c>
      <c r="I41" s="565" t="s">
        <v>3492</v>
      </c>
      <c r="J41" s="386">
        <f>SUMIF(119:119,I41,120:120)-SUMIF(119:119,C41,120:120)+100</f>
        <v>100</v>
      </c>
      <c r="K41" s="561">
        <v>5</v>
      </c>
      <c r="L41" s="2715"/>
      <c r="M41" s="2709"/>
      <c r="N41" s="2709"/>
      <c r="O41" s="2709"/>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0">
        <f t="shared" si="5"/>
        <v>1</v>
      </c>
    </row>
    <row r="43" spans="1:29" ht="15">
      <c r="A43" s="423"/>
      <c r="B43" s="375" t="s">
        <v>1792</v>
      </c>
      <c r="C43" s="411" t="s">
        <v>3408</v>
      </c>
      <c r="D43" s="386">
        <v>100</v>
      </c>
      <c r="E43" s="411" t="s">
        <v>3408</v>
      </c>
      <c r="F43" s="412">
        <f>SUMIF(123:123,E43,124:124)-SUMIF(123:123,C43,124:124)+100</f>
        <v>100</v>
      </c>
      <c r="G43" s="411" t="s">
        <v>3408</v>
      </c>
      <c r="H43" s="386">
        <f>SUMIF(123:123,G43,124:124)-SUMIF(123:123,C43,124:124)+100</f>
        <v>100</v>
      </c>
      <c r="I43" s="411" t="s">
        <v>3408</v>
      </c>
      <c r="J43" s="386">
        <f>SUMIF(123:123,I43,124:124)-SUMIF(123:123,C43,124:124)+100</f>
        <v>100</v>
      </c>
      <c r="K43" s="561">
        <v>2</v>
      </c>
      <c r="L43" s="2715"/>
      <c r="M43" s="2709"/>
      <c r="N43" s="2709"/>
      <c r="O43" s="2709"/>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0">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5"/>
      <c r="M44" s="2709"/>
      <c r="N44" s="2709"/>
      <c r="O44" s="2709"/>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60" t="str">
        <f>A48</f>
        <v>成交单价（元/平方米）</v>
      </c>
      <c r="Q48" s="3661"/>
      <c r="R48" s="3662">
        <f>E48</f>
        <v>31000</v>
      </c>
      <c r="S48" s="3662"/>
      <c r="T48" s="3662">
        <f>G48</f>
        <v>30000</v>
      </c>
      <c r="U48" s="3662"/>
      <c r="V48" s="3662">
        <f>I48</f>
        <v>29000</v>
      </c>
      <c r="W48" s="3662"/>
      <c r="X48" s="397"/>
      <c r="Y48" s="712"/>
      <c r="Z48" s="397"/>
      <c r="AA48" s="397"/>
      <c r="AB48" s="397"/>
      <c r="AC48" s="578"/>
    </row>
    <row r="49" spans="1:29" ht="15.75" thickBot="1">
      <c r="A49" s="437" t="s">
        <v>1793</v>
      </c>
      <c r="B49" s="438"/>
      <c r="C49" s="1160">
        <f>R50</f>
        <v>30620</v>
      </c>
      <c r="D49" s="2315" t="s">
        <v>2138</v>
      </c>
      <c r="E49" s="1161">
        <f>R49</f>
        <v>31012</v>
      </c>
      <c r="F49" s="2316"/>
      <c r="G49" s="1160">
        <f>T49</f>
        <v>30940</v>
      </c>
      <c r="H49" s="2316"/>
      <c r="I49" s="1161">
        <f>V49</f>
        <v>29909</v>
      </c>
      <c r="J49" s="2316"/>
      <c r="K49" s="2318">
        <f>F49+H49+J49</f>
        <v>0</v>
      </c>
      <c r="L49" s="2717"/>
      <c r="M49" s="2709"/>
      <c r="N49" s="2709"/>
      <c r="O49" s="2709"/>
      <c r="P49" s="3660" t="str">
        <f>A49</f>
        <v>比较价值（元/平方米）</v>
      </c>
      <c r="Q49" s="3661"/>
      <c r="R49" s="3662">
        <f>IF(F1="售价",ROUND(PRODUCT(R48,AA7:AA47),0),ROUND(PRODUCT(R48,AA7:AA47),1))</f>
        <v>31012</v>
      </c>
      <c r="S49" s="3662"/>
      <c r="T49" s="3662">
        <f>IF(F1="售价",ROUND(PRODUCT(T48,AB7:AB47),0),ROUND(PRODUCT(T48,AB7:AB47),1))</f>
        <v>30940</v>
      </c>
      <c r="U49" s="3662"/>
      <c r="V49" s="3662">
        <f>IF(F1="售价",ROUND(PRODUCT(V48,AC7:AC47),0),ROUND(PRODUCT(V48,AC7:AC47),1))</f>
        <v>29909</v>
      </c>
      <c r="W49" s="3662"/>
      <c r="X49" s="397"/>
      <c r="Y49" s="397"/>
      <c r="Z49" s="397"/>
      <c r="AA49" s="397"/>
      <c r="AB49" s="397"/>
      <c r="AC49" s="578"/>
    </row>
    <row r="50" spans="1:29" ht="15.75" thickBot="1">
      <c r="A50" s="441" t="s">
        <v>1794</v>
      </c>
      <c r="B50" s="442"/>
      <c r="C50" s="1163">
        <f>R50</f>
        <v>30620</v>
      </c>
      <c r="D50" s="1163"/>
      <c r="E50" s="1163"/>
      <c r="F50" s="1163"/>
      <c r="G50" s="1163"/>
      <c r="H50" s="1163"/>
      <c r="I50" s="1163"/>
      <c r="J50" s="443"/>
      <c r="K50" s="715"/>
      <c r="L50" s="2717"/>
      <c r="M50" s="2709"/>
      <c r="N50" s="2709"/>
      <c r="O50" s="2709"/>
      <c r="P50" s="3663" t="str">
        <f>A50</f>
        <v>估价对象XX用房的比较价值（楼面单价，元/平方米）</v>
      </c>
      <c r="Q50" s="3664"/>
      <c r="R50" s="3665">
        <f>IF(F1="售价",ROUND(IF(D49="简单平均",AVERAGE(R49:V49),R49*F49+T49*H49+V49*J49),0),ROUND(IF(D49="简单平均",AVERAGE(R49:V49),R49*F49+T49*H49+V49*J49),1))</f>
        <v>30620</v>
      </c>
      <c r="S50" s="3665"/>
      <c r="T50" s="3665"/>
      <c r="U50" s="3665"/>
      <c r="V50" s="3665"/>
      <c r="W50" s="3665"/>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3.8709677419346278E-4</v>
      </c>
      <c r="F53" s="449" t="str">
        <f>IF(OR(E53&gt;=0.3,E53&lt;=-0.3),"超过30%","")</f>
        <v/>
      </c>
      <c r="G53" s="448">
        <f>IF(G48&lt;G49,G49/G48-1,G48/G49-1)</f>
        <v>3.1333333333333435E-2</v>
      </c>
      <c r="H53" s="449" t="str">
        <f>IF(OR(G53&gt;=0.3,G53&lt;=-0.3),"超过30%","")</f>
        <v/>
      </c>
      <c r="I53" s="448">
        <f>IF(I48&lt;I49,I49/I48-1,I48/I49-1)</f>
        <v>3.1344827586206936E-2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2.3270846800258482E-3</v>
      </c>
      <c r="F54" s="449" t="str">
        <f>IF(OR(E54&gt;=0.2,E54&lt;=-0.2),"超过20%","")</f>
        <v/>
      </c>
      <c r="G54" s="448">
        <f>IF(G49&lt;I49,I49/G49-1,G49/I49-1)</f>
        <v>3.4471229395834024E-2</v>
      </c>
      <c r="H54" s="449" t="str">
        <f>IF(OR(G54&gt;=0.2,G54&lt;=-0.2),"超过20%","")</f>
        <v/>
      </c>
      <c r="I54" s="448">
        <f>IF(I49&lt;E49,E49/I49-1,I49/E49-1)</f>
        <v>3.6878531545688542E-2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3471</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3472</v>
      </c>
      <c r="D66" s="532" t="s">
        <v>3473</v>
      </c>
      <c r="E66" s="532" t="s">
        <v>3474</v>
      </c>
      <c r="F66" s="3455" t="s">
        <v>3476</v>
      </c>
      <c r="G66" s="532" t="s">
        <v>3475</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3477</v>
      </c>
      <c r="D89" s="3456" t="s">
        <v>3478</v>
      </c>
      <c r="E89" s="3456" t="s">
        <v>3479</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3481</v>
      </c>
      <c r="D101" s="3459" t="s">
        <v>3482</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3483</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3484</v>
      </c>
      <c r="D108" s="3456" t="s">
        <v>3485</v>
      </c>
      <c r="E108" s="3456" t="s">
        <v>3486</v>
      </c>
      <c r="F108" s="3460" t="s">
        <v>3487</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3489</v>
      </c>
      <c r="D115" s="3456" t="s">
        <v>3490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3491</v>
      </c>
      <c r="D119" s="3460" t="s">
        <v>3493</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P24" sqref="P24"/>
    </sheetView>
  </sheetViews>
  <sheetFormatPr defaultRowHeight="13.5"/>
  <cols>
    <col min="1" max="1" width="31.25" customWidth="1"/>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3509</v>
      </c>
      <c r="B2" s="3452">
        <f>项目基本情况!D3</f>
        <v>45251</v>
      </c>
      <c r="C2">
        <v>100</v>
      </c>
      <c r="D2">
        <v>200</v>
      </c>
      <c r="E2">
        <v>31000</v>
      </c>
      <c r="F2">
        <v>2017</v>
      </c>
      <c r="G2" s="3453">
        <v>0.9</v>
      </c>
      <c r="H2">
        <v>3</v>
      </c>
    </row>
    <row r="3" spans="1:8">
      <c r="A3" s="3451" t="s">
        <v>3510</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39.75</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473.09179999999998</v>
      </c>
      <c r="C2" s="1387" t="s">
        <v>879</v>
      </c>
      <c r="D2" s="1471">
        <f ca="1">C40+J29+L46</f>
        <v>4730918</v>
      </c>
      <c r="E2" s="1388" t="s">
        <v>880</v>
      </c>
      <c r="F2" s="1389"/>
      <c r="G2" s="2699"/>
      <c r="H2" s="2688"/>
      <c r="I2" s="2688"/>
      <c r="J2" s="2688"/>
      <c r="K2" s="2689"/>
      <c r="L2" s="2688"/>
      <c r="M2" s="2688"/>
    </row>
    <row r="3" spans="1:37" ht="18" customHeight="1" thickBot="1">
      <c r="A3" s="1390" t="s">
        <v>881</v>
      </c>
      <c r="B3" s="1391">
        <f ca="1">IF(ISERROR(D2/F43),0,ROUND(D2/F43,0))</f>
        <v>22796</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259384</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259060</v>
      </c>
      <c r="D6" s="155" t="s">
        <v>2106</v>
      </c>
      <c r="E6" s="302" t="s">
        <v>696</v>
      </c>
      <c r="F6" s="303">
        <f ca="1">INDIRECT("'数据-取费表'!u"&amp;$G$1)</f>
        <v>3.8</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207.53</v>
      </c>
      <c r="G7" s="1384"/>
      <c r="H7" s="304"/>
      <c r="I7" s="3658"/>
      <c r="J7" s="306"/>
      <c r="K7" s="307"/>
      <c r="L7" s="302" t="s">
        <v>697</v>
      </c>
      <c r="M7" s="303">
        <f ca="1">F7</f>
        <v>207.53</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324</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t="s">
        <v>3404</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1220603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933885</v>
      </c>
      <c r="D14" s="1345" t="s">
        <v>708</v>
      </c>
      <c r="E14" s="1342"/>
      <c r="F14" s="319"/>
      <c r="G14" s="1384"/>
      <c r="H14" s="982" t="s">
        <v>398</v>
      </c>
      <c r="I14" s="302" t="s">
        <v>709</v>
      </c>
      <c r="J14" s="21">
        <f ca="1">C29</f>
        <v>1356226</v>
      </c>
      <c r="K14" s="12"/>
      <c r="L14" s="807"/>
      <c r="M14" s="808"/>
    </row>
    <row r="15" spans="1:37" s="1397" customFormat="1" ht="18" customHeight="1" thickBot="1">
      <c r="A15" s="982" t="s">
        <v>399</v>
      </c>
      <c r="B15" s="302" t="s">
        <v>710</v>
      </c>
      <c r="C15" s="21">
        <f ca="1">ROUND(C14*F15,0)</f>
        <v>46694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6781</v>
      </c>
      <c r="K16" s="1087" t="s">
        <v>715</v>
      </c>
      <c r="L16" s="1088"/>
      <c r="M16" s="1072"/>
    </row>
    <row r="17" spans="1:37" s="1397" customFormat="1" ht="18" customHeight="1">
      <c r="A17" s="982" t="s">
        <v>681</v>
      </c>
      <c r="B17" s="302" t="s">
        <v>716</v>
      </c>
      <c r="C17" s="21">
        <f ca="1">ROUND(F17*(F43+INDIRECT("'数据-取费表'!S"&amp;$G$1)),0)</f>
        <v>41506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1036093</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20722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6781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36460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-6781</v>
      </c>
      <c r="K25" s="1095" t="s">
        <v>753</v>
      </c>
      <c r="L25" s="1096"/>
      <c r="M25" s="1097"/>
    </row>
    <row r="26" spans="1:37" ht="18" customHeight="1">
      <c r="A26" s="982" t="s">
        <v>397</v>
      </c>
      <c r="B26" s="302" t="s">
        <v>754</v>
      </c>
      <c r="C26" s="21">
        <f ca="1">ROUND((C19+C20)*F26,0)</f>
        <v>158522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1356226</v>
      </c>
      <c r="D29" s="1092"/>
      <c r="E29" s="1090"/>
      <c r="F29" s="1093"/>
      <c r="G29" s="1396"/>
      <c r="H29" s="334" t="s">
        <v>396</v>
      </c>
      <c r="I29" s="335" t="s">
        <v>768</v>
      </c>
      <c r="J29" s="336">
        <f ca="1">ROUND(J26/(1+F40)^F41,0)</f>
        <v>0</v>
      </c>
      <c r="K29" s="337" t="s">
        <v>769</v>
      </c>
      <c r="L29" s="338"/>
      <c r="M29" s="339">
        <f ca="1">INDIRECT("'数据-取费表'!k"&amp;$G$1)</f>
        <v>207.53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52723</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43424</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13817</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29607</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6781</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1221</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1297</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206661</v>
      </c>
      <c r="D39" s="1095" t="s">
        <v>773</v>
      </c>
      <c r="E39" s="1096"/>
      <c r="F39" s="1097"/>
      <c r="G39" s="1384"/>
      <c r="H39" s="2693"/>
      <c r="I39" s="1398"/>
      <c r="J39" s="1399"/>
      <c r="K39" s="2697"/>
      <c r="L39" s="2693"/>
      <c r="M39" s="2693"/>
    </row>
    <row r="40" spans="1:18" ht="18" customHeight="1">
      <c r="A40" s="299" t="s">
        <v>395</v>
      </c>
      <c r="B40" s="300" t="s">
        <v>774</v>
      </c>
      <c r="C40" s="301">
        <f ca="1">ROUND(C39*(1-((1+F42)/(1+F40))^F41)/(F40-F42),0)</f>
        <v>4700305</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22649</v>
      </c>
      <c r="D43" s="337" t="s">
        <v>777</v>
      </c>
      <c r="E43" s="338" t="s">
        <v>778</v>
      </c>
      <c r="F43" s="339">
        <f ca="1">INDIRECT("'数据-取费表'!k"&amp;$G$1)</f>
        <v>207.53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3349</v>
      </c>
      <c r="B45" s="1400"/>
      <c r="C45" s="1472">
        <f ca="1">ROUND((C68-C40)/10000,4)</f>
        <v>-482.8476</v>
      </c>
      <c r="D45" s="3425" t="s">
        <v>3350</v>
      </c>
      <c r="E45" s="1400"/>
      <c r="F45" s="1400"/>
      <c r="O45" s="1403" t="s">
        <v>808</v>
      </c>
      <c r="P45" s="1461"/>
      <c r="Q45" s="1461"/>
      <c r="R45" s="1461"/>
    </row>
    <row r="46" spans="1:18" s="1384" customFormat="1" ht="13.5" thickBot="1">
      <c r="A46" s="1404" t="s">
        <v>809</v>
      </c>
      <c r="C46" s="1405">
        <f ca="1">ROUND(C45,0)</f>
        <v>-483</v>
      </c>
      <c r="D46" s="1406" t="str">
        <f>C2</f>
        <v>万元</v>
      </c>
      <c r="I46" s="1407" t="s">
        <v>810</v>
      </c>
      <c r="J46" s="1408"/>
      <c r="K46" s="1409"/>
      <c r="L46" s="1410">
        <f ca="1">IF(M47="住宅",0,IF(L48&gt;J51,L60,J60))</f>
        <v>30613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4700305</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39.75</v>
      </c>
      <c r="O48" s="1418" t="s">
        <v>404</v>
      </c>
      <c r="P48" s="1419" t="s">
        <v>821</v>
      </c>
      <c r="Q48" s="1420">
        <f ca="1">J60</f>
        <v>30613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1356226</v>
      </c>
      <c r="R49" s="1420" t="s">
        <v>818</v>
      </c>
    </row>
    <row r="50" spans="1:18" s="1384" customFormat="1" ht="13.5" thickBot="1">
      <c r="A50" s="976"/>
      <c r="B50" s="979"/>
      <c r="C50" s="980"/>
      <c r="D50" s="953"/>
      <c r="E50" s="1056" t="s">
        <v>697</v>
      </c>
      <c r="F50" s="1057">
        <f ca="1">F7</f>
        <v>207.53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2250444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39.75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39.75</v>
      </c>
      <c r="K53" s="3655" t="s">
        <v>837</v>
      </c>
      <c r="L53" s="3656"/>
      <c r="O53" s="1418" t="s">
        <v>409</v>
      </c>
      <c r="P53" s="1419" t="s">
        <v>838</v>
      </c>
      <c r="Q53" s="1420">
        <f ca="1">Q47+Q48</f>
        <v>4730918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1220603</v>
      </c>
      <c r="D56" s="1447"/>
      <c r="E56" s="1448"/>
      <c r="F56" s="1440"/>
      <c r="I56" s="1449" t="s">
        <v>842</v>
      </c>
      <c r="J56" s="1450" t="s">
        <v>3407</v>
      </c>
      <c r="K56" s="1421" t="s">
        <v>843</v>
      </c>
      <c r="L56" s="1424" t="str">
        <f ca="1">IF(L48&lt;J51,"——",L48-J51)</f>
        <v>——</v>
      </c>
      <c r="O56" s="1418" t="s">
        <v>403</v>
      </c>
      <c r="P56" s="1419" t="s">
        <v>817</v>
      </c>
      <c r="Q56" s="1420">
        <f ca="1">C40+J29</f>
        <v>4700305</v>
      </c>
      <c r="R56" s="1420" t="s">
        <v>818</v>
      </c>
    </row>
    <row r="57" spans="1:18" s="1384" customFormat="1" ht="24.75" thickBot="1">
      <c r="A57" s="1451"/>
      <c r="B57" s="950" t="s">
        <v>767</v>
      </c>
      <c r="C57" s="238">
        <f ca="1">C29</f>
        <v>1356226</v>
      </c>
      <c r="D57" s="1452"/>
      <c r="E57" s="1453"/>
      <c r="F57" s="1454"/>
      <c r="I57" s="1455" t="s">
        <v>844</v>
      </c>
      <c r="J57" s="1456">
        <f ca="1">IF(OR(M47="住宅",J51&lt;L48,J56="是"),"——",J51-L48)</f>
        <v>14.25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8002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542490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30613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4700305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6781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1221</v>
      </c>
      <c r="D65" s="964" t="s">
        <v>743</v>
      </c>
      <c r="E65" s="950" t="s">
        <v>744</v>
      </c>
      <c r="F65" s="330">
        <f t="shared" ca="1" si="0"/>
        <v>1E-3</v>
      </c>
      <c r="I65" s="1462" t="s">
        <v>867</v>
      </c>
      <c r="J65" s="1463">
        <v>40</v>
      </c>
      <c r="K65" s="1463">
        <v>30</v>
      </c>
      <c r="L65" s="1463">
        <v>50</v>
      </c>
      <c r="M65" s="1465">
        <v>0.02</v>
      </c>
      <c r="O65" s="1418" t="s">
        <v>403</v>
      </c>
      <c r="P65" s="1419" t="s">
        <v>868</v>
      </c>
      <c r="Q65" s="1420">
        <f ca="1">C40+J29</f>
        <v>4700305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-8002</v>
      </c>
      <c r="D67" s="963" t="s">
        <v>753</v>
      </c>
      <c r="E67" s="968"/>
      <c r="F67" s="969"/>
      <c r="O67" s="1428" t="s">
        <v>405</v>
      </c>
      <c r="P67" s="1419" t="s">
        <v>850</v>
      </c>
      <c r="Q67" s="1466">
        <f ca="1">L51</f>
        <v>2250444</v>
      </c>
      <c r="R67" s="1420" t="s">
        <v>870</v>
      </c>
    </row>
    <row r="68" spans="1:18" s="1384" customFormat="1" ht="16.5" thickBot="1">
      <c r="A68" s="947" t="s">
        <v>395</v>
      </c>
      <c r="B68" s="948" t="s">
        <v>774</v>
      </c>
      <c r="C68" s="301">
        <f ca="1">ROUND(C67*(1-((1+F70)/(1+F68))^F69)/(F68-F70),0)</f>
        <v>-128171</v>
      </c>
      <c r="D68" s="965" t="s">
        <v>758</v>
      </c>
      <c r="E68" s="950" t="s">
        <v>759</v>
      </c>
      <c r="F68" s="312">
        <f ca="1">F40</f>
        <v>5.5E-2</v>
      </c>
      <c r="O68" s="1428" t="s">
        <v>406</v>
      </c>
      <c r="P68" s="1467" t="s">
        <v>871</v>
      </c>
      <c r="Q68" s="1420">
        <f ca="1">ROUND(Q69-Q70*Q71,0)</f>
        <v>121219</v>
      </c>
      <c r="R68" s="1420" t="s">
        <v>414</v>
      </c>
    </row>
    <row r="69" spans="1:18" s="1384" customFormat="1" ht="13.5" thickBot="1">
      <c r="A69" s="951"/>
      <c r="B69" s="952"/>
      <c r="C69" s="306"/>
      <c r="D69" s="970" t="s">
        <v>762</v>
      </c>
      <c r="E69" s="950" t="s">
        <v>763</v>
      </c>
      <c r="F69" s="333">
        <f ca="1">F41</f>
        <v>39.75</v>
      </c>
      <c r="O69" s="1428" t="s">
        <v>411</v>
      </c>
      <c r="P69" s="1467" t="s">
        <v>872</v>
      </c>
      <c r="Q69" s="1420">
        <f ca="1">C39</f>
        <v>206661</v>
      </c>
      <c r="R69" s="1420" t="s">
        <v>818</v>
      </c>
    </row>
    <row r="70" spans="1:18" s="1384" customFormat="1" ht="13.5" thickBot="1">
      <c r="A70" s="954"/>
      <c r="B70" s="955"/>
      <c r="C70" s="310"/>
      <c r="D70" s="966"/>
      <c r="E70" s="950" t="s">
        <v>766</v>
      </c>
      <c r="F70" s="1054"/>
      <c r="O70" s="1428" t="s">
        <v>412</v>
      </c>
      <c r="P70" s="1467" t="s">
        <v>873</v>
      </c>
      <c r="Q70" s="1420">
        <f ca="1">C13</f>
        <v>1220603</v>
      </c>
      <c r="R70" s="1420" t="s">
        <v>818</v>
      </c>
    </row>
    <row r="71" spans="1:18" s="1384" customFormat="1" ht="13.5" thickBot="1">
      <c r="A71" s="971" t="s">
        <v>396</v>
      </c>
      <c r="B71" s="972" t="s">
        <v>776</v>
      </c>
      <c r="C71" s="336">
        <f ca="1">ROUND(C68/F71,0)</f>
        <v>-618</v>
      </c>
      <c r="D71" s="973" t="s">
        <v>777</v>
      </c>
      <c r="E71" s="974" t="s">
        <v>778</v>
      </c>
      <c r="F71" s="339">
        <f ca="1">F43</f>
        <v>207.53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85442</v>
      </c>
      <c r="D75" s="1384"/>
      <c r="E75" s="1384"/>
      <c r="F75" s="1384"/>
      <c r="K75" s="1402"/>
      <c r="L75" s="1384"/>
      <c r="O75" s="1418" t="s">
        <v>409</v>
      </c>
      <c r="P75" s="1419" t="s">
        <v>838</v>
      </c>
      <c r="Q75" s="1420">
        <f ca="1">Q65+Q66</f>
        <v>4700305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0.58699999999999997</v>
      </c>
    </row>
    <row r="80" spans="1:18">
      <c r="B80" s="340" t="s">
        <v>800</v>
      </c>
      <c r="C80" s="274">
        <f ca="1">ROUND(C75/C39,3)</f>
        <v>0.41299999999999998</v>
      </c>
    </row>
    <row r="81" spans="2:3">
      <c r="B81" s="270" t="s">
        <v>801</v>
      </c>
      <c r="C81" s="238"/>
    </row>
    <row r="82" spans="2:3">
      <c r="B82" s="273" t="s">
        <v>802</v>
      </c>
      <c r="C82" s="275">
        <f ca="1">1-C83</f>
        <v>0.74</v>
      </c>
    </row>
    <row r="83" spans="2:3">
      <c r="B83" s="273" t="s">
        <v>803</v>
      </c>
      <c r="C83" s="274">
        <f ca="1">ROUND(C13/C40,3)</f>
        <v>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3356</v>
      </c>
      <c r="E2" s="3437"/>
      <c r="F2" s="2839"/>
      <c r="G2" s="2840"/>
      <c r="H2" s="2841"/>
      <c r="I2" s="2842"/>
      <c r="J2" s="3717" t="s">
        <v>2312</v>
      </c>
      <c r="K2" s="3718"/>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19" t="s">
        <v>2322</v>
      </c>
      <c r="K3" s="3720"/>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19" t="s">
        <v>2324</v>
      </c>
      <c r="K4" s="3720"/>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25" t="s">
        <v>2328</v>
      </c>
      <c r="B6" s="3726"/>
      <c r="C6" s="3727"/>
      <c r="D6" s="2863"/>
      <c r="E6" s="2864"/>
      <c r="F6" s="2865"/>
      <c r="G6" s="2866"/>
      <c r="H6" s="2841"/>
      <c r="I6" s="2842"/>
      <c r="J6" s="3711">
        <v>1</v>
      </c>
      <c r="K6" s="3712"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11"/>
      <c r="K7" s="3713"/>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28" t="s">
        <v>2342</v>
      </c>
      <c r="C8" s="3729"/>
      <c r="D8" s="2882" t="s">
        <v>2343</v>
      </c>
      <c r="E8" s="2883" t="s">
        <v>2344</v>
      </c>
      <c r="F8" s="2884" t="s">
        <v>2345</v>
      </c>
      <c r="G8" s="2885"/>
      <c r="H8" s="2841"/>
      <c r="I8" s="2842"/>
      <c r="J8" s="3711"/>
      <c r="K8" s="3713"/>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28" t="s">
        <v>2348</v>
      </c>
      <c r="C9" s="3729"/>
      <c r="D9" s="2882">
        <f>ROUND(D6*E9,0)</f>
        <v>0</v>
      </c>
      <c r="E9" s="2886"/>
      <c r="F9" s="2887" t="s">
        <v>2349</v>
      </c>
      <c r="G9" s="2866"/>
      <c r="H9" s="2841"/>
      <c r="I9" s="2842"/>
      <c r="J9" s="3711"/>
      <c r="K9" s="3713"/>
      <c r="L9" s="2876" t="s">
        <v>2350</v>
      </c>
      <c r="M9" s="2877"/>
      <c r="N9" s="2853"/>
      <c r="O9" s="2878"/>
      <c r="P9" s="2878"/>
      <c r="Q9" s="2879">
        <v>365</v>
      </c>
      <c r="R9" s="2880">
        <f t="shared" si="0"/>
        <v>0</v>
      </c>
      <c r="S9" s="2834"/>
      <c r="T9" s="2834"/>
      <c r="U9" s="2834"/>
      <c r="V9" s="2842"/>
    </row>
    <row r="10" spans="1:22" s="2846" customFormat="1" ht="13.15" customHeight="1">
      <c r="A10" s="2881">
        <v>2</v>
      </c>
      <c r="B10" s="3728" t="s">
        <v>2351</v>
      </c>
      <c r="C10" s="3729"/>
      <c r="D10" s="2882">
        <f>ROUND(D6*E10,0)</f>
        <v>0</v>
      </c>
      <c r="E10" s="2886"/>
      <c r="F10" s="2887" t="s">
        <v>2352</v>
      </c>
      <c r="G10" s="2866"/>
      <c r="H10" s="2841"/>
      <c r="I10" s="2842"/>
      <c r="J10" s="3711"/>
      <c r="K10" s="3713"/>
      <c r="L10" s="2876" t="s">
        <v>2353</v>
      </c>
      <c r="M10" s="2877"/>
      <c r="N10" s="2853"/>
      <c r="O10" s="2878"/>
      <c r="P10" s="2878"/>
      <c r="Q10" s="2879">
        <v>365</v>
      </c>
      <c r="R10" s="2880">
        <f t="shared" si="0"/>
        <v>0</v>
      </c>
      <c r="S10" s="2834"/>
      <c r="T10" s="2834"/>
      <c r="U10" s="2834"/>
      <c r="V10" s="2842"/>
    </row>
    <row r="11" spans="1:22" s="2846" customFormat="1" ht="13.15" customHeight="1">
      <c r="A11" s="2881">
        <v>3</v>
      </c>
      <c r="B11" s="3728" t="s">
        <v>2354</v>
      </c>
      <c r="C11" s="3729"/>
      <c r="D11" s="2882">
        <f>D12+D14+D15+D16</f>
        <v>0</v>
      </c>
      <c r="E11" s="2888" t="e">
        <f>D11/D6</f>
        <v>#DIV/0!</v>
      </c>
      <c r="F11" s="2884"/>
      <c r="G11" s="2885"/>
      <c r="H11" s="2841"/>
      <c r="I11" s="2842"/>
      <c r="J11" s="3711"/>
      <c r="K11" s="3713"/>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21" t="s">
        <v>2357</v>
      </c>
      <c r="C12" s="3722"/>
      <c r="D12" s="2890">
        <f>ROUND(D13*1.2%*(1-30%),0)</f>
        <v>0</v>
      </c>
      <c r="E12" s="2891">
        <v>1.2E-2</v>
      </c>
      <c r="F12" s="2884" t="s">
        <v>2358</v>
      </c>
      <c r="G12" s="2885"/>
      <c r="H12" s="2841"/>
      <c r="I12" s="2842"/>
      <c r="J12" s="3711"/>
      <c r="K12" s="3713"/>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11"/>
      <c r="K13" s="3713"/>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21" t="s">
        <v>2363</v>
      </c>
      <c r="C14" s="3722"/>
      <c r="D14" s="2890">
        <f>ROUND(E14*B5/10000,0)</f>
        <v>0</v>
      </c>
      <c r="E14" s="2879"/>
      <c r="F14" s="2884" t="s">
        <v>2364</v>
      </c>
      <c r="G14" s="2885"/>
      <c r="H14" s="2841"/>
      <c r="I14" s="2842"/>
      <c r="J14" s="3711"/>
      <c r="K14" s="3714"/>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21" t="s">
        <v>2367</v>
      </c>
      <c r="C15" s="3722"/>
      <c r="D15" s="2890">
        <f>ROUND(D6*E15,0)</f>
        <v>0</v>
      </c>
      <c r="E15" s="2891">
        <v>5.5E-2</v>
      </c>
      <c r="F15" s="2884" t="s">
        <v>2368</v>
      </c>
      <c r="G15" s="2866"/>
      <c r="H15" s="2841"/>
      <c r="I15" s="2842"/>
      <c r="J15" s="3711">
        <v>2</v>
      </c>
      <c r="K15" s="3712"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21" t="s">
        <v>2376</v>
      </c>
      <c r="C16" s="3722"/>
      <c r="D16" s="2901">
        <f>D6*E16</f>
        <v>0</v>
      </c>
      <c r="E16" s="2902"/>
      <c r="F16" s="2887" t="s">
        <v>2377</v>
      </c>
      <c r="G16" s="2866"/>
      <c r="H16" s="2841"/>
      <c r="I16" s="2842"/>
      <c r="J16" s="3711"/>
      <c r="K16" s="3713"/>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23" t="s">
        <v>2379</v>
      </c>
      <c r="C17" s="3724"/>
      <c r="D17" s="2904">
        <f>ROUND(D6*E17,0)</f>
        <v>0</v>
      </c>
      <c r="E17" s="2905"/>
      <c r="F17" s="2906" t="s">
        <v>2380</v>
      </c>
      <c r="G17" s="2866"/>
      <c r="H17" s="2841"/>
      <c r="I17" s="2842"/>
      <c r="J17" s="3711"/>
      <c r="K17" s="3713"/>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11"/>
      <c r="K18" s="3713"/>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11"/>
      <c r="K19" s="3714"/>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1">
        <v>3</v>
      </c>
      <c r="K20" s="3712"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11"/>
      <c r="K21" s="3713"/>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11"/>
      <c r="K22" s="3713"/>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11"/>
      <c r="K23" s="3713"/>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11"/>
      <c r="K24" s="3714"/>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15">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1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17" t="s">
        <v>2312</v>
      </c>
      <c r="K32" s="3718"/>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19" t="s">
        <v>2322</v>
      </c>
      <c r="K33" s="3720"/>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19" t="s">
        <v>2324</v>
      </c>
      <c r="K34" s="372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11">
        <v>1</v>
      </c>
      <c r="K36" s="3712"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11"/>
      <c r="K37" s="3713"/>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1"/>
      <c r="K38" s="3713"/>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11"/>
      <c r="K39" s="3713"/>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11"/>
      <c r="K40" s="3714"/>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15">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1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473.09179999999998</v>
      </c>
      <c r="C2" s="1872" t="s">
        <v>1651</v>
      </c>
      <c r="D2" s="1873" t="s">
        <v>1652</v>
      </c>
      <c r="E2" s="2600">
        <f>SUM(E6:E13)</f>
        <v>207.53</v>
      </c>
      <c r="F2" s="2700"/>
      <c r="G2" s="1489"/>
      <c r="H2" s="1489"/>
      <c r="I2" s="1489"/>
      <c r="J2" s="1489"/>
      <c r="K2" s="1489"/>
      <c r="L2" s="1489"/>
      <c r="M2" s="1489"/>
      <c r="N2" s="1489"/>
      <c r="O2" s="1489"/>
      <c r="P2" s="1489"/>
      <c r="Q2" s="1489"/>
      <c r="R2" s="1489"/>
      <c r="S2" s="1489"/>
    </row>
    <row r="3" spans="1:22" ht="15.75">
      <c r="A3" s="1870" t="s">
        <v>686</v>
      </c>
      <c r="B3" s="2594">
        <f ca="1">ROUND(B2*10000/E2,0)</f>
        <v>22796</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30" t="s">
        <v>1654</v>
      </c>
      <c r="C5" s="3731"/>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473.09179999999998</v>
      </c>
      <c r="C6" s="1872" t="s">
        <v>1651</v>
      </c>
      <c r="D6" s="2702"/>
      <c r="E6" s="2599">
        <f>IF(OR(A6=0,F6="否"),0,'数据-取费表'!K6+'数据-取费表'!S6)</f>
        <v>207.53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207.53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08"/>
      <c r="M4" s="2709"/>
      <c r="N4" s="2709"/>
      <c r="O4" s="2709"/>
      <c r="P4" s="3736" t="s">
        <v>1672</v>
      </c>
      <c r="Q4" s="3737"/>
      <c r="R4" s="3740" t="s">
        <v>1668</v>
      </c>
      <c r="S4" s="3741"/>
      <c r="T4" s="3740" t="s">
        <v>1669</v>
      </c>
      <c r="U4" s="3741"/>
      <c r="V4" s="3695" t="s">
        <v>1670</v>
      </c>
      <c r="W4" s="3695"/>
      <c r="X4" s="1355"/>
      <c r="Y4" s="3740" t="s">
        <v>1672</v>
      </c>
      <c r="Z4" s="3741"/>
      <c r="AA4" s="3735" t="s">
        <v>1668</v>
      </c>
      <c r="AB4" s="3735" t="s">
        <v>1669</v>
      </c>
      <c r="AC4" s="3735" t="s">
        <v>1670</v>
      </c>
    </row>
    <row r="5" spans="1:29" ht="15">
      <c r="A5" s="358"/>
      <c r="B5" s="359"/>
      <c r="C5" s="3698" t="s">
        <v>1673</v>
      </c>
      <c r="D5" s="3699"/>
      <c r="E5" s="3709" t="s">
        <v>1674</v>
      </c>
      <c r="F5" s="3710"/>
      <c r="G5" s="3698" t="s">
        <v>1675</v>
      </c>
      <c r="H5" s="3699"/>
      <c r="I5" s="3698" t="s">
        <v>1676</v>
      </c>
      <c r="J5" s="3699"/>
      <c r="K5" s="1890"/>
      <c r="L5" s="2708"/>
      <c r="M5" s="2709"/>
      <c r="N5" s="2709"/>
      <c r="O5" s="2709"/>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1890" t="s">
        <v>1678</v>
      </c>
      <c r="L6" s="2708"/>
      <c r="M6" s="2709"/>
      <c r="N6" s="2709"/>
      <c r="O6" s="2709"/>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02" t="s">
        <v>1680</v>
      </c>
      <c r="Q7" s="3703"/>
      <c r="R7" s="701" t="s">
        <v>20</v>
      </c>
      <c r="S7" s="702">
        <f t="shared" ref="S7:S15" si="0">F7</f>
        <v>0</v>
      </c>
      <c r="T7" s="701" t="s">
        <v>20</v>
      </c>
      <c r="U7" s="702">
        <f t="shared" ref="U7:U15" si="1">H7</f>
        <v>0</v>
      </c>
      <c r="V7" s="701" t="s">
        <v>20</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02" t="s">
        <v>1683</v>
      </c>
      <c r="Q8" s="3701"/>
      <c r="R8" s="701" t="s">
        <v>20</v>
      </c>
      <c r="S8" s="702">
        <f t="shared" si="0"/>
        <v>100</v>
      </c>
      <c r="T8" s="701" t="s">
        <v>20</v>
      </c>
      <c r="U8" s="702">
        <f t="shared" si="1"/>
        <v>100</v>
      </c>
      <c r="V8" s="701" t="s">
        <v>20</v>
      </c>
      <c r="W8" s="702">
        <f t="shared" si="2"/>
        <v>100</v>
      </c>
      <c r="X8" s="703"/>
      <c r="Y8" s="3702"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60"/>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60"/>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60"/>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60"/>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66"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67"/>
      <c r="Q16" s="1352"/>
      <c r="R16" s="705"/>
      <c r="S16" s="706"/>
      <c r="T16" s="705"/>
      <c r="U16" s="706"/>
      <c r="V16" s="705"/>
      <c r="W16" s="706"/>
      <c r="X16" s="1355"/>
      <c r="Y16" s="3669"/>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67"/>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67"/>
      <c r="Q18" s="1352"/>
      <c r="R18" s="705"/>
      <c r="S18" s="706"/>
      <c r="T18" s="705"/>
      <c r="U18" s="706"/>
      <c r="V18" s="705"/>
      <c r="W18" s="706"/>
      <c r="X18" s="1355"/>
      <c r="Y18" s="3669"/>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67"/>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67"/>
      <c r="Q20" s="1352"/>
      <c r="R20" s="705"/>
      <c r="S20" s="706"/>
      <c r="T20" s="705"/>
      <c r="U20" s="706"/>
      <c r="V20" s="705"/>
      <c r="W20" s="706"/>
      <c r="X20" s="1355"/>
      <c r="Y20" s="366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67"/>
      <c r="Q22" s="1352"/>
      <c r="R22" s="705"/>
      <c r="S22" s="706"/>
      <c r="T22" s="705"/>
      <c r="U22" s="706"/>
      <c r="V22" s="705"/>
      <c r="W22" s="706"/>
      <c r="X22" s="1355"/>
      <c r="Y22" s="3669"/>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67"/>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67"/>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67"/>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67"/>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67"/>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67"/>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67"/>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67"/>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377">
        <v>2</v>
      </c>
      <c r="L34" s="2715"/>
      <c r="M34" s="2709"/>
      <c r="N34" s="2709"/>
      <c r="O34" s="2709"/>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t="s">
        <v>3408</v>
      </c>
      <c r="D36" s="386">
        <v>100</v>
      </c>
      <c r="E36" s="1906" t="s">
        <v>3408</v>
      </c>
      <c r="F36" s="412">
        <f>SUMIF(109:109,E36,110:110)-SUMIF(109:109,C36,110:110)+100</f>
        <v>100</v>
      </c>
      <c r="G36" s="1906" t="s">
        <v>3408</v>
      </c>
      <c r="H36" s="386">
        <f>SUMIF(109:109,G36,110:110)-SUMIF(109:109,C36,110:110)+100</f>
        <v>100</v>
      </c>
      <c r="I36" s="1906" t="s">
        <v>3408</v>
      </c>
      <c r="J36" s="386">
        <f>SUMIF(109:109,I36,110:110)-SUMIF(109:109,C36,110:110)+100</f>
        <v>100</v>
      </c>
      <c r="K36" s="377">
        <v>2</v>
      </c>
      <c r="L36" s="2715"/>
      <c r="M36" s="2709"/>
      <c r="N36" s="2709"/>
      <c r="O36" s="2709"/>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t="s">
        <v>3409</v>
      </c>
      <c r="D38" s="386">
        <v>100</v>
      </c>
      <c r="E38" s="1906" t="s">
        <v>3409</v>
      </c>
      <c r="F38" s="412">
        <f>SUMIF(114:114,E38,115:115)-SUMIF(114:114,C38,115:115)+100</f>
        <v>100</v>
      </c>
      <c r="G38" s="1906" t="s">
        <v>3409</v>
      </c>
      <c r="H38" s="386">
        <f>SUMIF(114:114,G38,115:115)-SUMIF(114:114,C38,115:115)+100</f>
        <v>100</v>
      </c>
      <c r="I38" s="1906" t="s">
        <v>3409</v>
      </c>
      <c r="J38" s="386">
        <f>SUMIF(114:114,I38,115:115)-SUMIF(114:114,C38,115:115)+100</f>
        <v>100</v>
      </c>
      <c r="K38" s="377">
        <v>2</v>
      </c>
      <c r="L38" s="2715"/>
      <c r="M38" s="2709"/>
      <c r="N38" s="2709"/>
      <c r="O38" s="2709"/>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t="s">
        <v>3395</v>
      </c>
      <c r="D39" s="386">
        <v>100</v>
      </c>
      <c r="E39" s="1906" t="s">
        <v>3395</v>
      </c>
      <c r="F39" s="412">
        <f>SUMIF(116:116,E39,117:117)-SUMIF(116:116,C39,117:117)+100</f>
        <v>100</v>
      </c>
      <c r="G39" s="1906" t="s">
        <v>3395</v>
      </c>
      <c r="H39" s="386">
        <f>SUMIF(116:116,G39,117:117)-SUMIF(116:116,C39,117:117)+100</f>
        <v>100</v>
      </c>
      <c r="I39" s="1906" t="s">
        <v>3395</v>
      </c>
      <c r="J39" s="386">
        <f>SUMIF(116:116,I39,117:117)-SUMIF(116:116,C39,117:117)+100</f>
        <v>100</v>
      </c>
      <c r="K39" s="377">
        <v>1</v>
      </c>
      <c r="L39" s="2715"/>
      <c r="M39" s="2709"/>
      <c r="N39" s="2709"/>
      <c r="O39" s="2709"/>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377">
        <v>2</v>
      </c>
      <c r="L43" s="2715"/>
      <c r="M43" s="2709"/>
      <c r="N43" s="2709"/>
      <c r="O43" s="2709"/>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3426</v>
      </c>
      <c r="F1" s="1879" t="s">
        <v>3427</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279.39760000000001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13463</v>
      </c>
      <c r="C3" s="354" t="s">
        <v>1768</v>
      </c>
      <c r="D3" s="353">
        <f>IF(D1="",'数据-汇总表'!E3,SUMIF('数据-汇总表'!$C19:$C33,D1,'数据-汇总表'!$E19:$E33))</f>
        <v>207.53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78" t="s">
        <v>1770</v>
      </c>
      <c r="D4" s="3679"/>
      <c r="E4" s="3680" t="s">
        <v>1771</v>
      </c>
      <c r="F4" s="3681"/>
      <c r="G4" s="3678" t="s">
        <v>1772</v>
      </c>
      <c r="H4" s="3679"/>
      <c r="I4" s="3678" t="s">
        <v>1773</v>
      </c>
      <c r="J4" s="3679"/>
      <c r="K4" s="559" t="s">
        <v>1774</v>
      </c>
      <c r="L4" s="2708"/>
      <c r="M4" s="2709"/>
      <c r="N4" s="2709"/>
      <c r="O4" s="2709"/>
      <c r="P4" s="3736" t="s">
        <v>1775</v>
      </c>
      <c r="Q4" s="3737"/>
      <c r="R4" s="3740" t="s">
        <v>1771</v>
      </c>
      <c r="S4" s="3741"/>
      <c r="T4" s="3740" t="s">
        <v>1772</v>
      </c>
      <c r="U4" s="3741"/>
      <c r="V4" s="3695" t="s">
        <v>1773</v>
      </c>
      <c r="W4" s="3695"/>
      <c r="X4" s="1355"/>
      <c r="Y4" s="3740" t="s">
        <v>1775</v>
      </c>
      <c r="Z4" s="3741"/>
      <c r="AA4" s="3735" t="s">
        <v>1771</v>
      </c>
      <c r="AB4" s="3695" t="s">
        <v>1772</v>
      </c>
      <c r="AC4" s="3735" t="s">
        <v>1773</v>
      </c>
    </row>
    <row r="5" spans="1:29" ht="15">
      <c r="A5" s="358"/>
      <c r="B5" s="359"/>
      <c r="C5" s="3698" t="s">
        <v>1673</v>
      </c>
      <c r="D5" s="3699"/>
      <c r="E5" s="3709" t="str">
        <f>案例!A2</f>
        <v>AAA</v>
      </c>
      <c r="F5" s="3710"/>
      <c r="G5" s="3698" t="str">
        <f>案例!A3</f>
        <v>BBB</v>
      </c>
      <c r="H5" s="3699"/>
      <c r="I5" s="3698" t="str">
        <f>案例!A4</f>
        <v>CCC</v>
      </c>
      <c r="J5" s="3699"/>
      <c r="K5" s="559"/>
      <c r="L5" s="2708"/>
      <c r="M5" s="2709"/>
      <c r="N5" s="2709"/>
      <c r="O5" s="2709"/>
      <c r="P5" s="3738"/>
      <c r="Q5" s="3685"/>
      <c r="R5" s="3690"/>
      <c r="S5" s="3691"/>
      <c r="T5" s="3690"/>
      <c r="U5" s="3691"/>
      <c r="V5" s="3695"/>
      <c r="W5" s="3695"/>
      <c r="X5" s="1355"/>
      <c r="Y5" s="3690"/>
      <c r="Z5" s="3691"/>
      <c r="AA5" s="3707"/>
      <c r="AB5" s="3695"/>
      <c r="AC5" s="3707"/>
    </row>
    <row r="6" spans="1:29" ht="15.75" thickBot="1">
      <c r="A6" s="360"/>
      <c r="B6" s="361"/>
      <c r="C6" s="3696" t="s">
        <v>1677</v>
      </c>
      <c r="D6" s="3697"/>
      <c r="E6" s="3704" t="s">
        <v>1677</v>
      </c>
      <c r="F6" s="3705"/>
      <c r="G6" s="3696" t="s">
        <v>1677</v>
      </c>
      <c r="H6" s="3697"/>
      <c r="I6" s="3696" t="s">
        <v>1677</v>
      </c>
      <c r="J6" s="3697"/>
      <c r="K6" s="559" t="s">
        <v>1678</v>
      </c>
      <c r="L6" s="2708"/>
      <c r="M6" s="2709"/>
      <c r="N6" s="2709"/>
      <c r="O6" s="2709"/>
      <c r="P6" s="3739"/>
      <c r="Q6" s="3687"/>
      <c r="R6" s="3690"/>
      <c r="S6" s="3691"/>
      <c r="T6" s="3692"/>
      <c r="U6" s="3693"/>
      <c r="V6" s="3695"/>
      <c r="W6" s="3695"/>
      <c r="X6" s="1355"/>
      <c r="Y6" s="3692"/>
      <c r="Z6" s="3693"/>
      <c r="AA6" s="3708"/>
      <c r="AB6" s="3695"/>
      <c r="AC6" s="3708"/>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702" t="s">
        <v>1680</v>
      </c>
      <c r="Q7" s="3703"/>
      <c r="R7" s="701" t="s">
        <v>14</v>
      </c>
      <c r="S7" s="702">
        <f t="shared" ref="S7:S15" si="0">F7</f>
        <v>100</v>
      </c>
      <c r="T7" s="701" t="s">
        <v>14</v>
      </c>
      <c r="U7" s="702">
        <f t="shared" ref="U7:U15" si="1">H7</f>
        <v>100</v>
      </c>
      <c r="V7" s="701" t="s">
        <v>14</v>
      </c>
      <c r="W7" s="702">
        <f t="shared" ref="W7:W15" si="2">J7</f>
        <v>100</v>
      </c>
      <c r="X7" s="703"/>
      <c r="Y7" s="3702" t="s">
        <v>1680</v>
      </c>
      <c r="Z7" s="3701"/>
      <c r="AA7" s="704">
        <f>D7/F7</f>
        <v>1</v>
      </c>
      <c r="AB7" s="704">
        <f>D7/H7</f>
        <v>1</v>
      </c>
      <c r="AC7" s="704">
        <f>D7/J7</f>
        <v>1</v>
      </c>
    </row>
    <row r="8" spans="1:29" s="108" customFormat="1" ht="15.75" thickBot="1">
      <c r="A8" s="362" t="s">
        <v>1681</v>
      </c>
      <c r="B8" s="363"/>
      <c r="C8" s="368" t="s">
        <v>3399</v>
      </c>
      <c r="D8" s="365">
        <v>100</v>
      </c>
      <c r="E8" s="368" t="s">
        <v>3428</v>
      </c>
      <c r="F8" s="367">
        <f>SUMIF(61:61,E8,62:62)-SUMIF(61:61,C8,62:62)+100</f>
        <v>102</v>
      </c>
      <c r="G8" s="368" t="s">
        <v>3428</v>
      </c>
      <c r="H8" s="365">
        <f>SUMIF(61:61,G8,62:62)-SUMIF(61:61,C8,62:62)+100</f>
        <v>102</v>
      </c>
      <c r="I8" s="368" t="s">
        <v>3428</v>
      </c>
      <c r="J8" s="365">
        <f>SUMIF(61:61,I8,62:62)-SUMIF(61:61,C8,62:62)+100</f>
        <v>102</v>
      </c>
      <c r="K8" s="560"/>
      <c r="L8" s="2710"/>
      <c r="M8" s="2711"/>
      <c r="N8" s="2711"/>
      <c r="O8" s="2711"/>
      <c r="P8" s="3702" t="s">
        <v>1683</v>
      </c>
      <c r="Q8" s="3701"/>
      <c r="R8" s="701" t="s">
        <v>14</v>
      </c>
      <c r="S8" s="702">
        <f t="shared" si="0"/>
        <v>102</v>
      </c>
      <c r="T8" s="701" t="s">
        <v>14</v>
      </c>
      <c r="U8" s="702">
        <f t="shared" si="1"/>
        <v>102</v>
      </c>
      <c r="V8" s="701" t="s">
        <v>14</v>
      </c>
      <c r="W8" s="702">
        <f t="shared" si="2"/>
        <v>102</v>
      </c>
      <c r="X8" s="703"/>
      <c r="Y8" s="3702" t="s">
        <v>1683</v>
      </c>
      <c r="Z8" s="3701"/>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3469</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7" t="str">
        <f>项目基本情况!D15</f>
        <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60"/>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3391</v>
      </c>
      <c r="F15" s="394">
        <f>SUMIF(76:76,E16,77:77)-SUMIF(76:76,C16,77:77)+100</f>
        <v>100</v>
      </c>
      <c r="G15" s="393" t="s">
        <v>3391</v>
      </c>
      <c r="H15" s="392">
        <f>SUMIF(76:76,G16,77:77)-SUMIF(76:76,C16,77:77)+100</f>
        <v>100</v>
      </c>
      <c r="I15" s="393" t="s">
        <v>3391</v>
      </c>
      <c r="J15" s="392">
        <f>SUMIF(76:76,I16,77:77)-SUMIF(76:76,C16,77:77)+100</f>
        <v>100</v>
      </c>
      <c r="K15" s="563">
        <v>2</v>
      </c>
      <c r="L15" s="2715"/>
      <c r="M15" s="2709"/>
      <c r="N15" s="2709"/>
      <c r="O15" s="2709"/>
      <c r="P15" s="3666"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2715"/>
      <c r="M16" s="2709"/>
      <c r="N16" s="2709"/>
      <c r="O16" s="2709"/>
      <c r="P16" s="3667"/>
      <c r="Q16" s="1352"/>
      <c r="R16" s="705"/>
      <c r="S16" s="706"/>
      <c r="T16" s="705"/>
      <c r="U16" s="706"/>
      <c r="V16" s="705"/>
      <c r="W16" s="706"/>
      <c r="X16" s="1355"/>
      <c r="Y16" s="3669"/>
      <c r="Z16" s="1356"/>
      <c r="AA16" s="1353">
        <v>1</v>
      </c>
      <c r="AB16" s="1353">
        <v>1</v>
      </c>
      <c r="AC16" s="1353">
        <v>1</v>
      </c>
    </row>
    <row r="17" spans="1:29" ht="15">
      <c r="A17" s="379"/>
      <c r="B17" s="402" t="s">
        <v>1259</v>
      </c>
      <c r="C17" s="1900" t="str">
        <f>估价对象房地状况!C6</f>
        <v>较好</v>
      </c>
      <c r="D17" s="401">
        <v>100</v>
      </c>
      <c r="E17" s="403" t="s">
        <v>3391</v>
      </c>
      <c r="F17" s="404">
        <f>SUMIF(78:78,E18,79:79)-SUMIF(78:78,C18,79:79)+100</f>
        <v>100</v>
      </c>
      <c r="G17" s="403" t="s">
        <v>3391</v>
      </c>
      <c r="H17" s="406">
        <f>SUMIF(78:78,G18,79:79)-SUMIF(78:78,C18,79:79)+100</f>
        <v>100</v>
      </c>
      <c r="I17" s="403" t="s">
        <v>3391</v>
      </c>
      <c r="J17" s="406">
        <f>SUMIF(78:78,I18,79:79)-SUMIF(78:78,C18,79:79)+100</f>
        <v>100</v>
      </c>
      <c r="K17" s="563">
        <v>2</v>
      </c>
      <c r="L17" s="2715"/>
      <c r="M17" s="2709"/>
      <c r="N17" s="2709"/>
      <c r="O17" s="2709"/>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2715"/>
      <c r="M18" s="2709"/>
      <c r="N18" s="2709"/>
      <c r="O18" s="2709"/>
      <c r="P18" s="3667"/>
      <c r="Q18" s="1352"/>
      <c r="R18" s="705"/>
      <c r="S18" s="706"/>
      <c r="T18" s="705"/>
      <c r="U18" s="706"/>
      <c r="V18" s="705"/>
      <c r="W18" s="706"/>
      <c r="X18" s="1355"/>
      <c r="Y18" s="3669"/>
      <c r="Z18" s="1356"/>
      <c r="AA18" s="1353">
        <v>1</v>
      </c>
      <c r="AB18" s="1353">
        <v>1</v>
      </c>
      <c r="AC18" s="1353">
        <v>1</v>
      </c>
    </row>
    <row r="19" spans="1:29" ht="15">
      <c r="A19" s="379"/>
      <c r="B19" s="402" t="s">
        <v>1778</v>
      </c>
      <c r="C19" s="1900" t="str">
        <f>估价对象房地状况!C7</f>
        <v>较好</v>
      </c>
      <c r="D19" s="406">
        <v>100</v>
      </c>
      <c r="E19" s="408" t="s">
        <v>3391</v>
      </c>
      <c r="F19" s="409">
        <f>SUMIF(80:80,E20,81:81)-SUMIF(80:80,C20,81:81)+100</f>
        <v>100</v>
      </c>
      <c r="G19" s="408" t="s">
        <v>3391</v>
      </c>
      <c r="H19" s="401">
        <f>SUMIF(80:80,G20,81:81)-SUMIF(80:80,C20,81:81)+100</f>
        <v>100</v>
      </c>
      <c r="I19" s="408" t="s">
        <v>3391</v>
      </c>
      <c r="J19" s="401">
        <f>SUMIF(80:80,I20,81:81)-SUMIF(80:80,C20,81:81)+100</f>
        <v>100</v>
      </c>
      <c r="K19" s="563">
        <v>2</v>
      </c>
      <c r="L19" s="2715"/>
      <c r="M19" s="2709"/>
      <c r="N19" s="2709"/>
      <c r="O19" s="2709"/>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2715"/>
      <c r="M20" s="2709"/>
      <c r="N20" s="2709"/>
      <c r="O20" s="2709"/>
      <c r="P20" s="3667"/>
      <c r="Q20" s="1352"/>
      <c r="R20" s="705"/>
      <c r="S20" s="706"/>
      <c r="T20" s="705"/>
      <c r="U20" s="706"/>
      <c r="V20" s="705"/>
      <c r="W20" s="706"/>
      <c r="X20" s="1355"/>
      <c r="Y20" s="3669"/>
      <c r="Z20" s="1356"/>
      <c r="AA20" s="1353">
        <v>1</v>
      </c>
      <c r="AB20" s="1353">
        <v>1</v>
      </c>
      <c r="AC20" s="1353">
        <v>1</v>
      </c>
    </row>
    <row r="21" spans="1:29" ht="15">
      <c r="A21" s="379"/>
      <c r="B21" s="1131" t="s">
        <v>1779</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5"/>
      <c r="M21" s="2709"/>
      <c r="N21" s="2709"/>
      <c r="O21" s="2709"/>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5"/>
      <c r="M22" s="2709"/>
      <c r="N22" s="2709"/>
      <c r="O22" s="2709"/>
      <c r="P22" s="3667"/>
      <c r="Q22" s="1352"/>
      <c r="R22" s="705"/>
      <c r="S22" s="706"/>
      <c r="T22" s="705"/>
      <c r="U22" s="706"/>
      <c r="V22" s="705"/>
      <c r="W22" s="706"/>
      <c r="X22" s="1355"/>
      <c r="Y22" s="3669"/>
      <c r="Z22" s="1356"/>
      <c r="AA22" s="1353">
        <v>1</v>
      </c>
      <c r="AB22" s="1353">
        <v>1</v>
      </c>
      <c r="AC22" s="1353">
        <v>1</v>
      </c>
    </row>
    <row r="23" spans="1:29" ht="15">
      <c r="A23" s="379"/>
      <c r="B23" s="402" t="s">
        <v>1261</v>
      </c>
      <c r="C23" s="1953" t="str">
        <f>估价对象房地状况!C9</f>
        <v>较好</v>
      </c>
      <c r="D23" s="401">
        <v>100</v>
      </c>
      <c r="E23" s="403" t="s">
        <v>3391</v>
      </c>
      <c r="F23" s="404">
        <f>SUMIF(84:84,E24,85:85)-SUMIF(84:84,C24,85:85)+100</f>
        <v>100</v>
      </c>
      <c r="G23" s="403" t="s">
        <v>3391</v>
      </c>
      <c r="H23" s="401">
        <f>SUMIF(84:84,G24,85:85)-SUMIF(84:84,C24,85:85)+100</f>
        <v>100</v>
      </c>
      <c r="I23" s="403" t="s">
        <v>3391</v>
      </c>
      <c r="J23" s="401">
        <f>SUMIF(84:84,I24,85:85)-SUMIF(84:84,C24,85:85)+100</f>
        <v>100</v>
      </c>
      <c r="K23" s="563">
        <v>2</v>
      </c>
      <c r="L23" s="2715"/>
      <c r="M23" s="2709"/>
      <c r="N23" s="2709"/>
      <c r="O23" s="2709"/>
      <c r="P23" s="3667"/>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t="s">
        <v>3391</v>
      </c>
      <c r="D24" s="399"/>
      <c r="E24" s="1898" t="s">
        <v>3391</v>
      </c>
      <c r="F24" s="400"/>
      <c r="G24" s="1898" t="s">
        <v>3391</v>
      </c>
      <c r="H24" s="399"/>
      <c r="I24" s="1898" t="s">
        <v>3391</v>
      </c>
      <c r="J24" s="399"/>
      <c r="K24" s="564"/>
      <c r="L24" s="2715"/>
      <c r="M24" s="2709"/>
      <c r="N24" s="2709"/>
      <c r="O24" s="2709"/>
      <c r="P24" s="3667"/>
      <c r="Q24" s="1352"/>
      <c r="R24" s="705"/>
      <c r="S24" s="706"/>
      <c r="T24" s="705"/>
      <c r="U24" s="706"/>
      <c r="V24" s="705"/>
      <c r="W24" s="706"/>
      <c r="X24" s="1355"/>
      <c r="Y24" s="3669"/>
      <c r="Z24" s="1356"/>
      <c r="AA24" s="1353">
        <v>1</v>
      </c>
      <c r="AB24" s="1353">
        <v>1</v>
      </c>
      <c r="AC24" s="1353">
        <v>1</v>
      </c>
    </row>
    <row r="25" spans="1:29" ht="15">
      <c r="A25" s="379"/>
      <c r="B25" s="375" t="s">
        <v>1780</v>
      </c>
      <c r="C25" s="565" t="s">
        <v>3436</v>
      </c>
      <c r="D25" s="386">
        <v>100</v>
      </c>
      <c r="E25" s="565" t="s">
        <v>3436</v>
      </c>
      <c r="F25" s="412">
        <f>SUMIF(86:86,E25,87:87)-SUMIF(86:86,C25,87:87)+100</f>
        <v>100</v>
      </c>
      <c r="G25" s="565" t="s">
        <v>3436</v>
      </c>
      <c r="H25" s="386">
        <f>SUMIF(86:86,G25,87:87)-SUMIF(86:86,C25,87:87)+100</f>
        <v>100</v>
      </c>
      <c r="I25" s="565" t="s">
        <v>3436</v>
      </c>
      <c r="J25" s="386">
        <f>SUMIF(86:86,I25,87:87)-SUMIF(86:86,C25,87:87)+100</f>
        <v>100</v>
      </c>
      <c r="K25" s="561">
        <v>5</v>
      </c>
      <c r="L25" s="2715"/>
      <c r="M25" s="2709"/>
      <c r="N25" s="2709"/>
      <c r="O25" s="2709"/>
      <c r="P25" s="3667"/>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463" t="s">
        <v>3440</v>
      </c>
      <c r="D26" s="386">
        <v>100</v>
      </c>
      <c r="E26" s="385" t="s">
        <v>3391</v>
      </c>
      <c r="F26" s="412">
        <f>SUMIF(88:88,E26,89:89)-SUMIF(88:88,C26,89:89)+100</f>
        <v>100</v>
      </c>
      <c r="G26" s="385" t="s">
        <v>3391</v>
      </c>
      <c r="H26" s="386">
        <f>SUMIF(88:88,G26,89:89)-SUMIF(88:88,C26,89:89)+100</f>
        <v>100</v>
      </c>
      <c r="I26" s="385" t="s">
        <v>3391</v>
      </c>
      <c r="J26" s="386">
        <f>SUMIF(88:88,I26,89:89)-SUMIF(88:88,C26,89:89)+100</f>
        <v>100</v>
      </c>
      <c r="K26" s="562"/>
      <c r="L26" s="2715"/>
      <c r="M26" s="2709"/>
      <c r="N26" s="2709"/>
      <c r="O26" s="2709"/>
      <c r="P26" s="3667"/>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4" t="s">
        <v>3445</v>
      </c>
      <c r="D27" s="413">
        <v>100</v>
      </c>
      <c r="E27" s="1954" t="s">
        <v>3445</v>
      </c>
      <c r="F27" s="415">
        <f>SUMIF(90:90,E27,91:91)-SUMIF(90:90,C27,91:91)+100</f>
        <v>100</v>
      </c>
      <c r="G27" s="1954" t="s">
        <v>3445</v>
      </c>
      <c r="H27" s="413">
        <f>SUMIF(90:90,G27,91:91)-SUMIF(90:90,C27,91:91)+100</f>
        <v>100</v>
      </c>
      <c r="I27" s="1954" t="s">
        <v>3445</v>
      </c>
      <c r="J27" s="413">
        <f>SUMIF(90:90,I27,91:91)-SUMIF(90:90,C27,91:91)+100</f>
        <v>100</v>
      </c>
      <c r="K27" s="561">
        <v>5</v>
      </c>
      <c r="L27" s="2710"/>
      <c r="M27" s="2711"/>
      <c r="N27" s="2711"/>
      <c r="O27" s="2711"/>
      <c r="P27" s="3667"/>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7"/>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f>'数据-汇总表'!E3</f>
        <v>207.53</v>
      </c>
      <c r="D33" s="127">
        <v>100</v>
      </c>
      <c r="E33" s="381">
        <f>案例!C2</f>
        <v>100</v>
      </c>
      <c r="F33" s="376">
        <f>LOOKUP(E33,103:103,104:104)-LOOKUP(C33,103:103,104:104)+100</f>
        <v>102</v>
      </c>
      <c r="G33" s="380">
        <f>案例!C3</f>
        <v>100</v>
      </c>
      <c r="H33" s="127">
        <f>LOOKUP(G33,103:103,104:104)-LOOKUP(C33,103:103,104:104)+100</f>
        <v>102</v>
      </c>
      <c r="I33" s="380">
        <f>案例!C4</f>
        <v>100</v>
      </c>
      <c r="J33" s="127">
        <f>LOOKUP(I33,103:103,104:104)-LOOKUP(C33,103:103,104:104)+100</f>
        <v>102</v>
      </c>
      <c r="K33" s="562"/>
      <c r="L33" s="2714"/>
      <c r="M33" s="2716"/>
      <c r="N33" s="2716"/>
      <c r="O33" s="2716"/>
      <c r="P33" s="3671"/>
      <c r="Q33" s="707" t="str">
        <f t="shared" si="11"/>
        <v>项目建筑规模</v>
      </c>
      <c r="R33" s="708" t="s">
        <v>14</v>
      </c>
      <c r="S33" s="709">
        <f t="shared" si="12"/>
        <v>102</v>
      </c>
      <c r="T33" s="708" t="s">
        <v>14</v>
      </c>
      <c r="U33" s="709">
        <f t="shared" si="13"/>
        <v>102</v>
      </c>
      <c r="V33" s="708" t="s">
        <v>14</v>
      </c>
      <c r="W33" s="709">
        <f t="shared" si="14"/>
        <v>102</v>
      </c>
      <c r="X33" s="710"/>
      <c r="Y33" s="3673"/>
      <c r="Z33" s="711" t="str">
        <f t="shared" si="15"/>
        <v>项目建筑规模</v>
      </c>
      <c r="AA33" s="1353">
        <f t="shared" si="3"/>
        <v>0.98039215686274506</v>
      </c>
      <c r="AB33" s="1353">
        <f t="shared" si="4"/>
        <v>0.98039215686274506</v>
      </c>
      <c r="AC33" s="1353">
        <f t="shared" si="5"/>
        <v>0.98039215686274506</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2</v>
      </c>
      <c r="L34" s="2715"/>
      <c r="M34" s="2709"/>
      <c r="N34" s="2709"/>
      <c r="O34" s="2709"/>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t="s">
        <v>3455</v>
      </c>
      <c r="D35" s="386">
        <v>100</v>
      </c>
      <c r="E35" s="1906" t="s">
        <v>3455</v>
      </c>
      <c r="F35" s="412">
        <f>SUMIF(107:107,E35,108:108)-SUMIF(107:107,C35,108:108)+100</f>
        <v>100</v>
      </c>
      <c r="G35" s="1906" t="s">
        <v>3455</v>
      </c>
      <c r="H35" s="386">
        <f>SUMIF(107:107,G35,108:108)-SUMIF(107:107,C35,108:108)+100</f>
        <v>100</v>
      </c>
      <c r="I35" s="1906" t="s">
        <v>3455</v>
      </c>
      <c r="J35" s="386">
        <f>SUMIF(107:107,I35,108:108)-SUMIF(107:107,C35,108:108)+100</f>
        <v>100</v>
      </c>
      <c r="K35" s="561">
        <v>2</v>
      </c>
      <c r="L35" s="2715"/>
      <c r="M35" s="2709"/>
      <c r="N35" s="2709"/>
      <c r="O35" s="2709"/>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671"/>
      <c r="Q36" s="1352" t="str">
        <f t="shared" si="11"/>
        <v>成新度</v>
      </c>
      <c r="R36" s="705" t="s">
        <v>14</v>
      </c>
      <c r="S36" s="706">
        <f t="shared" si="12"/>
        <v>100</v>
      </c>
      <c r="T36" s="705" t="s">
        <v>14</v>
      </c>
      <c r="U36" s="706">
        <f t="shared" si="13"/>
        <v>100</v>
      </c>
      <c r="V36" s="705" t="s">
        <v>14</v>
      </c>
      <c r="W36" s="706">
        <f t="shared" si="14"/>
        <v>100</v>
      </c>
      <c r="X36" s="1355"/>
      <c r="Y36" s="3673"/>
      <c r="Z36" s="1356" t="str">
        <f t="shared" si="15"/>
        <v>成新度</v>
      </c>
      <c r="AA36" s="1353">
        <f t="shared" si="3"/>
        <v>1</v>
      </c>
      <c r="AB36" s="1353">
        <f t="shared" si="4"/>
        <v>1</v>
      </c>
      <c r="AC36" s="1353">
        <f t="shared" si="5"/>
        <v>1</v>
      </c>
    </row>
    <row r="37" spans="1:29" s="108" customFormat="1" ht="15">
      <c r="A37" s="424"/>
      <c r="B37" s="375" t="s">
        <v>1787</v>
      </c>
      <c r="C37" s="1906" t="s">
        <v>3470</v>
      </c>
      <c r="D37" s="127">
        <v>100</v>
      </c>
      <c r="E37" s="1906" t="s">
        <v>3470</v>
      </c>
      <c r="F37" s="412">
        <f>SUMIF(112:112,E37,113:113)-SUMIF(112:112,C37,113:113)+100</f>
        <v>100</v>
      </c>
      <c r="G37" s="1906" t="s">
        <v>3470</v>
      </c>
      <c r="H37" s="386">
        <f>SUMIF(112:112,G37,113:113)-SUMIF(112:112,C37,113:113)+100</f>
        <v>100</v>
      </c>
      <c r="I37" s="1906" t="s">
        <v>3470</v>
      </c>
      <c r="J37" s="386">
        <f>SUMIF(112:112,I37,113:113)-SUMIF(112:112,C37,113:113)+100</f>
        <v>100</v>
      </c>
      <c r="K37" s="561">
        <v>1</v>
      </c>
      <c r="L37" s="2710"/>
      <c r="M37" s="2711"/>
      <c r="N37" s="2711"/>
      <c r="O37" s="2711"/>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t="s">
        <v>3461</v>
      </c>
      <c r="D38" s="386">
        <v>100</v>
      </c>
      <c r="E38" s="1906" t="s">
        <v>3461</v>
      </c>
      <c r="F38" s="412">
        <f>SUMIF(114:114,E38,115:115)-SUMIF(114:114,C38,115:115)+100</f>
        <v>100</v>
      </c>
      <c r="G38" s="1906" t="s">
        <v>3461</v>
      </c>
      <c r="H38" s="386">
        <f>SUMIF(114:114,G38,115:115)-SUMIF(114:114,C38,115:115)+100</f>
        <v>100</v>
      </c>
      <c r="I38" s="1906" t="s">
        <v>3461</v>
      </c>
      <c r="J38" s="386">
        <f>SUMIF(114:114,I38,115:115)-SUMIF(114:114,C38,115:115)+100</f>
        <v>100</v>
      </c>
      <c r="K38" s="561">
        <v>5</v>
      </c>
      <c r="L38" s="2715"/>
      <c r="M38" s="2709"/>
      <c r="N38" s="2709"/>
      <c r="O38" s="2709"/>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75" thickBot="1">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561">
        <v>2</v>
      </c>
      <c r="L43" s="2715"/>
      <c r="M43" s="2709"/>
      <c r="N43" s="2709"/>
      <c r="O43" s="2709"/>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661" t="str">
        <f>A47</f>
        <v>成交单价（元/平方米）</v>
      </c>
      <c r="Q47" s="3661"/>
      <c r="R47" s="3695">
        <f>E47</f>
        <v>20000</v>
      </c>
      <c r="S47" s="3695"/>
      <c r="T47" s="3695">
        <f>G47</f>
        <v>20000</v>
      </c>
      <c r="U47" s="3695"/>
      <c r="V47" s="3695">
        <f>I47</f>
        <v>2020</v>
      </c>
      <c r="W47" s="3695"/>
      <c r="X47" s="690"/>
      <c r="Y47" s="712"/>
      <c r="Z47" s="690"/>
      <c r="AA47" s="690"/>
      <c r="AB47" s="690"/>
      <c r="AC47" s="690"/>
    </row>
    <row r="48" spans="1:29" ht="15.75" thickBot="1">
      <c r="A48" s="437" t="s">
        <v>1793</v>
      </c>
      <c r="B48" s="438"/>
      <c r="C48" s="1160">
        <f>R49</f>
        <v>13463</v>
      </c>
      <c r="D48" s="2315" t="s">
        <v>2138</v>
      </c>
      <c r="E48" s="1161">
        <f>R48</f>
        <v>19223</v>
      </c>
      <c r="F48" s="2316"/>
      <c r="G48" s="1160">
        <f>T48</f>
        <v>19223</v>
      </c>
      <c r="H48" s="2316"/>
      <c r="I48" s="1161">
        <f>V48</f>
        <v>1942</v>
      </c>
      <c r="J48" s="2316"/>
      <c r="K48" s="2318">
        <f>F48+H48+J48</f>
        <v>0</v>
      </c>
      <c r="L48" s="2717"/>
      <c r="M48" s="2718"/>
      <c r="N48" s="2709"/>
      <c r="O48" s="2718"/>
      <c r="P48" s="3661" t="str">
        <f>A48</f>
        <v>比较价值（元/平方米）</v>
      </c>
      <c r="Q48" s="3661"/>
      <c r="R48" s="3662">
        <f>IF(F1="售价",ROUND(PRODUCT(R47,AA7:AA46),0),ROUND(PRODUCT(R47,AA7:AA46),1))</f>
        <v>19223</v>
      </c>
      <c r="S48" s="3662"/>
      <c r="T48" s="3662">
        <f>IF(F1="售价",ROUND(PRODUCT(T47,AB7:AB46),0),ROUND(PRODUCT(T47,AB7:AB46),1))</f>
        <v>19223</v>
      </c>
      <c r="U48" s="3662"/>
      <c r="V48" s="3662">
        <f>IF(F1="售价",ROUND(PRODUCT(V47,AC7:AC46),0),ROUND(PRODUCT(V47,AC7:AC46),1))</f>
        <v>1942</v>
      </c>
      <c r="W48" s="3662"/>
      <c r="X48" s="690"/>
      <c r="Y48" s="690"/>
      <c r="Z48" s="690"/>
      <c r="AA48" s="690"/>
      <c r="AB48" s="690"/>
      <c r="AC48" s="690"/>
    </row>
    <row r="49" spans="1:29" ht="15.75" thickBot="1">
      <c r="A49" s="441" t="s">
        <v>1794</v>
      </c>
      <c r="B49" s="442"/>
      <c r="C49" s="1163">
        <f>R49</f>
        <v>13463</v>
      </c>
      <c r="D49" s="1163"/>
      <c r="E49" s="1163"/>
      <c r="F49" s="1163"/>
      <c r="G49" s="1163"/>
      <c r="H49" s="1163"/>
      <c r="I49" s="1163"/>
      <c r="J49" s="1163"/>
      <c r="K49" s="715"/>
      <c r="L49" s="2717"/>
      <c r="M49" s="2718"/>
      <c r="N49" s="2709"/>
      <c r="O49" s="2718"/>
      <c r="P49" s="3732" t="str">
        <f>A49</f>
        <v>估价对象XX用房的比较价值（楼面单价，元/平方米）</v>
      </c>
      <c r="Q49" s="3733"/>
      <c r="R49" s="3734">
        <f>IF(F1="售价",ROUND(IF(D48="简单平均",AVERAGE(R48:V48),R48*F48+T48*H48+V48*J48),0),ROUND(IF(D48="简单平均",AVERAGE(R48:V48),R48*F48+T48*H48+V48*J48),1))</f>
        <v>13463</v>
      </c>
      <c r="S49" s="3734"/>
      <c r="T49" s="3734"/>
      <c r="U49" s="3734"/>
      <c r="V49" s="3734"/>
      <c r="W49" s="373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4.0420329813244615E-2</v>
      </c>
      <c r="F52" s="449" t="str">
        <f>IF(OR(E52&gt;=0.3,E52&lt;=-0.3),"超过30%","")</f>
        <v/>
      </c>
      <c r="G52" s="448">
        <f>IF(G47&lt;G48,G48/G47-1,G47/G48-1)</f>
        <v>4.0420329813244615E-2</v>
      </c>
      <c r="H52" s="449" t="str">
        <f>IF(OR(G52&gt;=0.3,G52&lt;=-0.3),"超过30%","")</f>
        <v/>
      </c>
      <c r="I52" s="448">
        <f>IF(I47&lt;I48,I48/I47-1,I47/I48-1)</f>
        <v>4.0164778578784865E-2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8.8985581874356328</v>
      </c>
      <c r="H53" s="449" t="str">
        <f>IF(OR(G53&gt;=0.2,G53&lt;=-0.2),"超过20%","")</f>
        <v>超过20%</v>
      </c>
      <c r="I53" s="448">
        <f>IF(I48&lt;E48,E48/I48-1,I48/E48-1)</f>
        <v>8.8985581874356328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3429</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3430</v>
      </c>
      <c r="D65" s="532" t="s">
        <v>3431</v>
      </c>
      <c r="E65" s="3455" t="s">
        <v>3433</v>
      </c>
      <c r="F65" s="532" t="s">
        <v>3432</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3434</v>
      </c>
      <c r="D86" s="3456" t="s">
        <v>3435</v>
      </c>
      <c r="E86" s="3456" t="s">
        <v>3437</v>
      </c>
      <c r="F86" s="3456" t="s">
        <v>3438</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3439</v>
      </c>
      <c r="D88" s="3456" t="s">
        <v>3440</v>
      </c>
      <c r="E88" s="3456" t="s">
        <v>3441</v>
      </c>
      <c r="F88" s="3457" t="s">
        <v>3442</v>
      </c>
      <c r="G88" s="3456" t="s">
        <v>3443</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3444</v>
      </c>
      <c r="D90" s="3456" t="s">
        <v>3446</v>
      </c>
      <c r="E90" s="3456" t="s">
        <v>3441</v>
      </c>
      <c r="F90" s="3456" t="s">
        <v>3447</v>
      </c>
      <c r="G90" s="3456" t="s">
        <v>3448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3449</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3450</v>
      </c>
      <c r="D100" s="3459" t="s">
        <v>3451</v>
      </c>
      <c r="E100" s="3459" t="s">
        <v>3452</v>
      </c>
      <c r="F100" s="3459" t="s">
        <v>3453</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3456</v>
      </c>
      <c r="D107" s="3456" t="s">
        <v>3457</v>
      </c>
      <c r="E107" s="3456" t="s">
        <v>3458</v>
      </c>
      <c r="F107" s="3460" t="s">
        <v>3459</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3460</v>
      </c>
      <c r="D114" s="3456" t="s">
        <v>3462</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3463</v>
      </c>
      <c r="D116" s="3456" t="s">
        <v>3464</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3465</v>
      </c>
      <c r="D120" s="3460" t="s">
        <v>3466</v>
      </c>
      <c r="E120" s="3460" t="s">
        <v>3441</v>
      </c>
      <c r="F120" s="3460" t="s">
        <v>3467</v>
      </c>
      <c r="G120" s="3461" t="s">
        <v>3468</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3416</v>
      </c>
      <c r="B2" s="3452">
        <f>项目基本情况!D3</f>
        <v>45251</v>
      </c>
      <c r="C2">
        <v>100</v>
      </c>
      <c r="D2">
        <v>200</v>
      </c>
      <c r="E2">
        <f>ROUND(D2*10000/C2,0)</f>
        <v>20000</v>
      </c>
      <c r="F2">
        <v>2020</v>
      </c>
      <c r="G2" s="3453">
        <v>0.9</v>
      </c>
      <c r="H2">
        <v>3</v>
      </c>
    </row>
    <row r="3" spans="1:8">
      <c r="A3" s="3451" t="s">
        <v>3417</v>
      </c>
      <c r="B3" s="3452">
        <f>B2</f>
        <v>45251</v>
      </c>
      <c r="C3">
        <v>100</v>
      </c>
      <c r="D3">
        <v>200</v>
      </c>
      <c r="E3">
        <f>ROUND(D3*10000/C3,0)</f>
        <v>20000</v>
      </c>
      <c r="F3">
        <v>2020</v>
      </c>
      <c r="G3" s="3453">
        <v>0.9</v>
      </c>
      <c r="H3">
        <v>3</v>
      </c>
    </row>
    <row r="4" spans="1:8">
      <c r="A4" s="3451" t="s">
        <v>3418</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3500</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415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207.53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09" t="str">
        <f>'案例 (3)'!A2</f>
        <v>AAA</v>
      </c>
      <c r="F5" s="3710"/>
      <c r="G5" s="3698" t="str">
        <f>'案例 (3)'!A3</f>
        <v>BBB</v>
      </c>
      <c r="H5" s="3699"/>
      <c r="I5" s="3698" t="str">
        <f>'案例 (3)'!A4</f>
        <v>CCC</v>
      </c>
      <c r="J5" s="3699"/>
      <c r="K5" s="559"/>
      <c r="L5" s="913"/>
      <c r="M5" s="914"/>
      <c r="N5" s="914"/>
      <c r="O5" s="914"/>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913"/>
      <c r="M6" s="914"/>
      <c r="N6" s="914"/>
      <c r="O6" s="914"/>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702" t="s">
        <v>1680</v>
      </c>
      <c r="Q7" s="3703"/>
      <c r="R7" s="701" t="s">
        <v>14</v>
      </c>
      <c r="S7" s="702">
        <f t="shared" ref="S7:S15" si="0">F7</f>
        <v>100</v>
      </c>
      <c r="T7" s="701" t="s">
        <v>14</v>
      </c>
      <c r="U7" s="702">
        <f t="shared" ref="U7:U15" si="1">H7</f>
        <v>100</v>
      </c>
      <c r="V7" s="701" t="s">
        <v>14</v>
      </c>
      <c r="W7" s="702">
        <f t="shared" ref="W7:W15" si="2">J7</f>
        <v>100</v>
      </c>
      <c r="X7" s="703"/>
      <c r="Y7" s="3702" t="s">
        <v>1680</v>
      </c>
      <c r="Z7" s="3701"/>
      <c r="AA7" s="704">
        <f>D7/F7</f>
        <v>1</v>
      </c>
      <c r="AB7" s="704">
        <f>D7/H7</f>
        <v>1</v>
      </c>
      <c r="AC7" s="704">
        <f>D7/J7</f>
        <v>1</v>
      </c>
    </row>
    <row r="8" spans="1:29" s="108" customFormat="1" ht="15.75" thickBot="1">
      <c r="A8" s="362" t="s">
        <v>1681</v>
      </c>
      <c r="B8" s="363"/>
      <c r="C8" s="368" t="s">
        <v>3399</v>
      </c>
      <c r="D8" s="365">
        <v>100</v>
      </c>
      <c r="E8" s="368" t="s">
        <v>3428</v>
      </c>
      <c r="F8" s="367">
        <f>SUMIF(55:55,E8,56:56)-SUMIF(55:55,C8,56:56)+100</f>
        <v>102</v>
      </c>
      <c r="G8" s="368" t="s">
        <v>3428</v>
      </c>
      <c r="H8" s="365">
        <f>SUMIF(55:55,G8,56:56)-SUMIF(55:55,C8,56:56)+100</f>
        <v>102</v>
      </c>
      <c r="I8" s="368" t="s">
        <v>3428</v>
      </c>
      <c r="J8" s="365">
        <f>SUMIF(55:55,I8,56:56)-SUMIF(55:55,C8,56:56)+100</f>
        <v>102</v>
      </c>
      <c r="K8" s="560"/>
      <c r="L8" s="915"/>
      <c r="M8" s="916"/>
      <c r="N8" s="916"/>
      <c r="O8" s="916"/>
      <c r="P8" s="3702" t="s">
        <v>1683</v>
      </c>
      <c r="Q8" s="3701"/>
      <c r="R8" s="701" t="s">
        <v>14</v>
      </c>
      <c r="S8" s="702">
        <f t="shared" si="0"/>
        <v>102</v>
      </c>
      <c r="T8" s="701" t="s">
        <v>14</v>
      </c>
      <c r="U8" s="702">
        <f t="shared" si="1"/>
        <v>102</v>
      </c>
      <c r="V8" s="701" t="s">
        <v>14</v>
      </c>
      <c r="W8" s="702">
        <f t="shared" si="2"/>
        <v>102</v>
      </c>
      <c r="X8" s="703"/>
      <c r="Y8" s="3702" t="s">
        <v>1683</v>
      </c>
      <c r="Z8" s="3701"/>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3501</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3391</v>
      </c>
      <c r="F15" s="394">
        <f>SUMIF(70:70,E16,71:71)-SUMIF(70:70,C16,71:71)+100</f>
        <v>100</v>
      </c>
      <c r="G15" s="393" t="s">
        <v>3391</v>
      </c>
      <c r="H15" s="392">
        <f>SUMIF(70:70,G16,71:71)-SUMIF(70:70,C16,71:71)+100</f>
        <v>100</v>
      </c>
      <c r="I15" s="393" t="s">
        <v>3391</v>
      </c>
      <c r="J15" s="392">
        <f>SUMIF(70:70,I16,71:71)-SUMIF(70:70,C16,71:71)+100</f>
        <v>100</v>
      </c>
      <c r="K15" s="563">
        <v>2</v>
      </c>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15">
      <c r="A17" s="379"/>
      <c r="B17" s="402" t="s">
        <v>1259</v>
      </c>
      <c r="C17" s="1900" t="str">
        <f>估价对象房地状况!G4</f>
        <v>较好</v>
      </c>
      <c r="D17" s="401">
        <v>100</v>
      </c>
      <c r="E17" s="403" t="s">
        <v>3391</v>
      </c>
      <c r="F17" s="404">
        <f>SUMIF(72:72,E18,73:73)-SUMIF(72:72,C18,73:73)+100</f>
        <v>100</v>
      </c>
      <c r="G17" s="403" t="s">
        <v>3391</v>
      </c>
      <c r="H17" s="406">
        <f>SUMIF(72:72,G18,73:73)-SUMIF(72:72,C18,73:73)+100</f>
        <v>100</v>
      </c>
      <c r="I17" s="403" t="s">
        <v>3391</v>
      </c>
      <c r="J17" s="406">
        <f>SUMIF(72:72,I18,73:73)-SUMIF(72:72,C18,73:73)+100</f>
        <v>100</v>
      </c>
      <c r="K17" s="563">
        <v>2</v>
      </c>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15">
      <c r="A19" s="379"/>
      <c r="B19" s="402" t="s">
        <v>1812</v>
      </c>
      <c r="C19" s="1900" t="str">
        <f>估价对象房地状况!G5</f>
        <v>较好</v>
      </c>
      <c r="D19" s="406">
        <v>100</v>
      </c>
      <c r="E19" s="408" t="s">
        <v>3391</v>
      </c>
      <c r="F19" s="409">
        <f>SUMIF(74:74,E20,75:75)-SUMIF(74:74,C20,75:75)+100</f>
        <v>100</v>
      </c>
      <c r="G19" s="408" t="s">
        <v>3391</v>
      </c>
      <c r="H19" s="401">
        <f>SUMIF(74:74,G20,75:75)-SUMIF(74:74,C20,75:75)+100</f>
        <v>100</v>
      </c>
      <c r="I19" s="408" t="s">
        <v>3391</v>
      </c>
      <c r="J19" s="401">
        <f>SUMIF(74:74,I20,75:75)-SUMIF(74:74,C20,75:75)+100</f>
        <v>100</v>
      </c>
      <c r="K19" s="563">
        <v>2</v>
      </c>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15">
      <c r="A21" s="379"/>
      <c r="B21" s="1131" t="s">
        <v>1813</v>
      </c>
      <c r="C21" s="1900" t="str">
        <f>估价对象房地状况!G6</f>
        <v>七通</v>
      </c>
      <c r="D21" s="401">
        <v>100</v>
      </c>
      <c r="E21" s="408" t="s">
        <v>3395</v>
      </c>
      <c r="F21" s="409">
        <f>SUMIF(76:76,E22,77:77)-SUMIF(76:76,C22,77:77)+100</f>
        <v>100</v>
      </c>
      <c r="G21" s="408" t="s">
        <v>3395</v>
      </c>
      <c r="H21" s="401">
        <f>SUMIF(76:76,G22,77:77)-SUMIF(76:76,C22,77:77)+100</f>
        <v>100</v>
      </c>
      <c r="I21" s="408" t="s">
        <v>3395</v>
      </c>
      <c r="J21" s="401">
        <f>SUMIF(76:76,I22,77:77)-SUMIF(76:76,C22,77:77)+100</f>
        <v>100</v>
      </c>
      <c r="K21" s="563">
        <v>1</v>
      </c>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15">
      <c r="A23" s="379"/>
      <c r="B23" s="402" t="s">
        <v>1814</v>
      </c>
      <c r="C23" s="1900" t="str">
        <f>估价对象房地状况!G7</f>
        <v>较好</v>
      </c>
      <c r="D23" s="401">
        <v>100</v>
      </c>
      <c r="E23" s="403" t="s">
        <v>3391</v>
      </c>
      <c r="F23" s="404">
        <f>SUMIF(78:78,E24,79:79)-SUMIF(78:78,C24,79:79)+100</f>
        <v>100</v>
      </c>
      <c r="G23" s="403" t="s">
        <v>3391</v>
      </c>
      <c r="H23" s="401">
        <f>SUMIF(78:78,G24,79:79)-SUMIF(78:78,C24,79:79)+100</f>
        <v>100</v>
      </c>
      <c r="I23" s="403" t="s">
        <v>3391</v>
      </c>
      <c r="J23" s="401">
        <f>SUMIF(78:78,I24,79:79)-SUMIF(78:78,C24,79:79)+100</f>
        <v>100</v>
      </c>
      <c r="K23" s="563">
        <v>2</v>
      </c>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75" thickBot="1">
      <c r="A24" s="379"/>
      <c r="B24" s="1131"/>
      <c r="C24" s="398" t="s">
        <v>3391</v>
      </c>
      <c r="D24" s="399"/>
      <c r="E24" s="1898" t="s">
        <v>3391</v>
      </c>
      <c r="F24" s="400"/>
      <c r="G24" s="1898" t="s">
        <v>3391</v>
      </c>
      <c r="H24" s="399"/>
      <c r="I24" s="1898" t="s">
        <v>3391</v>
      </c>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5" t="s">
        <v>3495</v>
      </c>
      <c r="D29" s="418">
        <v>100</v>
      </c>
      <c r="E29" s="1965" t="s">
        <v>3495</v>
      </c>
      <c r="F29" s="412">
        <f>SUMIF(88:88,E29,89:89)-SUMIF(88:88,C29,89:89)+100</f>
        <v>100</v>
      </c>
      <c r="G29" s="1965" t="s">
        <v>3495</v>
      </c>
      <c r="H29" s="386">
        <f>SUMIF(88:88,G29,89:89)-SUMIF(88:88,C29,89:89)+100</f>
        <v>100</v>
      </c>
      <c r="I29" s="1965" t="s">
        <v>3495</v>
      </c>
      <c r="J29" s="418">
        <f>SUMIF(88:88,I29,89:89)-SUMIF(88:88,C29,89:89)+100</f>
        <v>100</v>
      </c>
      <c r="K29" s="561">
        <v>5</v>
      </c>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f>'数据-汇总表'!E3</f>
        <v>207.53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673"/>
      <c r="Q30" s="707" t="str">
        <f t="shared" si="11"/>
        <v>项目建筑规模</v>
      </c>
      <c r="R30" s="708" t="s">
        <v>14</v>
      </c>
      <c r="S30" s="709">
        <f t="shared" si="12"/>
        <v>98</v>
      </c>
      <c r="T30" s="708" t="s">
        <v>14</v>
      </c>
      <c r="U30" s="709">
        <f t="shared" si="13"/>
        <v>98</v>
      </c>
      <c r="V30" s="708" t="s">
        <v>14</v>
      </c>
      <c r="W30" s="709">
        <f t="shared" si="14"/>
        <v>98</v>
      </c>
      <c r="X30" s="710"/>
      <c r="Y30" s="3673"/>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v>2</v>
      </c>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t="s">
        <v>3455</v>
      </c>
      <c r="D32" s="386">
        <v>100</v>
      </c>
      <c r="E32" s="411" t="s">
        <v>3455</v>
      </c>
      <c r="F32" s="412">
        <f>SUMIF(95:95,E32,96:96)-SUMIF(95:95,C32,96:96)+100</f>
        <v>100</v>
      </c>
      <c r="G32" s="411" t="s">
        <v>3455</v>
      </c>
      <c r="H32" s="386">
        <f>SUMIF(95:95,G32,96:96)-SUMIF(95:95,C32,96:96)+100</f>
        <v>100</v>
      </c>
      <c r="I32" s="3465" t="s">
        <v>3502</v>
      </c>
      <c r="J32" s="386">
        <f>SUMIF(95:95,I32,96:96)-SUMIF(95:95,C32,96:96)+100</f>
        <v>100</v>
      </c>
      <c r="K32" s="561">
        <v>2</v>
      </c>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673"/>
      <c r="Q33" s="1352" t="str">
        <f t="shared" si="11"/>
        <v>成新度</v>
      </c>
      <c r="R33" s="705" t="s">
        <v>14</v>
      </c>
      <c r="S33" s="706">
        <f t="shared" si="12"/>
        <v>100</v>
      </c>
      <c r="T33" s="705" t="s">
        <v>14</v>
      </c>
      <c r="U33" s="706">
        <f t="shared" si="13"/>
        <v>100</v>
      </c>
      <c r="V33" s="705" t="s">
        <v>14</v>
      </c>
      <c r="W33" s="706">
        <f t="shared" si="14"/>
        <v>100</v>
      </c>
      <c r="X33" s="1355"/>
      <c r="Y33" s="3673"/>
      <c r="Z33" s="1356" t="str">
        <f t="shared" si="15"/>
        <v>成新度</v>
      </c>
      <c r="AA33" s="1353">
        <f t="shared" si="3"/>
        <v>1</v>
      </c>
      <c r="AB33" s="1353">
        <f t="shared" si="4"/>
        <v>1</v>
      </c>
      <c r="AC33" s="1353">
        <f t="shared" si="5"/>
        <v>1</v>
      </c>
    </row>
    <row r="34" spans="1:29" s="108" customFormat="1" ht="15">
      <c r="A34" s="424"/>
      <c r="B34" s="375" t="s">
        <v>1819</v>
      </c>
      <c r="C34" s="411" t="s">
        <v>3409</v>
      </c>
      <c r="D34" s="127">
        <v>100</v>
      </c>
      <c r="E34" s="411" t="s">
        <v>3409</v>
      </c>
      <c r="F34" s="412">
        <f>SUMIF(100:100,E34,101:101)-SUMIF(100:100,C34,101:101)+100</f>
        <v>100</v>
      </c>
      <c r="G34" s="411" t="s">
        <v>3409</v>
      </c>
      <c r="H34" s="386">
        <f>SUMIF(100:100,G34,101:101)-SUMIF(100:100,C34,101:101)+100</f>
        <v>100</v>
      </c>
      <c r="I34" s="411" t="s">
        <v>3409</v>
      </c>
      <c r="J34" s="386">
        <f>SUMIF(100:100,I34,101:101)-SUMIF(100:100,C34,101:101)+100</f>
        <v>100</v>
      </c>
      <c r="K34" s="561">
        <v>2</v>
      </c>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t="s">
        <v>3470</v>
      </c>
      <c r="D35" s="386">
        <v>100</v>
      </c>
      <c r="E35" s="411" t="s">
        <v>3470</v>
      </c>
      <c r="F35" s="412">
        <f>SUMIF(102:102,E35,103:103)-SUMIF(102:102,C35,103:103)+100</f>
        <v>100</v>
      </c>
      <c r="G35" s="411" t="s">
        <v>3470</v>
      </c>
      <c r="H35" s="386">
        <f>SUMIF(102:102,G35,103:103)-SUMIF(102:102,C35,103:103)+100</f>
        <v>100</v>
      </c>
      <c r="I35" s="411" t="s">
        <v>3470</v>
      </c>
      <c r="J35" s="386">
        <f>SUMIF(102:102,I35,103:103)-SUMIF(102:102,C35,103:103)+100</f>
        <v>100</v>
      </c>
      <c r="K35" s="561">
        <v>1</v>
      </c>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t="s">
        <v>3408</v>
      </c>
      <c r="D36" s="386">
        <v>100</v>
      </c>
      <c r="E36" s="411" t="s">
        <v>3408</v>
      </c>
      <c r="F36" s="412">
        <f>SUMIF(104:104,E36,105:105)-SUMIF(104:104,C36,105:105)+100</f>
        <v>100</v>
      </c>
      <c r="G36" s="411" t="s">
        <v>3408</v>
      </c>
      <c r="H36" s="386">
        <f>SUMIF(104:104,G36,105:105)-SUMIF(104:104,C36,105:105)+100</f>
        <v>100</v>
      </c>
      <c r="I36" s="411" t="s">
        <v>3408</v>
      </c>
      <c r="J36" s="386">
        <f>SUMIF(104:104,I36,105:105)-SUMIF(104:104,C36,105:105)+100</f>
        <v>100</v>
      </c>
      <c r="K36" s="561">
        <v>2</v>
      </c>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75" thickBot="1">
      <c r="A37" s="423"/>
      <c r="B37" s="375" t="s">
        <v>1828</v>
      </c>
      <c r="C37" s="565" t="s">
        <v>3391</v>
      </c>
      <c r="D37" s="386">
        <v>100</v>
      </c>
      <c r="E37" s="565" t="s">
        <v>3391</v>
      </c>
      <c r="F37" s="412">
        <f>SUMIF(106:106,E37,107:107)-SUMIF(106:106,C37,107:107)+100</f>
        <v>100</v>
      </c>
      <c r="G37" s="565" t="s">
        <v>3391</v>
      </c>
      <c r="H37" s="386">
        <f>SUMIF(106:106,G37,107:107)-SUMIF(106:106,C37,107:107)+100</f>
        <v>100</v>
      </c>
      <c r="I37" s="565" t="s">
        <v>3391</v>
      </c>
      <c r="J37" s="386">
        <f>SUMIF(106:106,I37,107:107)-SUMIF(106:106,C37,107:107)+100</f>
        <v>100</v>
      </c>
      <c r="K37" s="561">
        <v>2</v>
      </c>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661" t="str">
        <f>A41</f>
        <v>成交单价（元/平方米）</v>
      </c>
      <c r="Q41" s="3661"/>
      <c r="R41" s="3662">
        <f>E41</f>
        <v>20000</v>
      </c>
      <c r="S41" s="3662"/>
      <c r="T41" s="3662">
        <f>G41</f>
        <v>20000</v>
      </c>
      <c r="U41" s="3662"/>
      <c r="V41" s="3662">
        <f>I41</f>
        <v>20000</v>
      </c>
      <c r="W41" s="3662"/>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661" t="str">
        <f>A42</f>
        <v>比较价值（元/平方米）</v>
      </c>
      <c r="Q42" s="3661"/>
      <c r="R42" s="3662">
        <f>IF(F1="售价",ROUND(PRODUCT(R41,AA7:AA40),0),ROUND(PRODUCT(R41,AA7:AA40),1))</f>
        <v>20008</v>
      </c>
      <c r="S42" s="3662"/>
      <c r="T42" s="3662">
        <f>IF(F1="售价",ROUND(PRODUCT(T41,AB7:AB40),0),ROUND(PRODUCT(T41,AB7:AB40),1))</f>
        <v>20008</v>
      </c>
      <c r="U42" s="3662"/>
      <c r="V42" s="3662">
        <f>IF(F1="售价",ROUND(PRODUCT(V41,AC7:AC40),0),ROUND(PRODUCT(V41,AC7:AC40),1))</f>
        <v>20008</v>
      </c>
      <c r="W42" s="3662"/>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32" t="str">
        <f>A43</f>
        <v>估价对象XX用房的比较价值（楼面单价，元/平方米）</v>
      </c>
      <c r="Q43" s="3733"/>
      <c r="R43" s="3734">
        <f>IF(F1="售价",ROUND(IF(D42="简单平均",AVERAGE(R42:V42),R42*F42+T42*H42+V42*J42),0),ROUND(IF(D42="简单平均",AVERAGE(R42:V42),R42*F42+T42*H42+V42*J42),1))</f>
        <v>20008</v>
      </c>
      <c r="S43" s="3734"/>
      <c r="T43" s="3734"/>
      <c r="U43" s="3734"/>
      <c r="V43" s="3734"/>
      <c r="W43" s="3734"/>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3471</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3472</v>
      </c>
      <c r="D59" s="532" t="s">
        <v>3473</v>
      </c>
      <c r="E59" s="532" t="s">
        <v>3474</v>
      </c>
      <c r="F59" s="3455" t="s">
        <v>3476</v>
      </c>
      <c r="G59" s="532" t="s">
        <v>3475</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3496</v>
      </c>
      <c r="D88" s="3459" t="s">
        <v>3497</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3484</v>
      </c>
      <c r="D95" s="3456" t="s">
        <v>3485</v>
      </c>
      <c r="E95" s="3456" t="s">
        <v>3486</v>
      </c>
      <c r="F95" s="3460" t="s">
        <v>3487</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3498</v>
      </c>
      <c r="D100" s="3456" t="s">
        <v>3499</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3416</v>
      </c>
      <c r="B2" s="3452">
        <f>项目基本情况!D3</f>
        <v>45251</v>
      </c>
      <c r="C2">
        <v>100</v>
      </c>
      <c r="D2">
        <v>200</v>
      </c>
      <c r="E2">
        <f>ROUND(D2*10000/C2,0)</f>
        <v>20000</v>
      </c>
      <c r="F2">
        <v>2020</v>
      </c>
      <c r="G2" s="3453">
        <v>0.9</v>
      </c>
      <c r="H2">
        <v>3</v>
      </c>
    </row>
    <row r="3" spans="1:8">
      <c r="A3" s="3451" t="s">
        <v>3417</v>
      </c>
      <c r="B3" s="3452">
        <f>B2</f>
        <v>45251</v>
      </c>
      <c r="C3">
        <v>100</v>
      </c>
      <c r="D3">
        <v>200</v>
      </c>
      <c r="E3">
        <f>ROUND(D3*10000/C3,0)</f>
        <v>20000</v>
      </c>
      <c r="F3">
        <v>2020</v>
      </c>
      <c r="G3" s="3453">
        <v>0.9</v>
      </c>
      <c r="H3">
        <v>3</v>
      </c>
    </row>
    <row r="4" spans="1:8">
      <c r="A4" s="3451" t="s">
        <v>3418</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08"/>
      <c r="M4" s="2709"/>
      <c r="N4" s="2709"/>
      <c r="O4" s="2709"/>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09" t="s">
        <v>1674</v>
      </c>
      <c r="F5" s="3710"/>
      <c r="G5" s="3698" t="s">
        <v>1675</v>
      </c>
      <c r="H5" s="3699"/>
      <c r="I5" s="3698" t="s">
        <v>1676</v>
      </c>
      <c r="J5" s="3699"/>
      <c r="K5" s="559"/>
      <c r="L5" s="2708"/>
      <c r="M5" s="2709"/>
      <c r="N5" s="2709"/>
      <c r="O5" s="2709"/>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2708"/>
      <c r="M6" s="2709"/>
      <c r="N6" s="2709"/>
      <c r="O6" s="2709"/>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2" t="s">
        <v>1680</v>
      </c>
      <c r="Q7" s="3703"/>
      <c r="R7" s="701" t="s">
        <v>14</v>
      </c>
      <c r="S7" s="702">
        <f t="shared" ref="S7:S14" si="0">F7</f>
        <v>0</v>
      </c>
      <c r="T7" s="701" t="s">
        <v>14</v>
      </c>
      <c r="U7" s="702">
        <f t="shared" ref="U7:U14" si="1">H7</f>
        <v>0</v>
      </c>
      <c r="V7" s="701" t="s">
        <v>14</v>
      </c>
      <c r="W7" s="702">
        <f t="shared" ref="W7:W14"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2" t="s">
        <v>1683</v>
      </c>
      <c r="Q8" s="3701"/>
      <c r="R8" s="701" t="s">
        <v>14</v>
      </c>
      <c r="S8" s="702">
        <f t="shared" si="0"/>
        <v>100</v>
      </c>
      <c r="T8" s="701" t="s">
        <v>14</v>
      </c>
      <c r="U8" s="702">
        <f t="shared" si="1"/>
        <v>100</v>
      </c>
      <c r="V8" s="701" t="s">
        <v>14</v>
      </c>
      <c r="W8" s="702">
        <f t="shared" si="2"/>
        <v>100</v>
      </c>
      <c r="X8" s="703"/>
      <c r="Y8" s="3702"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9"/>
      <c r="Q15" s="1352"/>
      <c r="R15" s="705"/>
      <c r="S15" s="706"/>
      <c r="T15" s="705"/>
      <c r="U15" s="706"/>
      <c r="V15" s="705"/>
      <c r="W15" s="706"/>
      <c r="X15" s="1355"/>
      <c r="Y15" s="3669"/>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9"/>
      <c r="Q17" s="1352"/>
      <c r="R17" s="705"/>
      <c r="S17" s="706"/>
      <c r="T17" s="705"/>
      <c r="U17" s="706"/>
      <c r="V17" s="705"/>
      <c r="W17" s="706"/>
      <c r="X17" s="1355"/>
      <c r="Y17" s="366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9"/>
      <c r="Q19" s="1352"/>
      <c r="R19" s="705"/>
      <c r="S19" s="706"/>
      <c r="T19" s="705"/>
      <c r="U19" s="706"/>
      <c r="V19" s="705"/>
      <c r="W19" s="706"/>
      <c r="X19" s="1355"/>
      <c r="Y19" s="3669"/>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1" t="s">
        <v>3351</v>
      </c>
      <c r="C37" s="1154" t="s">
        <v>0</v>
      </c>
      <c r="D37" s="1155"/>
      <c r="E37" s="1156"/>
      <c r="F37" s="1157"/>
      <c r="G37" s="1158"/>
      <c r="H37" s="1159"/>
      <c r="I37" s="1156"/>
      <c r="J37" s="1159"/>
      <c r="K37" s="568"/>
      <c r="L37" s="2717"/>
      <c r="M37" s="2718"/>
      <c r="N37" s="2709"/>
      <c r="O37" s="2718"/>
      <c r="P37" s="3661" t="str">
        <f>A37</f>
        <v>成交单价</v>
      </c>
      <c r="Q37" s="3661"/>
      <c r="R37" s="3662">
        <f>E37</f>
        <v>0</v>
      </c>
      <c r="S37" s="3662"/>
      <c r="T37" s="3662">
        <f>G37</f>
        <v>0</v>
      </c>
      <c r="U37" s="3662"/>
      <c r="V37" s="3662">
        <f>I37</f>
        <v>0</v>
      </c>
      <c r="W37" s="3662"/>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32" t="str">
        <f>A39</f>
        <v>估价对象XX用房的比较价值（楼面单价，元/平方米）</v>
      </c>
      <c r="Q39" s="373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08"/>
      <c r="M4" s="2709"/>
      <c r="N4" s="2709"/>
      <c r="O4" s="2709"/>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09" t="s">
        <v>1674</v>
      </c>
      <c r="F5" s="3710"/>
      <c r="G5" s="3698" t="s">
        <v>1675</v>
      </c>
      <c r="H5" s="3699"/>
      <c r="I5" s="3698" t="s">
        <v>1676</v>
      </c>
      <c r="J5" s="3699"/>
      <c r="K5" s="559"/>
      <c r="L5" s="2708"/>
      <c r="M5" s="2709"/>
      <c r="N5" s="2709"/>
      <c r="O5" s="2709"/>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2708"/>
      <c r="M6" s="2709"/>
      <c r="N6" s="2709"/>
      <c r="O6" s="2709"/>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2" t="s">
        <v>1680</v>
      </c>
      <c r="Q7" s="3703"/>
      <c r="R7" s="701" t="s">
        <v>14</v>
      </c>
      <c r="S7" s="702">
        <f t="shared" ref="S7:S14" si="0">F7</f>
        <v>0</v>
      </c>
      <c r="T7" s="701" t="s">
        <v>14</v>
      </c>
      <c r="U7" s="702">
        <f t="shared" ref="U7:U14" si="1">H7</f>
        <v>0</v>
      </c>
      <c r="V7" s="701" t="s">
        <v>14</v>
      </c>
      <c r="W7" s="702">
        <f t="shared" ref="W7:W14"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2" t="s">
        <v>1683</v>
      </c>
      <c r="Q8" s="3701"/>
      <c r="R8" s="701" t="s">
        <v>14</v>
      </c>
      <c r="S8" s="702">
        <f t="shared" si="0"/>
        <v>100</v>
      </c>
      <c r="T8" s="701" t="s">
        <v>14</v>
      </c>
      <c r="U8" s="702">
        <f t="shared" si="1"/>
        <v>100</v>
      </c>
      <c r="V8" s="701" t="s">
        <v>14</v>
      </c>
      <c r="W8" s="702">
        <f t="shared" si="2"/>
        <v>100</v>
      </c>
      <c r="X8" s="703"/>
      <c r="Y8" s="3702"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9"/>
      <c r="Q15" s="1352"/>
      <c r="R15" s="705"/>
      <c r="S15" s="706"/>
      <c r="T15" s="705"/>
      <c r="U15" s="706"/>
      <c r="V15" s="705"/>
      <c r="W15" s="706"/>
      <c r="X15" s="1355"/>
      <c r="Y15" s="3669"/>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9"/>
      <c r="Q17" s="1352"/>
      <c r="R17" s="705"/>
      <c r="S17" s="706"/>
      <c r="T17" s="705"/>
      <c r="U17" s="706"/>
      <c r="V17" s="705"/>
      <c r="W17" s="706"/>
      <c r="X17" s="1355"/>
      <c r="Y17" s="366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9"/>
      <c r="Q19" s="1352"/>
      <c r="R19" s="705"/>
      <c r="S19" s="706"/>
      <c r="T19" s="705"/>
      <c r="U19" s="706"/>
      <c r="V19" s="705"/>
      <c r="W19" s="706"/>
      <c r="X19" s="1355"/>
      <c r="Y19" s="3669"/>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32" t="str">
        <f>A37</f>
        <v>估价对象XX用房的比较价值（楼面单价，元/平方米）</v>
      </c>
      <c r="Q37" s="373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08"/>
      <c r="M4" s="2709"/>
      <c r="N4" s="2709"/>
      <c r="O4" s="2709"/>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30" ht="15">
      <c r="A5" s="358"/>
      <c r="B5" s="359"/>
      <c r="C5" s="3698" t="s">
        <v>1673</v>
      </c>
      <c r="D5" s="3699"/>
      <c r="E5" s="3709" t="s">
        <v>1674</v>
      </c>
      <c r="F5" s="3710"/>
      <c r="G5" s="3698" t="s">
        <v>1675</v>
      </c>
      <c r="H5" s="3699"/>
      <c r="I5" s="3698" t="s">
        <v>1676</v>
      </c>
      <c r="J5" s="3699"/>
      <c r="K5" s="559"/>
      <c r="L5" s="2708"/>
      <c r="M5" s="2709"/>
      <c r="N5" s="2709"/>
      <c r="O5" s="2709"/>
      <c r="P5" s="3738"/>
      <c r="Q5" s="3685"/>
      <c r="R5" s="3690"/>
      <c r="S5" s="3691"/>
      <c r="T5" s="3690"/>
      <c r="U5" s="3691"/>
      <c r="V5" s="3695"/>
      <c r="W5" s="3695"/>
      <c r="X5" s="1355"/>
      <c r="Y5" s="3690"/>
      <c r="Z5" s="3691"/>
      <c r="AA5" s="3707"/>
      <c r="AB5" s="3707"/>
      <c r="AC5" s="3707"/>
    </row>
    <row r="6" spans="1:30" ht="15.75" thickBot="1">
      <c r="A6" s="360"/>
      <c r="B6" s="361"/>
      <c r="C6" s="3696" t="s">
        <v>1677</v>
      </c>
      <c r="D6" s="3697"/>
      <c r="E6" s="3704" t="s">
        <v>1677</v>
      </c>
      <c r="F6" s="3705"/>
      <c r="G6" s="3696" t="s">
        <v>1677</v>
      </c>
      <c r="H6" s="3697"/>
      <c r="I6" s="3696" t="s">
        <v>1677</v>
      </c>
      <c r="J6" s="3697"/>
      <c r="K6" s="559" t="s">
        <v>1678</v>
      </c>
      <c r="L6" s="2708"/>
      <c r="M6" s="2709"/>
      <c r="N6" s="2709"/>
      <c r="O6" s="2709"/>
      <c r="P6" s="3739"/>
      <c r="Q6" s="3687"/>
      <c r="R6" s="3690"/>
      <c r="S6" s="3691"/>
      <c r="T6" s="3692"/>
      <c r="U6" s="3693"/>
      <c r="V6" s="3695"/>
      <c r="W6" s="3695"/>
      <c r="X6" s="1355"/>
      <c r="Y6" s="3692"/>
      <c r="Z6" s="3693"/>
      <c r="AA6" s="3708"/>
      <c r="AB6" s="3708"/>
      <c r="AC6" s="3708"/>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2" t="s">
        <v>1683</v>
      </c>
      <c r="Q8" s="3701"/>
      <c r="R8" s="701" t="s">
        <v>14</v>
      </c>
      <c r="S8" s="702">
        <f t="shared" si="0"/>
        <v>0</v>
      </c>
      <c r="T8" s="701" t="s">
        <v>14</v>
      </c>
      <c r="U8" s="702">
        <f t="shared" si="1"/>
        <v>0</v>
      </c>
      <c r="V8" s="701" t="s">
        <v>14</v>
      </c>
      <c r="W8" s="702">
        <f t="shared" si="2"/>
        <v>0</v>
      </c>
      <c r="X8" s="703"/>
      <c r="Y8" s="3702"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661"/>
      <c r="Q10" s="1343" t="str">
        <f t="shared" si="6"/>
        <v>土地使用年限（年）</v>
      </c>
      <c r="R10" s="701" t="s">
        <v>14</v>
      </c>
      <c r="S10" s="702">
        <f t="shared" si="0"/>
        <v>107</v>
      </c>
      <c r="T10" s="701" t="s">
        <v>14</v>
      </c>
      <c r="U10" s="702">
        <f t="shared" si="1"/>
        <v>107</v>
      </c>
      <c r="V10" s="701" t="s">
        <v>14</v>
      </c>
      <c r="W10" s="702">
        <f t="shared" si="2"/>
        <v>107</v>
      </c>
      <c r="X10" s="703"/>
      <c r="Y10" s="355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61"/>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9"/>
      <c r="Q16" s="1352"/>
      <c r="R16" s="705"/>
      <c r="S16" s="706"/>
      <c r="T16" s="705"/>
      <c r="U16" s="706"/>
      <c r="V16" s="705"/>
      <c r="W16" s="706"/>
      <c r="X16" s="1355"/>
      <c r="Y16" s="3669"/>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9"/>
      <c r="Q18" s="1352"/>
      <c r="R18" s="705"/>
      <c r="S18" s="706"/>
      <c r="T18" s="705"/>
      <c r="U18" s="706"/>
      <c r="V18" s="705"/>
      <c r="W18" s="706"/>
      <c r="X18" s="1355"/>
      <c r="Y18" s="3669"/>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9"/>
      <c r="Q20" s="1352"/>
      <c r="R20" s="705"/>
      <c r="S20" s="706"/>
      <c r="T20" s="705"/>
      <c r="U20" s="706"/>
      <c r="V20" s="705"/>
      <c r="W20" s="706"/>
      <c r="X20" s="1355"/>
      <c r="Y20" s="3669"/>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9"/>
      <c r="Q22" s="1352"/>
      <c r="R22" s="705"/>
      <c r="S22" s="706"/>
      <c r="T22" s="705"/>
      <c r="U22" s="706"/>
      <c r="V22" s="705"/>
      <c r="W22" s="706"/>
      <c r="X22" s="1355"/>
      <c r="Y22" s="3669"/>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9"/>
      <c r="Q24" s="1352"/>
      <c r="R24" s="705"/>
      <c r="S24" s="706"/>
      <c r="T24" s="705"/>
      <c r="U24" s="706"/>
      <c r="V24" s="705"/>
      <c r="W24" s="706"/>
      <c r="X24" s="1355"/>
      <c r="Y24" s="3669"/>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9"/>
      <c r="Q26" s="1352"/>
      <c r="R26" s="705"/>
      <c r="S26" s="706"/>
      <c r="T26" s="705"/>
      <c r="U26" s="706"/>
      <c r="V26" s="705"/>
      <c r="W26" s="706"/>
      <c r="X26" s="1355"/>
      <c r="Y26" s="3669"/>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69"/>
      <c r="Q28" s="1343"/>
      <c r="R28" s="701"/>
      <c r="S28" s="702"/>
      <c r="T28" s="701"/>
      <c r="U28" s="702"/>
      <c r="V28" s="701"/>
      <c r="W28" s="702"/>
      <c r="X28" s="703"/>
      <c r="Y28" s="366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42"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661" t="str">
        <f>A46</f>
        <v>成交单价</v>
      </c>
      <c r="Q46" s="3661"/>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661" t="str">
        <f>A47</f>
        <v>比较价值（元/平方米）</v>
      </c>
      <c r="Q47" s="3661"/>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32" t="str">
        <f>A48</f>
        <v>估价对象XX用房的比较价值（楼面单价，元/平方米）</v>
      </c>
      <c r="Q48" s="3733"/>
      <c r="R48" s="3745" t="e">
        <f>ROUND(IF(D47="简单平均",AVERAGE(R47:W47),R47*F47+T47*H47+V47*J47),0)</f>
        <v>#DIV/0!</v>
      </c>
      <c r="S48" s="3745"/>
      <c r="T48" s="3745"/>
      <c r="U48" s="3745"/>
      <c r="V48" s="3745"/>
      <c r="W48" s="374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78" t="s">
        <v>1887</v>
      </c>
      <c r="H55" s="3746"/>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207.53</v>
      </c>
      <c r="F56" s="886" t="e">
        <f t="shared" ref="F56:F64" si="15">ROUND(B56*E56/10000,0)</f>
        <v>#DIV/0!</v>
      </c>
      <c r="G56" s="3660"/>
      <c r="H56" s="3661"/>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207.53</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08"/>
      <c r="M4" s="2709"/>
      <c r="N4" s="2709"/>
      <c r="O4" s="2709"/>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09" t="s">
        <v>1674</v>
      </c>
      <c r="F5" s="3710"/>
      <c r="G5" s="3698" t="s">
        <v>1675</v>
      </c>
      <c r="H5" s="3699"/>
      <c r="I5" s="3698" t="s">
        <v>1676</v>
      </c>
      <c r="J5" s="3699"/>
      <c r="K5" s="559"/>
      <c r="L5" s="2708"/>
      <c r="M5" s="2709"/>
      <c r="N5" s="2709"/>
      <c r="O5" s="2709"/>
      <c r="P5" s="3738"/>
      <c r="Q5" s="3685"/>
      <c r="R5" s="3690"/>
      <c r="S5" s="3691"/>
      <c r="T5" s="3690"/>
      <c r="U5" s="3691"/>
      <c r="V5" s="3695"/>
      <c r="W5" s="3695"/>
      <c r="X5" s="1355"/>
      <c r="Y5" s="3690"/>
      <c r="Z5" s="3691"/>
      <c r="AA5" s="3707"/>
      <c r="AB5" s="3707"/>
      <c r="AC5" s="3707"/>
    </row>
    <row r="6" spans="1:29" ht="15.75" thickBot="1">
      <c r="A6" s="360"/>
      <c r="B6" s="361"/>
      <c r="C6" s="3747" t="s">
        <v>1919</v>
      </c>
      <c r="D6" s="3748"/>
      <c r="E6" s="3749" t="s">
        <v>1919</v>
      </c>
      <c r="F6" s="3750"/>
      <c r="G6" s="3747" t="s">
        <v>1919</v>
      </c>
      <c r="H6" s="3748"/>
      <c r="I6" s="3747" t="s">
        <v>1919</v>
      </c>
      <c r="J6" s="3748"/>
      <c r="K6" s="559" t="s">
        <v>1678</v>
      </c>
      <c r="L6" s="2708"/>
      <c r="M6" s="2709"/>
      <c r="N6" s="2709"/>
      <c r="O6" s="2709"/>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2" t="s">
        <v>1683</v>
      </c>
      <c r="Q8" s="3701"/>
      <c r="R8" s="701" t="s">
        <v>14</v>
      </c>
      <c r="S8" s="702">
        <f t="shared" si="0"/>
        <v>0</v>
      </c>
      <c r="T8" s="701" t="s">
        <v>14</v>
      </c>
      <c r="U8" s="702">
        <f t="shared" si="1"/>
        <v>0</v>
      </c>
      <c r="V8" s="701" t="s">
        <v>14</v>
      </c>
      <c r="W8" s="702">
        <f t="shared" si="2"/>
        <v>0</v>
      </c>
      <c r="X8" s="703"/>
      <c r="Y8" s="3702"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2"/>
      <c r="M10" s="2713"/>
      <c r="N10" s="2713"/>
      <c r="O10" s="2766"/>
      <c r="P10" s="3661"/>
      <c r="Q10" s="1343" t="str">
        <f t="shared" si="6"/>
        <v>土地使用年限（年）</v>
      </c>
      <c r="R10" s="701" t="s">
        <v>14</v>
      </c>
      <c r="S10" s="702">
        <f t="shared" si="0"/>
        <v>107</v>
      </c>
      <c r="T10" s="701" t="s">
        <v>14</v>
      </c>
      <c r="U10" s="702">
        <f t="shared" si="1"/>
        <v>107</v>
      </c>
      <c r="V10" s="701" t="s">
        <v>14</v>
      </c>
      <c r="W10" s="702">
        <f t="shared" si="2"/>
        <v>107</v>
      </c>
      <c r="X10" s="703"/>
      <c r="Y10" s="355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9"/>
      <c r="Q16" s="1352"/>
      <c r="R16" s="705"/>
      <c r="S16" s="706"/>
      <c r="T16" s="705"/>
      <c r="U16" s="706"/>
      <c r="V16" s="705"/>
      <c r="W16" s="706"/>
      <c r="X16" s="1355"/>
      <c r="Y16" s="3669"/>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9"/>
      <c r="Q18" s="1352"/>
      <c r="R18" s="705"/>
      <c r="S18" s="706"/>
      <c r="T18" s="705"/>
      <c r="U18" s="706"/>
      <c r="V18" s="705"/>
      <c r="W18" s="706"/>
      <c r="X18" s="1355"/>
      <c r="Y18" s="3669"/>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9"/>
      <c r="Q20" s="1352"/>
      <c r="R20" s="705"/>
      <c r="S20" s="706"/>
      <c r="T20" s="705"/>
      <c r="U20" s="706"/>
      <c r="V20" s="705"/>
      <c r="W20" s="706"/>
      <c r="X20" s="1355"/>
      <c r="Y20" s="3669"/>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9"/>
      <c r="Q22" s="1352"/>
      <c r="R22" s="705"/>
      <c r="S22" s="706"/>
      <c r="T22" s="705"/>
      <c r="U22" s="706"/>
      <c r="V22" s="705"/>
      <c r="W22" s="706"/>
      <c r="X22" s="1355"/>
      <c r="Y22" s="3669"/>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69"/>
      <c r="Q24" s="1343"/>
      <c r="R24" s="701"/>
      <c r="S24" s="702"/>
      <c r="T24" s="701"/>
      <c r="U24" s="702"/>
      <c r="V24" s="701"/>
      <c r="W24" s="702"/>
      <c r="X24" s="703"/>
      <c r="Y24" s="3669"/>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42"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661" t="str">
        <f>A41</f>
        <v>成交单价</v>
      </c>
      <c r="Q41" s="3661"/>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661" t="str">
        <f>A42</f>
        <v>比较价值（元/平方米）</v>
      </c>
      <c r="Q42" s="3661"/>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32" t="str">
        <f>A43</f>
        <v>估价对象XX用房的比较价值（楼面单价，元/平方米）</v>
      </c>
      <c r="Q43" s="3733"/>
      <c r="R43" s="3745" t="e">
        <f>ROUND(IF(D42="简单平均",AVERAGE(R42:W42),R42*F42+T42*H42+V42*J42),0)</f>
        <v>#DIV/0!</v>
      </c>
      <c r="S43" s="3745"/>
      <c r="T43" s="3745"/>
      <c r="U43" s="3745"/>
      <c r="V43" s="3745"/>
      <c r="W43" s="374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78" t="s">
        <v>1887</v>
      </c>
      <c r="H50" s="3746"/>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207.53</v>
      </c>
      <c r="F51" s="639" t="e">
        <f t="shared" ref="F51:F60" si="15">ROUND(B51*E51/10000,0)</f>
        <v>#DIV/0!</v>
      </c>
      <c r="G51" s="3660"/>
      <c r="H51" s="3661"/>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t="e">
        <f ca="1">SUMIF(B6:B13,"&lt;&gt;#ref!",B6:B13)</f>
        <v>#DIV/0!</v>
      </c>
      <c r="C2" s="2143" t="s">
        <v>2074</v>
      </c>
      <c r="D2" s="2143" t="s">
        <v>2075</v>
      </c>
      <c r="E2" s="2605">
        <f ca="1">SUMIF(E6:E13,"&lt;&gt;#ref!",E6:E13)</f>
        <v>207.53</v>
      </c>
      <c r="F2" s="2786"/>
      <c r="G2" s="2786"/>
      <c r="H2" s="2786"/>
      <c r="I2" s="2786"/>
      <c r="J2" s="2786"/>
      <c r="K2" s="2786"/>
      <c r="L2" s="2786"/>
      <c r="M2" s="2786"/>
      <c r="N2" s="2786"/>
      <c r="O2" s="2786"/>
      <c r="P2" s="2786"/>
    </row>
    <row r="3" spans="1:16" ht="15.75">
      <c r="A3" s="2143" t="s">
        <v>2076</v>
      </c>
      <c r="B3" s="2595"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3" t="s">
        <v>2074</v>
      </c>
      <c r="D6" s="2786"/>
      <c r="E6" s="2605">
        <f ca="1">SUMIF(INDIRECT("'"&amp;A6&amp;"'"&amp;"!C:C"),"建筑面积",INDIRECT("'"&amp;A6&amp;"'"&amp;"!D:D"))</f>
        <v>207.53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7" zoomScale="90" zoomScaleNormal="80" zoomScaleSheetLayoutView="90" workbookViewId="0">
      <selection activeCell="G91" sqref="G9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207.53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5"/>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3"/>
      <c r="F3" s="2002" t="s">
        <v>3410</v>
      </c>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1955</v>
      </c>
      <c r="X7" s="1214">
        <f>G2</f>
        <v>0</v>
      </c>
      <c r="Y7" s="1214" t="s">
        <v>1956</v>
      </c>
      <c r="Z7" s="1215">
        <f>G3</f>
        <v>0</v>
      </c>
      <c r="AA7" s="1216"/>
      <c r="AB7" s="1216"/>
      <c r="AC7" s="1217"/>
      <c r="AD7" s="1218"/>
      <c r="AE7" s="1218"/>
      <c r="AF7" s="1218"/>
      <c r="AG7" s="1218"/>
      <c r="AH7" s="1218"/>
      <c r="AI7" s="1218"/>
      <c r="AJ7" s="1219"/>
    </row>
    <row r="8" spans="1:36" ht="25.5">
      <c r="A8" s="3292"/>
      <c r="B8" s="170" t="s">
        <v>1957</v>
      </c>
      <c r="C8" s="2024" t="s">
        <v>3411</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63"/>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63"/>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v>1</v>
      </c>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t="e">
        <f>ROUND(G18/I18,2)</f>
        <v>#DIV/0!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68" t="s">
        <v>3251</v>
      </c>
      <c r="B20" s="167" t="s">
        <v>1994</v>
      </c>
      <c r="C20" s="3318" t="e">
        <f>ROUND(IF(F21="与级别开发程度一致",0,(G21-E21)/C21),0)</f>
        <v>#DIV/0!</v>
      </c>
      <c r="D20" s="3334" t="s">
        <v>1998</v>
      </c>
      <c r="E20" s="3335"/>
      <c r="F20" s="3774" t="s">
        <v>1995</v>
      </c>
      <c r="G20" s="3775"/>
      <c r="H20" s="3319" t="s">
        <v>3379</v>
      </c>
      <c r="I20" s="3319" t="s">
        <v>3380</v>
      </c>
      <c r="J20" s="3320" t="s">
        <v>3381</v>
      </c>
      <c r="K20" s="2045" t="s">
        <v>3382</v>
      </c>
      <c r="L20" s="2045" t="s">
        <v>3383</v>
      </c>
      <c r="M20" s="2045" t="s">
        <v>3384</v>
      </c>
      <c r="N20" s="2045"/>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6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3412</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0</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3332</v>
      </c>
      <c r="C25" s="771">
        <f>IF(B25="容积率修正",IF(G3&lt;10,D26,J26),C27)</f>
        <v>0</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f>'数据-汇总表'!F31</f>
        <v>207.53</v>
      </c>
      <c r="E33" s="773" t="e">
        <f>ROUND(C33*D33/10000,0)</f>
        <v>#DIV/0!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73"/>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f>'数据-取费表'!F8</f>
        <v>0</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t="s">
        <v>3391</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60">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3391</v>
      </c>
      <c r="D51" s="1065" t="e">
        <f t="shared" si="7"/>
        <v>#VALUE!</v>
      </c>
      <c r="E51" s="745"/>
      <c r="F51" s="1814"/>
      <c r="G51" s="1063" t="str">
        <f t="shared" si="8"/>
        <v>——</v>
      </c>
      <c r="H51" s="1066" t="str">
        <f t="shared" si="9"/>
        <v>——</v>
      </c>
      <c r="I51" s="3360">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3391</v>
      </c>
      <c r="D52" s="1065" t="e">
        <f t="shared" si="7"/>
        <v>#VALUE!</v>
      </c>
      <c r="E52" s="745"/>
      <c r="F52" s="1814"/>
      <c r="G52" s="1063" t="str">
        <f t="shared" si="8"/>
        <v>——</v>
      </c>
      <c r="H52" s="1066" t="str">
        <f t="shared" si="9"/>
        <v>——</v>
      </c>
      <c r="I52" s="3360">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c r="A53" s="2128" t="s">
        <v>2054</v>
      </c>
      <c r="B53" s="2133" t="s">
        <v>2055</v>
      </c>
      <c r="C53" s="2042" t="s">
        <v>3391</v>
      </c>
      <c r="D53" s="1065" t="e">
        <f t="shared" si="7"/>
        <v>#VALUE!</v>
      </c>
      <c r="E53" s="745"/>
      <c r="F53" s="1814"/>
      <c r="G53" s="1063" t="str">
        <f t="shared" si="8"/>
        <v>——</v>
      </c>
      <c r="H53" s="1066" t="str">
        <f t="shared" si="9"/>
        <v>——</v>
      </c>
      <c r="I53" s="3360">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3413</v>
      </c>
      <c r="D54" s="1065">
        <f t="shared" si="7"/>
        <v>0</v>
      </c>
      <c r="E54" s="745"/>
      <c r="F54" s="1814"/>
      <c r="G54" s="1063" t="str">
        <f t="shared" si="8"/>
        <v>——</v>
      </c>
      <c r="H54" s="1066" t="str">
        <f t="shared" si="9"/>
        <v>——</v>
      </c>
      <c r="I54" s="3360">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c r="A55" s="2128" t="s">
        <v>2057</v>
      </c>
      <c r="B55" s="2134" t="s">
        <v>2058</v>
      </c>
      <c r="C55" s="2042" t="s">
        <v>3391</v>
      </c>
      <c r="D55" s="1065" t="e">
        <f t="shared" si="7"/>
        <v>#VALUE!</v>
      </c>
      <c r="E55" s="745"/>
      <c r="F55" s="1814"/>
      <c r="G55" s="1063" t="str">
        <f t="shared" si="8"/>
        <v>——</v>
      </c>
      <c r="H55" s="1066" t="str">
        <f t="shared" si="9"/>
        <v>——</v>
      </c>
      <c r="I55" s="3360">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3391</v>
      </c>
      <c r="D56" s="1065" t="e">
        <f t="shared" si="7"/>
        <v>#VALUE!</v>
      </c>
      <c r="E56" s="745"/>
      <c r="F56" s="1814"/>
      <c r="G56" s="1063" t="str">
        <f t="shared" si="8"/>
        <v>——</v>
      </c>
      <c r="H56" s="1066" t="str">
        <f t="shared" si="9"/>
        <v>——</v>
      </c>
      <c r="I56" s="3360">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3414</v>
      </c>
      <c r="D57" s="1065" t="e">
        <f t="shared" si="7"/>
        <v>#VALUE!</v>
      </c>
      <c r="E57" s="745"/>
      <c r="F57" s="1814"/>
      <c r="G57" s="1063" t="str">
        <f t="shared" si="8"/>
        <v>——</v>
      </c>
      <c r="H57" s="1066" t="str">
        <f t="shared" si="9"/>
        <v>——</v>
      </c>
      <c r="I57" s="3360">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3391</v>
      </c>
      <c r="D58" s="1065" t="e">
        <f t="shared" si="7"/>
        <v>#VALUE!</v>
      </c>
      <c r="E58" s="746"/>
      <c r="F58" s="1814"/>
      <c r="G58" s="1063" t="str">
        <f t="shared" si="8"/>
        <v>——</v>
      </c>
      <c r="H58" s="1066" t="str">
        <f t="shared" si="9"/>
        <v>——</v>
      </c>
      <c r="I58" s="3361">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3391</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3391</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3391</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3391</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3413</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3391</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3391</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3414</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3391</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3391</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3391</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3391</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3413</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3391</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3414</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3391</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3391</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3391</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70" t="s">
        <v>3291</v>
      </c>
      <c r="B103" s="3770"/>
      <c r="C103" s="3770"/>
      <c r="D103" s="3770"/>
      <c r="E103" s="3770"/>
      <c r="F103" s="3770"/>
      <c r="G103" s="3770"/>
      <c r="H103" s="3770"/>
      <c r="I103" s="3770"/>
      <c r="J103" s="3770"/>
      <c r="K103" s="3383"/>
      <c r="L103" s="3383"/>
      <c r="M103" s="3383"/>
      <c r="N103" s="3383"/>
    </row>
    <row r="104" spans="1:14">
      <c r="A104" s="3771" t="s">
        <v>3292</v>
      </c>
      <c r="B104" s="3771" t="s">
        <v>3293</v>
      </c>
      <c r="C104" s="3384" t="s">
        <v>3294</v>
      </c>
      <c r="D104" s="3385"/>
      <c r="E104" s="3385"/>
      <c r="F104" s="3385"/>
      <c r="G104" s="3385"/>
      <c r="H104" s="3385"/>
      <c r="I104" s="3385"/>
      <c r="J104" s="3386"/>
      <c r="K104" s="3387"/>
      <c r="L104" s="3387"/>
      <c r="M104" s="3387"/>
      <c r="N104" s="3387"/>
    </row>
    <row r="105" spans="1:14">
      <c r="A105" s="3771"/>
      <c r="B105" s="3771"/>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57"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8"/>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8"/>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8"/>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8"/>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8"/>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59"/>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60" t="s">
        <v>3308</v>
      </c>
      <c r="B113" s="3760"/>
      <c r="C113" s="3760"/>
      <c r="D113" s="3760"/>
      <c r="E113" s="3760"/>
      <c r="F113" s="3760"/>
      <c r="G113" s="3760"/>
      <c r="H113" s="3760"/>
      <c r="I113" s="3760"/>
      <c r="J113" s="3760"/>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0</v>
      </c>
      <c r="C116" s="3393" t="s">
        <v>3310</v>
      </c>
      <c r="D116" s="3394">
        <f>SUMPRODUCT((A118:A122=F116)*(B117:M117=H116)*B118:M122)</f>
        <v>0</v>
      </c>
      <c r="E116" s="1998" t="s">
        <v>3311</v>
      </c>
      <c r="F116" s="3395">
        <f>E2</f>
        <v>0</v>
      </c>
      <c r="G116" s="1998" t="s">
        <v>3312</v>
      </c>
      <c r="H116" s="3395">
        <f>G2</f>
        <v>0</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9">I118</f>
        <v>0.84860000000000002</v>
      </c>
      <c r="K118" s="3381">
        <f t="shared" si="39"/>
        <v>0.84860000000000002</v>
      </c>
      <c r="L118" s="3381">
        <f t="shared" si="39"/>
        <v>0.84860000000000002</v>
      </c>
      <c r="M118" s="3404">
        <f t="shared" si="39"/>
        <v>0.84860000000000002</v>
      </c>
      <c r="N118" s="3391"/>
    </row>
    <row r="119" spans="1:14">
      <c r="A119" s="3403" t="s">
        <v>3326</v>
      </c>
      <c r="B119" s="3381">
        <f>ROUND(0.993-0.0112*B116,4)</f>
        <v>0.99299999999999999</v>
      </c>
      <c r="C119" s="3381">
        <f>B119</f>
        <v>0.99299999999999999</v>
      </c>
      <c r="D119" s="3381">
        <f>ROUND(0.9415-0.0142*B116,4)</f>
        <v>0.9415</v>
      </c>
      <c r="E119" s="3381">
        <f t="shared" ref="E119:H120" si="40">D119</f>
        <v>0.9415</v>
      </c>
      <c r="F119" s="3381">
        <f t="shared" si="40"/>
        <v>0.9415</v>
      </c>
      <c r="G119" s="3381">
        <f t="shared" si="40"/>
        <v>0.9415</v>
      </c>
      <c r="H119" s="3381">
        <f t="shared" si="40"/>
        <v>0.9415</v>
      </c>
      <c r="I119" s="3381">
        <f>ROUND(0.838-0.0182*B116,4)</f>
        <v>0.83799999999999997</v>
      </c>
      <c r="J119" s="3381">
        <f t="shared" si="39"/>
        <v>0.83799999999999997</v>
      </c>
      <c r="K119" s="3381">
        <f t="shared" si="39"/>
        <v>0.83799999999999997</v>
      </c>
      <c r="L119" s="3381">
        <f t="shared" si="39"/>
        <v>0.83799999999999997</v>
      </c>
      <c r="M119" s="3404">
        <f t="shared" si="39"/>
        <v>0.83799999999999997</v>
      </c>
      <c r="N119" s="3391"/>
    </row>
    <row r="120" spans="1:14">
      <c r="A120" s="3403" t="s">
        <v>3327</v>
      </c>
      <c r="B120" s="3381">
        <f>ROUND(0.9448-0.0115*B116,4)</f>
        <v>0.94479999999999997</v>
      </c>
      <c r="C120" s="3381">
        <f>B120</f>
        <v>0.94479999999999997</v>
      </c>
      <c r="D120" s="3381">
        <f>ROUND(0.937-0.0145*B116,4)</f>
        <v>0.93700000000000006</v>
      </c>
      <c r="E120" s="3381">
        <f t="shared" si="40"/>
        <v>0.93700000000000006</v>
      </c>
      <c r="F120" s="3381">
        <f t="shared" si="40"/>
        <v>0.93700000000000006</v>
      </c>
      <c r="G120" s="3381">
        <f t="shared" si="40"/>
        <v>0.93700000000000006</v>
      </c>
      <c r="H120" s="3381">
        <f t="shared" si="40"/>
        <v>0.93700000000000006</v>
      </c>
      <c r="I120" s="3381">
        <f>ROUND(0.7965-0.0185*B116,4)</f>
        <v>0.79649999999999999</v>
      </c>
      <c r="J120" s="3381">
        <f t="shared" si="39"/>
        <v>0.79649999999999999</v>
      </c>
      <c r="K120" s="3381">
        <f t="shared" si="39"/>
        <v>0.79649999999999999</v>
      </c>
      <c r="L120" s="3381">
        <f t="shared" si="39"/>
        <v>0.79649999999999999</v>
      </c>
      <c r="M120" s="3404">
        <f t="shared" si="39"/>
        <v>0.79649999999999999</v>
      </c>
      <c r="N120" s="3391"/>
    </row>
    <row r="121" spans="1:14" ht="13.5" thickBot="1">
      <c r="A121" s="3405" t="s">
        <v>3328</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9"/>
        <v>0.59050000000000002</v>
      </c>
      <c r="K121" s="3406">
        <f t="shared" si="39"/>
        <v>0.59050000000000002</v>
      </c>
      <c r="L121" s="3406">
        <f t="shared" si="39"/>
        <v>0.59050000000000002</v>
      </c>
      <c r="M121" s="3407">
        <f t="shared" si="39"/>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41">D122</f>
        <v>0.89549999999999996</v>
      </c>
      <c r="F122" s="3381">
        <f t="shared" si="41"/>
        <v>0.89549999999999996</v>
      </c>
      <c r="G122" s="3381">
        <f t="shared" si="41"/>
        <v>0.89549999999999996</v>
      </c>
      <c r="H122" s="3381">
        <f t="shared" si="41"/>
        <v>0.89549999999999996</v>
      </c>
      <c r="I122" s="3381">
        <f>ROUND(0.7632-0.0166*B116,4)</f>
        <v>0.76319999999999999</v>
      </c>
      <c r="J122" s="3381">
        <f t="shared" si="39"/>
        <v>0.76319999999999999</v>
      </c>
      <c r="K122" s="3381">
        <f t="shared" si="39"/>
        <v>0.76319999999999999</v>
      </c>
      <c r="L122" s="3381">
        <f t="shared" si="39"/>
        <v>0.76319999999999999</v>
      </c>
      <c r="M122" s="3404">
        <f t="shared" si="39"/>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587</v>
      </c>
      <c r="E5" s="1491"/>
    </row>
    <row r="6" spans="1:5" ht="15.75">
      <c r="A6" s="1491"/>
      <c r="B6" s="3471"/>
      <c r="C6" s="1494" t="s">
        <v>911</v>
      </c>
      <c r="D6" s="850" t="str">
        <f ca="1">NUMBERSTRING(INT(D5*10000),2)&amp;"元整"</f>
        <v>伍佰捌拾柒万元整</v>
      </c>
      <c r="E6" s="1491"/>
    </row>
    <row r="7" spans="1:5" ht="15.75">
      <c r="A7" s="1491"/>
      <c r="B7" s="3476"/>
      <c r="C7" s="1495" t="s">
        <v>912</v>
      </c>
      <c r="D7" s="851">
        <f ca="1">结果表!H102</f>
        <v>28273</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587</v>
      </c>
      <c r="E13" s="1491"/>
    </row>
    <row r="14" spans="1:5" ht="15.75">
      <c r="A14" s="1491"/>
      <c r="B14" s="3471"/>
      <c r="C14" s="1494" t="s">
        <v>911</v>
      </c>
      <c r="D14" s="850" t="str">
        <f ca="1">NUMBERSTRING(INT(D13*10000),2)&amp;"元整"</f>
        <v>伍佰捌拾柒万元整</v>
      </c>
      <c r="E14" s="1491"/>
    </row>
    <row r="15" spans="1:5" ht="15">
      <c r="A15" s="1491"/>
      <c r="B15" s="3476"/>
      <c r="C15" s="1495" t="s">
        <v>921</v>
      </c>
      <c r="D15" s="859">
        <f ca="1">结果表!H108</f>
        <v>28273</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5" t="s">
        <v>2602</v>
      </c>
      <c r="B20" s="3780" t="s">
        <v>2623</v>
      </c>
      <c r="C20" s="3096" t="s">
        <v>2434</v>
      </c>
      <c r="D20" s="3097"/>
      <c r="E20" s="3098">
        <v>1</v>
      </c>
      <c r="F20" s="3099" t="s">
        <v>2435</v>
      </c>
      <c r="G20" s="3099"/>
    </row>
    <row r="21" spans="1:13" ht="19.5" customHeight="1">
      <c r="A21" s="3786"/>
      <c r="B21" s="3779"/>
      <c r="C21" s="3100" t="s">
        <v>2436</v>
      </c>
      <c r="D21" s="3101"/>
      <c r="E21" s="3102">
        <v>1</v>
      </c>
      <c r="F21" s="3099" t="s">
        <v>2437</v>
      </c>
      <c r="G21" s="3099"/>
    </row>
    <row r="22" spans="1:13" ht="19.5" customHeight="1">
      <c r="A22" s="3786"/>
      <c r="B22" s="3779"/>
      <c r="C22" s="3100" t="s">
        <v>2438</v>
      </c>
      <c r="D22" s="3101"/>
      <c r="E22" s="3102">
        <v>0.9</v>
      </c>
      <c r="F22" s="3099" t="s">
        <v>2439</v>
      </c>
      <c r="G22" s="3099"/>
    </row>
    <row r="23" spans="1:13" ht="19.5" customHeight="1">
      <c r="A23" s="3786"/>
      <c r="B23" s="3779"/>
      <c r="C23" s="3100" t="s">
        <v>2440</v>
      </c>
      <c r="D23" s="3101"/>
      <c r="E23" s="3102">
        <v>0.9</v>
      </c>
      <c r="F23" s="3099" t="s">
        <v>2441</v>
      </c>
      <c r="G23" s="3099"/>
    </row>
    <row r="24" spans="1:13" ht="19.5" customHeight="1">
      <c r="A24" s="3786"/>
      <c r="B24" s="3779"/>
      <c r="C24" s="3100" t="s">
        <v>2442</v>
      </c>
      <c r="D24" s="3101"/>
      <c r="E24" s="3102">
        <v>0.8</v>
      </c>
      <c r="F24" s="3099" t="s">
        <v>2443</v>
      </c>
      <c r="G24" s="3099"/>
    </row>
    <row r="25" spans="1:13" ht="19.5" customHeight="1" thickBot="1">
      <c r="A25" s="3787"/>
      <c r="B25" s="3781"/>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82" t="s">
        <v>2626</v>
      </c>
      <c r="B27" s="3780" t="s">
        <v>2607</v>
      </c>
      <c r="C27" s="3096" t="s">
        <v>2447</v>
      </c>
      <c r="D27" s="3097"/>
      <c r="E27" s="3098">
        <v>1</v>
      </c>
      <c r="F27" s="3099" t="s">
        <v>2448</v>
      </c>
      <c r="G27" s="3099"/>
    </row>
    <row r="28" spans="1:13" ht="19.5" customHeight="1">
      <c r="A28" s="3783"/>
      <c r="B28" s="3779"/>
      <c r="C28" s="3100" t="s">
        <v>2449</v>
      </c>
      <c r="D28" s="3101"/>
      <c r="E28" s="3102">
        <v>1</v>
      </c>
      <c r="F28" s="3099" t="s">
        <v>2450</v>
      </c>
      <c r="G28" s="3099"/>
    </row>
    <row r="29" spans="1:13" ht="19.5" customHeight="1">
      <c r="A29" s="3783"/>
      <c r="B29" s="3779"/>
      <c r="C29" s="3100" t="s">
        <v>2451</v>
      </c>
      <c r="D29" s="3101"/>
      <c r="E29" s="3102">
        <v>0.8</v>
      </c>
      <c r="F29" s="3099" t="s">
        <v>2452</v>
      </c>
      <c r="G29" s="3099"/>
    </row>
    <row r="30" spans="1:13" ht="19.5" customHeight="1">
      <c r="A30" s="3783"/>
      <c r="B30" s="3779"/>
      <c r="C30" s="3100" t="s">
        <v>2453</v>
      </c>
      <c r="D30" s="3101"/>
      <c r="E30" s="3102">
        <v>0.8</v>
      </c>
      <c r="F30" s="3099" t="s">
        <v>2454</v>
      </c>
      <c r="G30" s="3099"/>
    </row>
    <row r="31" spans="1:13" ht="19.5" customHeight="1">
      <c r="A31" s="3783"/>
      <c r="B31" s="3779"/>
      <c r="C31" s="3100" t="s">
        <v>2455</v>
      </c>
      <c r="D31" s="3101"/>
      <c r="E31" s="3102">
        <v>0.8</v>
      </c>
      <c r="F31" s="3099" t="s">
        <v>2456</v>
      </c>
      <c r="G31" s="3099"/>
    </row>
    <row r="32" spans="1:13" ht="19.5" customHeight="1">
      <c r="A32" s="3783"/>
      <c r="B32" s="3779"/>
      <c r="C32" s="3100" t="s">
        <v>2457</v>
      </c>
      <c r="D32" s="3101"/>
      <c r="E32" s="3102">
        <v>0.7</v>
      </c>
      <c r="F32" s="3099" t="s">
        <v>2458</v>
      </c>
      <c r="G32" s="3099"/>
    </row>
    <row r="33" spans="1:7" ht="19.5" customHeight="1">
      <c r="A33" s="3783"/>
      <c r="B33" s="3779"/>
      <c r="C33" s="3100" t="s">
        <v>2459</v>
      </c>
      <c r="D33" s="3101"/>
      <c r="E33" s="3102">
        <v>0.8</v>
      </c>
      <c r="F33" s="3099" t="s">
        <v>2460</v>
      </c>
      <c r="G33" s="3099"/>
    </row>
    <row r="34" spans="1:7" ht="19.5" customHeight="1">
      <c r="A34" s="3783"/>
      <c r="B34" s="3779"/>
      <c r="C34" s="3100" t="s">
        <v>2461</v>
      </c>
      <c r="D34" s="3101"/>
      <c r="E34" s="3102">
        <v>0.6</v>
      </c>
      <c r="F34" s="3099" t="s">
        <v>2462</v>
      </c>
      <c r="G34" s="3099"/>
    </row>
    <row r="35" spans="1:7" ht="19.5" customHeight="1">
      <c r="A35" s="3783"/>
      <c r="B35" s="3779"/>
      <c r="C35" s="3100" t="s">
        <v>2463</v>
      </c>
      <c r="D35" s="3101"/>
      <c r="E35" s="3102">
        <v>0.2</v>
      </c>
      <c r="F35" s="3099" t="s">
        <v>2464</v>
      </c>
      <c r="G35" s="3099"/>
    </row>
    <row r="36" spans="1:7" ht="19.5" customHeight="1">
      <c r="A36" s="3783"/>
      <c r="B36" s="3779"/>
      <c r="C36" s="3100" t="s">
        <v>2465</v>
      </c>
      <c r="D36" s="3101"/>
      <c r="E36" s="3102">
        <v>0.2</v>
      </c>
      <c r="F36" s="3099" t="s">
        <v>2466</v>
      </c>
      <c r="G36" s="3099"/>
    </row>
    <row r="37" spans="1:7" ht="19.5" customHeight="1">
      <c r="A37" s="3783"/>
      <c r="B37" s="3777" t="s">
        <v>2627</v>
      </c>
      <c r="C37" s="3100" t="s">
        <v>2467</v>
      </c>
      <c r="D37" s="3101"/>
      <c r="E37" s="3102">
        <v>0.6</v>
      </c>
      <c r="F37" s="3099" t="s">
        <v>2468</v>
      </c>
      <c r="G37" s="3099"/>
    </row>
    <row r="38" spans="1:7" ht="19.5" customHeight="1">
      <c r="A38" s="3783"/>
      <c r="B38" s="3779"/>
      <c r="C38" s="3100" t="s">
        <v>2469</v>
      </c>
      <c r="D38" s="3101"/>
      <c r="E38" s="3102">
        <v>0.6</v>
      </c>
      <c r="F38" s="3099" t="s">
        <v>2470</v>
      </c>
      <c r="G38" s="3099"/>
    </row>
    <row r="39" spans="1:7" ht="19.5" customHeight="1" thickBot="1">
      <c r="A39" s="3784"/>
      <c r="B39" s="3781"/>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5" t="s">
        <v>2605</v>
      </c>
      <c r="B41" s="3780" t="s">
        <v>2629</v>
      </c>
      <c r="C41" s="3096" t="s">
        <v>2474</v>
      </c>
      <c r="D41" s="3097"/>
      <c r="E41" s="3098">
        <v>1</v>
      </c>
      <c r="F41" s="3099" t="s">
        <v>2475</v>
      </c>
      <c r="G41" s="3099"/>
    </row>
    <row r="42" spans="1:7" ht="19.5" customHeight="1">
      <c r="A42" s="3786"/>
      <c r="B42" s="3779"/>
      <c r="C42" s="3100" t="s">
        <v>2476</v>
      </c>
      <c r="D42" s="3101"/>
      <c r="E42" s="3102">
        <v>1</v>
      </c>
      <c r="F42" s="3099" t="s">
        <v>2477</v>
      </c>
      <c r="G42" s="3099"/>
    </row>
    <row r="43" spans="1:7" ht="19.5" customHeight="1">
      <c r="A43" s="3786"/>
      <c r="B43" s="3778"/>
      <c r="C43" s="3100" t="s">
        <v>2478</v>
      </c>
      <c r="D43" s="3101"/>
      <c r="E43" s="3102">
        <v>1.5</v>
      </c>
      <c r="F43" s="3099" t="s">
        <v>2479</v>
      </c>
      <c r="G43" s="3099"/>
    </row>
    <row r="44" spans="1:7" ht="19.5" customHeight="1">
      <c r="A44" s="3786"/>
      <c r="B44" s="3111" t="s">
        <v>2630</v>
      </c>
      <c r="C44" s="3100" t="s">
        <v>2631</v>
      </c>
      <c r="D44" s="3101"/>
      <c r="E44" s="3102">
        <v>2</v>
      </c>
      <c r="F44" s="3099" t="s">
        <v>2480</v>
      </c>
      <c r="G44" s="3099"/>
    </row>
    <row r="45" spans="1:7" ht="19.5" customHeight="1">
      <c r="A45" s="3786"/>
      <c r="B45" s="3777" t="s">
        <v>2632</v>
      </c>
      <c r="C45" s="3100" t="s">
        <v>2481</v>
      </c>
      <c r="D45" s="3101"/>
      <c r="E45" s="3102">
        <v>1</v>
      </c>
      <c r="F45" s="3099" t="s">
        <v>2482</v>
      </c>
      <c r="G45" s="3099"/>
    </row>
    <row r="46" spans="1:7" ht="19.5" customHeight="1">
      <c r="A46" s="3786"/>
      <c r="B46" s="3779"/>
      <c r="C46" s="3100" t="s">
        <v>2483</v>
      </c>
      <c r="D46" s="3101"/>
      <c r="E46" s="3102">
        <v>1</v>
      </c>
      <c r="F46" s="3099" t="s">
        <v>2484</v>
      </c>
      <c r="G46" s="3099"/>
    </row>
    <row r="47" spans="1:7" ht="19.5" customHeight="1">
      <c r="A47" s="3786"/>
      <c r="B47" s="3779"/>
      <c r="C47" s="3100" t="s">
        <v>2485</v>
      </c>
      <c r="D47" s="3101"/>
      <c r="E47" s="3102">
        <v>1</v>
      </c>
      <c r="F47" s="3099" t="s">
        <v>2486</v>
      </c>
      <c r="G47" s="3099"/>
    </row>
    <row r="48" spans="1:7" ht="19.5" customHeight="1">
      <c r="A48" s="3786"/>
      <c r="B48" s="3779"/>
      <c r="C48" s="3100" t="s">
        <v>2487</v>
      </c>
      <c r="D48" s="3101"/>
      <c r="E48" s="3102">
        <v>1</v>
      </c>
      <c r="F48" s="3099" t="s">
        <v>2488</v>
      </c>
      <c r="G48" s="3099"/>
    </row>
    <row r="49" spans="1:7" ht="19.5" customHeight="1">
      <c r="A49" s="3786"/>
      <c r="B49" s="3779"/>
      <c r="C49" s="3100" t="s">
        <v>2489</v>
      </c>
      <c r="D49" s="3101"/>
      <c r="E49" s="3102">
        <v>1</v>
      </c>
      <c r="F49" s="3099" t="s">
        <v>2490</v>
      </c>
      <c r="G49" s="3099"/>
    </row>
    <row r="50" spans="1:7" ht="19.5" customHeight="1">
      <c r="A50" s="3786"/>
      <c r="B50" s="3779"/>
      <c r="C50" s="3100" t="s">
        <v>2491</v>
      </c>
      <c r="D50" s="3101"/>
      <c r="E50" s="3102">
        <v>1</v>
      </c>
      <c r="F50" s="3099" t="s">
        <v>2492</v>
      </c>
      <c r="G50" s="3099"/>
    </row>
    <row r="51" spans="1:7" ht="19.5" customHeight="1" thickBot="1">
      <c r="A51" s="3787"/>
      <c r="B51" s="3781"/>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77" t="s">
        <v>2646</v>
      </c>
      <c r="C73" s="3085" t="s">
        <v>2647</v>
      </c>
      <c r="D73" s="3085" t="s">
        <v>2648</v>
      </c>
      <c r="E73" s="3111">
        <v>0.2</v>
      </c>
      <c r="F73" s="3111">
        <v>25</v>
      </c>
    </row>
    <row r="74" spans="1:7" ht="24">
      <c r="A74" s="3111">
        <v>2</v>
      </c>
      <c r="B74" s="3779"/>
      <c r="C74" s="3085" t="s">
        <v>2649</v>
      </c>
      <c r="D74" s="3085" t="s">
        <v>2650</v>
      </c>
      <c r="E74" s="3111">
        <v>0.2</v>
      </c>
      <c r="F74" s="3111">
        <v>25</v>
      </c>
    </row>
    <row r="75" spans="1:7" ht="24">
      <c r="A75" s="3111">
        <v>3</v>
      </c>
      <c r="B75" s="3779"/>
      <c r="C75" s="3085" t="s">
        <v>2651</v>
      </c>
      <c r="D75" s="3085" t="s">
        <v>2652</v>
      </c>
      <c r="E75" s="3111">
        <v>0.2</v>
      </c>
      <c r="F75" s="3111">
        <v>25</v>
      </c>
    </row>
    <row r="76" spans="1:7" ht="13.5">
      <c r="A76" s="3111">
        <v>4</v>
      </c>
      <c r="B76" s="3779"/>
      <c r="C76" s="3085" t="s">
        <v>2653</v>
      </c>
      <c r="D76" s="3085" t="s">
        <v>2654</v>
      </c>
      <c r="E76" s="3111">
        <v>0.15</v>
      </c>
      <c r="F76" s="3111">
        <v>20</v>
      </c>
    </row>
    <row r="77" spans="1:7" ht="24">
      <c r="A77" s="3111">
        <v>5</v>
      </c>
      <c r="B77" s="3779"/>
      <c r="C77" s="3085" t="s">
        <v>2655</v>
      </c>
      <c r="D77" s="3085" t="s">
        <v>2656</v>
      </c>
      <c r="E77" s="3111">
        <v>0.15</v>
      </c>
      <c r="F77" s="3111">
        <v>20</v>
      </c>
    </row>
    <row r="78" spans="1:7" ht="24">
      <c r="A78" s="3111">
        <v>6</v>
      </c>
      <c r="B78" s="3779"/>
      <c r="C78" s="3085" t="s">
        <v>2657</v>
      </c>
      <c r="D78" s="3085" t="s">
        <v>2658</v>
      </c>
      <c r="E78" s="3111">
        <v>0.15</v>
      </c>
      <c r="F78" s="3111">
        <v>20</v>
      </c>
    </row>
    <row r="79" spans="1:7" ht="24">
      <c r="A79" s="3111">
        <v>7</v>
      </c>
      <c r="B79" s="3779"/>
      <c r="C79" s="3085" t="s">
        <v>2659</v>
      </c>
      <c r="D79" s="3085" t="s">
        <v>2660</v>
      </c>
      <c r="E79" s="3111">
        <v>0.15</v>
      </c>
      <c r="F79" s="3111">
        <v>20</v>
      </c>
    </row>
    <row r="80" spans="1:7" ht="24">
      <c r="A80" s="3111">
        <v>8</v>
      </c>
      <c r="B80" s="3779"/>
      <c r="C80" s="3085" t="s">
        <v>2661</v>
      </c>
      <c r="D80" s="3085" t="s">
        <v>2662</v>
      </c>
      <c r="E80" s="3111">
        <v>0.1</v>
      </c>
      <c r="F80" s="3111">
        <v>15</v>
      </c>
    </row>
    <row r="81" spans="1:6" ht="24">
      <c r="A81" s="3111">
        <v>9</v>
      </c>
      <c r="B81" s="3779"/>
      <c r="C81" s="3085" t="s">
        <v>2663</v>
      </c>
      <c r="D81" s="3085" t="s">
        <v>2664</v>
      </c>
      <c r="E81" s="3111">
        <v>0.1</v>
      </c>
      <c r="F81" s="3111">
        <v>15</v>
      </c>
    </row>
    <row r="82" spans="1:6" ht="24">
      <c r="A82" s="3111">
        <v>10</v>
      </c>
      <c r="B82" s="3779"/>
      <c r="C82" s="3085" t="s">
        <v>2665</v>
      </c>
      <c r="D82" s="3085" t="s">
        <v>2666</v>
      </c>
      <c r="E82" s="3111">
        <v>0.1</v>
      </c>
      <c r="F82" s="3111">
        <v>15</v>
      </c>
    </row>
    <row r="83" spans="1:6" ht="24">
      <c r="A83" s="3111">
        <v>11</v>
      </c>
      <c r="B83" s="3779"/>
      <c r="C83" s="3085" t="s">
        <v>2667</v>
      </c>
      <c r="D83" s="3085" t="s">
        <v>2668</v>
      </c>
      <c r="E83" s="3111">
        <v>0.1</v>
      </c>
      <c r="F83" s="3111">
        <v>15</v>
      </c>
    </row>
    <row r="84" spans="1:6" ht="24">
      <c r="A84" s="3111">
        <v>12</v>
      </c>
      <c r="B84" s="3779"/>
      <c r="C84" s="3085" t="s">
        <v>2669</v>
      </c>
      <c r="D84" s="3085" t="s">
        <v>2670</v>
      </c>
      <c r="E84" s="3111">
        <v>0.1</v>
      </c>
      <c r="F84" s="3111">
        <v>15</v>
      </c>
    </row>
    <row r="85" spans="1:6" ht="13.5">
      <c r="A85" s="3111">
        <v>13</v>
      </c>
      <c r="B85" s="3779"/>
      <c r="C85" s="3085" t="s">
        <v>2671</v>
      </c>
      <c r="D85" s="3085" t="s">
        <v>2672</v>
      </c>
      <c r="E85" s="3111">
        <v>0.1</v>
      </c>
      <c r="F85" s="3111">
        <v>15</v>
      </c>
    </row>
    <row r="86" spans="1:6" ht="13.5">
      <c r="A86" s="3111">
        <v>14</v>
      </c>
      <c r="B86" s="3779"/>
      <c r="C86" s="3085" t="s">
        <v>2673</v>
      </c>
      <c r="D86" s="3085" t="s">
        <v>2674</v>
      </c>
      <c r="E86" s="3111">
        <v>0.1</v>
      </c>
      <c r="F86" s="3111">
        <v>15</v>
      </c>
    </row>
    <row r="87" spans="1:6" ht="13.5">
      <c r="A87" s="3111">
        <v>15</v>
      </c>
      <c r="B87" s="3779"/>
      <c r="C87" s="3085" t="s">
        <v>2675</v>
      </c>
      <c r="D87" s="3085" t="s">
        <v>2676</v>
      </c>
      <c r="E87" s="3111">
        <v>0.1</v>
      </c>
      <c r="F87" s="3111">
        <v>15</v>
      </c>
    </row>
    <row r="88" spans="1:6" ht="24">
      <c r="A88" s="3111">
        <v>16</v>
      </c>
      <c r="B88" s="3779"/>
      <c r="C88" s="3085" t="s">
        <v>2677</v>
      </c>
      <c r="D88" s="3085" t="s">
        <v>2678</v>
      </c>
      <c r="E88" s="3111">
        <v>0.1</v>
      </c>
      <c r="F88" s="3111">
        <v>15</v>
      </c>
    </row>
    <row r="89" spans="1:6" ht="24">
      <c r="A89" s="3111">
        <v>17</v>
      </c>
      <c r="B89" s="3778"/>
      <c r="C89" s="3085" t="s">
        <v>2679</v>
      </c>
      <c r="D89" s="3085" t="s">
        <v>2680</v>
      </c>
      <c r="E89" s="3111">
        <v>0.1</v>
      </c>
      <c r="F89" s="3111">
        <v>15</v>
      </c>
    </row>
    <row r="90" spans="1:6" ht="13.5">
      <c r="A90" s="3111">
        <v>18</v>
      </c>
      <c r="B90" s="3777" t="s">
        <v>2681</v>
      </c>
      <c r="C90" s="3085" t="s">
        <v>2682</v>
      </c>
      <c r="D90" s="3085" t="s">
        <v>2683</v>
      </c>
      <c r="E90" s="3111">
        <v>0.2</v>
      </c>
      <c r="F90" s="3111">
        <v>25</v>
      </c>
    </row>
    <row r="91" spans="1:6" ht="24">
      <c r="A91" s="3111">
        <v>19</v>
      </c>
      <c r="B91" s="3779"/>
      <c r="C91" s="3085" t="s">
        <v>2684</v>
      </c>
      <c r="D91" s="3085" t="s">
        <v>2685</v>
      </c>
      <c r="E91" s="3111">
        <v>0.2</v>
      </c>
      <c r="F91" s="3111">
        <v>25</v>
      </c>
    </row>
    <row r="92" spans="1:6" ht="13.5">
      <c r="A92" s="3111">
        <v>20</v>
      </c>
      <c r="B92" s="3779"/>
      <c r="C92" s="3085" t="s">
        <v>2686</v>
      </c>
      <c r="D92" s="3085" t="s">
        <v>2687</v>
      </c>
      <c r="E92" s="3111">
        <v>0.15</v>
      </c>
      <c r="F92" s="3111">
        <v>20</v>
      </c>
    </row>
    <row r="93" spans="1:6" ht="13.5">
      <c r="A93" s="3111">
        <v>21</v>
      </c>
      <c r="B93" s="3779"/>
      <c r="C93" s="3085" t="s">
        <v>2688</v>
      </c>
      <c r="D93" s="3085" t="s">
        <v>2689</v>
      </c>
      <c r="E93" s="3111">
        <v>0.15</v>
      </c>
      <c r="F93" s="3111">
        <v>20</v>
      </c>
    </row>
    <row r="94" spans="1:6" ht="13.5">
      <c r="A94" s="3111">
        <v>22</v>
      </c>
      <c r="B94" s="3779"/>
      <c r="C94" s="3085" t="s">
        <v>2690</v>
      </c>
      <c r="D94" s="3085" t="s">
        <v>2691</v>
      </c>
      <c r="E94" s="3111">
        <v>0.15</v>
      </c>
      <c r="F94" s="3111">
        <v>20</v>
      </c>
    </row>
    <row r="95" spans="1:6" ht="36">
      <c r="A95" s="3111">
        <v>23</v>
      </c>
      <c r="B95" s="3779"/>
      <c r="C95" s="3085" t="s">
        <v>2692</v>
      </c>
      <c r="D95" s="3085" t="s">
        <v>2693</v>
      </c>
      <c r="E95" s="3111">
        <v>0.15</v>
      </c>
      <c r="F95" s="3111">
        <v>20</v>
      </c>
    </row>
    <row r="96" spans="1:6" ht="13.5">
      <c r="A96" s="3111">
        <v>24</v>
      </c>
      <c r="B96" s="3779"/>
      <c r="C96" s="3085" t="s">
        <v>2694</v>
      </c>
      <c r="D96" s="3085" t="s">
        <v>2695</v>
      </c>
      <c r="E96" s="3111">
        <v>0.1</v>
      </c>
      <c r="F96" s="3111">
        <v>15</v>
      </c>
    </row>
    <row r="97" spans="1:6" ht="13.5">
      <c r="A97" s="3111">
        <v>25</v>
      </c>
      <c r="B97" s="3779"/>
      <c r="C97" s="3085" t="s">
        <v>2696</v>
      </c>
      <c r="D97" s="3085" t="s">
        <v>2697</v>
      </c>
      <c r="E97" s="3111">
        <v>0.1</v>
      </c>
      <c r="F97" s="3111">
        <v>15</v>
      </c>
    </row>
    <row r="98" spans="1:6" ht="24">
      <c r="A98" s="3111">
        <v>26</v>
      </c>
      <c r="B98" s="3779"/>
      <c r="C98" s="3085" t="s">
        <v>2698</v>
      </c>
      <c r="D98" s="3085" t="s">
        <v>2699</v>
      </c>
      <c r="E98" s="3111">
        <v>0.1</v>
      </c>
      <c r="F98" s="3111">
        <v>15</v>
      </c>
    </row>
    <row r="99" spans="1:6" ht="24">
      <c r="A99" s="3111">
        <v>27</v>
      </c>
      <c r="B99" s="3779"/>
      <c r="C99" s="3085" t="s">
        <v>2700</v>
      </c>
      <c r="D99" s="3085" t="s">
        <v>2701</v>
      </c>
      <c r="E99" s="3111">
        <v>0.1</v>
      </c>
      <c r="F99" s="3111">
        <v>15</v>
      </c>
    </row>
    <row r="100" spans="1:6" ht="13.5">
      <c r="A100" s="3111">
        <v>28</v>
      </c>
      <c r="B100" s="3779"/>
      <c r="C100" s="3085" t="s">
        <v>2702</v>
      </c>
      <c r="D100" s="3085" t="s">
        <v>2703</v>
      </c>
      <c r="E100" s="3111">
        <v>0.1</v>
      </c>
      <c r="F100" s="3111">
        <v>15</v>
      </c>
    </row>
    <row r="101" spans="1:6" ht="13.5">
      <c r="A101" s="3111">
        <v>29</v>
      </c>
      <c r="B101" s="3779"/>
      <c r="C101" s="3085" t="s">
        <v>2704</v>
      </c>
      <c r="D101" s="3085" t="s">
        <v>2705</v>
      </c>
      <c r="E101" s="3111">
        <v>0.1</v>
      </c>
      <c r="F101" s="3111">
        <v>15</v>
      </c>
    </row>
    <row r="102" spans="1:6" ht="13.5">
      <c r="A102" s="3111">
        <v>30</v>
      </c>
      <c r="B102" s="3779"/>
      <c r="C102" s="3085" t="s">
        <v>2706</v>
      </c>
      <c r="D102" s="3085" t="s">
        <v>2707</v>
      </c>
      <c r="E102" s="3111">
        <v>0.1</v>
      </c>
      <c r="F102" s="3111">
        <v>15</v>
      </c>
    </row>
    <row r="103" spans="1:6" ht="24">
      <c r="A103" s="3111">
        <v>31</v>
      </c>
      <c r="B103" s="3779"/>
      <c r="C103" s="3085" t="s">
        <v>2708</v>
      </c>
      <c r="D103" s="3085" t="s">
        <v>2709</v>
      </c>
      <c r="E103" s="3111">
        <v>0.1</v>
      </c>
      <c r="F103" s="3111">
        <v>15</v>
      </c>
    </row>
    <row r="104" spans="1:6" ht="24">
      <c r="A104" s="3111">
        <v>32</v>
      </c>
      <c r="B104" s="3779"/>
      <c r="C104" s="3085" t="s">
        <v>2710</v>
      </c>
      <c r="D104" s="3085" t="s">
        <v>2711</v>
      </c>
      <c r="E104" s="3111">
        <v>0.1</v>
      </c>
      <c r="F104" s="3111">
        <v>15</v>
      </c>
    </row>
    <row r="105" spans="1:6" ht="24">
      <c r="A105" s="3111">
        <v>33</v>
      </c>
      <c r="B105" s="3779"/>
      <c r="C105" s="3085" t="s">
        <v>2712</v>
      </c>
      <c r="D105" s="3085" t="s">
        <v>2713</v>
      </c>
      <c r="E105" s="3111">
        <v>0.1</v>
      </c>
      <c r="F105" s="3111">
        <v>15</v>
      </c>
    </row>
    <row r="106" spans="1:6" ht="24">
      <c r="A106" s="3111">
        <v>34</v>
      </c>
      <c r="B106" s="3778"/>
      <c r="C106" s="3085" t="s">
        <v>2714</v>
      </c>
      <c r="D106" s="3085" t="s">
        <v>2715</v>
      </c>
      <c r="E106" s="3111">
        <v>0.1</v>
      </c>
      <c r="F106" s="3111">
        <v>15</v>
      </c>
    </row>
    <row r="107" spans="1:6" ht="24">
      <c r="A107" s="3111">
        <v>35</v>
      </c>
      <c r="B107" s="3777" t="s">
        <v>2716</v>
      </c>
      <c r="C107" s="3111" t="s">
        <v>2717</v>
      </c>
      <c r="D107" s="3085" t="s">
        <v>2718</v>
      </c>
      <c r="E107" s="3111">
        <v>0.15</v>
      </c>
      <c r="F107" s="3111">
        <v>20</v>
      </c>
    </row>
    <row r="108" spans="1:6" ht="13.5">
      <c r="A108" s="3111">
        <v>36</v>
      </c>
      <c r="B108" s="3779"/>
      <c r="C108" s="3111" t="s">
        <v>2719</v>
      </c>
      <c r="D108" s="3085" t="s">
        <v>2720</v>
      </c>
      <c r="E108" s="3111">
        <v>0.15</v>
      </c>
      <c r="F108" s="3111">
        <v>20</v>
      </c>
    </row>
    <row r="109" spans="1:6" ht="13.5">
      <c r="A109" s="3111">
        <v>37</v>
      </c>
      <c r="B109" s="3779"/>
      <c r="C109" s="3111" t="s">
        <v>2721</v>
      </c>
      <c r="D109" s="3085" t="s">
        <v>2722</v>
      </c>
      <c r="E109" s="3111">
        <v>0.15</v>
      </c>
      <c r="F109" s="3111">
        <v>20</v>
      </c>
    </row>
    <row r="110" spans="1:6" ht="13.5">
      <c r="A110" s="3111">
        <v>38</v>
      </c>
      <c r="B110" s="3779"/>
      <c r="C110" s="3111" t="s">
        <v>2723</v>
      </c>
      <c r="D110" s="3085" t="s">
        <v>2724</v>
      </c>
      <c r="E110" s="3111">
        <v>0.1</v>
      </c>
      <c r="F110" s="3111">
        <v>15</v>
      </c>
    </row>
    <row r="111" spans="1:6" ht="24">
      <c r="A111" s="3111">
        <v>39</v>
      </c>
      <c r="B111" s="3779"/>
      <c r="C111" s="3111" t="s">
        <v>2725</v>
      </c>
      <c r="D111" s="3085" t="s">
        <v>2726</v>
      </c>
      <c r="E111" s="3111">
        <v>0.1</v>
      </c>
      <c r="F111" s="3111">
        <v>15</v>
      </c>
    </row>
    <row r="112" spans="1:6" ht="24">
      <c r="A112" s="3111">
        <v>40</v>
      </c>
      <c r="B112" s="3778"/>
      <c r="C112" s="3111" t="s">
        <v>2727</v>
      </c>
      <c r="D112" s="3085" t="s">
        <v>2728</v>
      </c>
      <c r="E112" s="3111">
        <v>0.1</v>
      </c>
      <c r="F112" s="3111">
        <v>15</v>
      </c>
    </row>
    <row r="113" spans="1:6" ht="13.5">
      <c r="A113" s="3111">
        <v>41</v>
      </c>
      <c r="B113" s="3776" t="s">
        <v>2729</v>
      </c>
      <c r="C113" s="3111" t="s">
        <v>2730</v>
      </c>
      <c r="D113" s="3085" t="s">
        <v>2731</v>
      </c>
      <c r="E113" s="3111">
        <v>0.1</v>
      </c>
      <c r="F113" s="3111">
        <v>15</v>
      </c>
    </row>
    <row r="114" spans="1:6" ht="13.5">
      <c r="A114" s="3111">
        <v>42</v>
      </c>
      <c r="B114" s="3776"/>
      <c r="C114" s="3111" t="s">
        <v>2732</v>
      </c>
      <c r="D114" s="3085" t="s">
        <v>2733</v>
      </c>
      <c r="E114" s="3111">
        <v>0.1</v>
      </c>
      <c r="F114" s="3111">
        <v>15</v>
      </c>
    </row>
    <row r="115" spans="1:6" ht="24">
      <c r="A115" s="3111">
        <v>43</v>
      </c>
      <c r="B115" s="3776"/>
      <c r="C115" s="3111" t="s">
        <v>2734</v>
      </c>
      <c r="D115" s="3085" t="s">
        <v>2735</v>
      </c>
      <c r="E115" s="3111">
        <v>0.1</v>
      </c>
      <c r="F115" s="3111">
        <v>15</v>
      </c>
    </row>
    <row r="116" spans="1:6" ht="13.5">
      <c r="A116" s="3111">
        <v>44</v>
      </c>
      <c r="B116" s="3777" t="s">
        <v>2736</v>
      </c>
      <c r="C116" s="3111" t="s">
        <v>2737</v>
      </c>
      <c r="D116" s="3085" t="s">
        <v>2738</v>
      </c>
      <c r="E116" s="3111">
        <v>0.1</v>
      </c>
      <c r="F116" s="3111">
        <v>15</v>
      </c>
    </row>
    <row r="117" spans="1:6" ht="24">
      <c r="A117" s="3111">
        <v>45</v>
      </c>
      <c r="B117" s="3778"/>
      <c r="C117" s="3085" t="s">
        <v>2739</v>
      </c>
      <c r="D117" s="3085" t="s">
        <v>2740</v>
      </c>
      <c r="E117" s="3111">
        <v>0.1</v>
      </c>
      <c r="F117" s="3111">
        <v>15</v>
      </c>
    </row>
    <row r="118" spans="1:6" ht="24">
      <c r="A118" s="3111">
        <v>46</v>
      </c>
      <c r="B118" s="3777" t="s">
        <v>2741</v>
      </c>
      <c r="C118" s="3111" t="s">
        <v>2742</v>
      </c>
      <c r="D118" s="3085" t="s">
        <v>2743</v>
      </c>
      <c r="E118" s="3111">
        <v>0.1</v>
      </c>
      <c r="F118" s="3111">
        <v>15</v>
      </c>
    </row>
    <row r="119" spans="1:6" ht="24">
      <c r="A119" s="3111">
        <v>47</v>
      </c>
      <c r="B119" s="3778"/>
      <c r="C119" s="3111" t="s">
        <v>2744</v>
      </c>
      <c r="D119" s="3085" t="s">
        <v>2745</v>
      </c>
      <c r="E119" s="3111">
        <v>0.1</v>
      </c>
      <c r="F119" s="3111">
        <v>15</v>
      </c>
    </row>
    <row r="120" spans="1:6" ht="13.5">
      <c r="A120" s="3111">
        <v>48</v>
      </c>
      <c r="B120" s="3777" t="s">
        <v>2746</v>
      </c>
      <c r="C120" s="3111" t="s">
        <v>2747</v>
      </c>
      <c r="D120" s="3085" t="s">
        <v>2748</v>
      </c>
      <c r="E120" s="3111">
        <v>0.1</v>
      </c>
      <c r="F120" s="3111">
        <v>15</v>
      </c>
    </row>
    <row r="121" spans="1:6" ht="13.5">
      <c r="A121" s="3111">
        <v>49</v>
      </c>
      <c r="B121" s="3778"/>
      <c r="C121" s="3111" t="s">
        <v>2749</v>
      </c>
      <c r="D121" s="3085" t="s">
        <v>2750</v>
      </c>
      <c r="E121" s="3111">
        <v>0.1</v>
      </c>
      <c r="F121" s="3111">
        <v>15</v>
      </c>
    </row>
    <row r="122" spans="1:6" ht="24">
      <c r="A122" s="3111">
        <v>50</v>
      </c>
      <c r="B122" s="3776" t="s">
        <v>2751</v>
      </c>
      <c r="C122" s="3111" t="s">
        <v>2752</v>
      </c>
      <c r="D122" s="3085" t="s">
        <v>2753</v>
      </c>
      <c r="E122" s="3111">
        <v>0.1</v>
      </c>
      <c r="F122" s="3111">
        <v>15</v>
      </c>
    </row>
    <row r="123" spans="1:6" ht="24">
      <c r="A123" s="3111">
        <v>51</v>
      </c>
      <c r="B123" s="3776"/>
      <c r="C123" s="3111" t="s">
        <v>2754</v>
      </c>
      <c r="D123" s="3085" t="s">
        <v>2755</v>
      </c>
      <c r="E123" s="3111">
        <v>0.1</v>
      </c>
      <c r="F123" s="3111">
        <v>15</v>
      </c>
    </row>
    <row r="124" spans="1:6" ht="24">
      <c r="A124" s="3111">
        <v>52</v>
      </c>
      <c r="B124" s="3776" t="s">
        <v>2756</v>
      </c>
      <c r="C124" s="3111" t="s">
        <v>2757</v>
      </c>
      <c r="D124" s="3085" t="s">
        <v>2758</v>
      </c>
      <c r="E124" s="3111">
        <v>0.1</v>
      </c>
      <c r="F124" s="3111">
        <v>15</v>
      </c>
    </row>
    <row r="125" spans="1:6" ht="24">
      <c r="A125" s="3111">
        <v>53</v>
      </c>
      <c r="B125" s="3776"/>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76" t="s">
        <v>2764</v>
      </c>
      <c r="C127" s="3111" t="s">
        <v>2765</v>
      </c>
      <c r="D127" s="3085" t="s">
        <v>2766</v>
      </c>
      <c r="E127" s="3111">
        <v>0.1</v>
      </c>
      <c r="F127" s="3111">
        <v>15</v>
      </c>
    </row>
    <row r="128" spans="1:6" ht="13.5">
      <c r="A128" s="3111">
        <v>56</v>
      </c>
      <c r="B128" s="3776"/>
      <c r="C128" s="3111" t="s">
        <v>2767</v>
      </c>
      <c r="D128" s="3085" t="s">
        <v>2768</v>
      </c>
      <c r="E128" s="3111">
        <v>0.1</v>
      </c>
      <c r="F128" s="3111">
        <v>15</v>
      </c>
    </row>
    <row r="129" spans="1:6" ht="24">
      <c r="A129" s="3111">
        <v>57</v>
      </c>
      <c r="B129" s="3776"/>
      <c r="C129" s="3111" t="s">
        <v>2769</v>
      </c>
      <c r="D129" s="3085" t="s">
        <v>2770</v>
      </c>
      <c r="E129" s="3111">
        <v>0.1</v>
      </c>
      <c r="F129" s="3111">
        <v>15</v>
      </c>
    </row>
    <row r="130" spans="1:6" ht="24">
      <c r="A130" s="3111">
        <v>58</v>
      </c>
      <c r="B130" s="3776" t="s">
        <v>2771</v>
      </c>
      <c r="C130" s="3111" t="s">
        <v>2772</v>
      </c>
      <c r="D130" s="3085" t="s">
        <v>2773</v>
      </c>
      <c r="E130" s="3111">
        <v>0.1</v>
      </c>
      <c r="F130" s="3111">
        <v>15</v>
      </c>
    </row>
    <row r="131" spans="1:6" ht="13.5">
      <c r="A131" s="3111">
        <v>59</v>
      </c>
      <c r="B131" s="3776"/>
      <c r="C131" s="3111" t="s">
        <v>2774</v>
      </c>
      <c r="D131" s="3085" t="s">
        <v>2775</v>
      </c>
      <c r="E131" s="3111">
        <v>0.1</v>
      </c>
      <c r="F131" s="3111">
        <v>15</v>
      </c>
    </row>
    <row r="132" spans="1:6" ht="13.5">
      <c r="A132" s="3111">
        <v>60</v>
      </c>
      <c r="B132" s="3777" t="s">
        <v>2776</v>
      </c>
      <c r="C132" s="3111" t="s">
        <v>2777</v>
      </c>
      <c r="D132" s="3085" t="s">
        <v>2778</v>
      </c>
      <c r="E132" s="3111">
        <v>0.1</v>
      </c>
      <c r="F132" s="3111">
        <v>15</v>
      </c>
    </row>
    <row r="133" spans="1:6" ht="13.5">
      <c r="A133" s="3111">
        <v>61</v>
      </c>
      <c r="B133" s="3778"/>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76" t="s">
        <v>2784</v>
      </c>
      <c r="C135" s="3111" t="s">
        <v>2785</v>
      </c>
      <c r="D135" s="3085" t="s">
        <v>2786</v>
      </c>
      <c r="E135" s="3111">
        <v>0.1</v>
      </c>
      <c r="F135" s="3111">
        <v>15</v>
      </c>
    </row>
    <row r="136" spans="1:6" ht="13.5">
      <c r="A136" s="3111">
        <v>64</v>
      </c>
      <c r="B136" s="3776"/>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27903</v>
      </c>
      <c r="C2" s="2" t="s">
        <v>106</v>
      </c>
      <c r="D2" s="199"/>
      <c r="E2" s="199"/>
      <c r="F2" s="199"/>
      <c r="G2" s="199"/>
    </row>
    <row r="3" spans="1:7" s="200" customFormat="1" ht="18" customHeight="1" thickBot="1">
      <c r="A3" s="203" t="s">
        <v>58</v>
      </c>
      <c r="B3" s="204">
        <f ca="1">ROUND(B2*10000/'数据-汇总表'!E3,0)</f>
        <v>1344529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207.53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207.53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207.53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135</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122</v>
      </c>
      <c r="D51" s="232"/>
      <c r="E51" s="232"/>
      <c r="F51" s="264"/>
      <c r="G51" s="234" t="s">
        <v>37</v>
      </c>
    </row>
    <row r="52" spans="1:7" s="208" customFormat="1" ht="16.5" thickBot="1">
      <c r="A52" s="265" t="s">
        <v>38</v>
      </c>
      <c r="B52" s="266"/>
      <c r="C52" s="267">
        <f ca="1">C31+C51</f>
        <v>27903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90" t="s">
        <v>2836</v>
      </c>
      <c r="B1" s="3790"/>
      <c r="C1" s="3790"/>
      <c r="D1" s="3790"/>
      <c r="E1" s="3790"/>
      <c r="F1" s="3790"/>
      <c r="G1" s="3791"/>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8"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9"/>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2" t="s">
        <v>3178</v>
      </c>
      <c r="B1" s="3792"/>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3" t="s">
        <v>3229</v>
      </c>
      <c r="B1" s="3793"/>
      <c r="C1" s="3793"/>
      <c r="D1" s="3793"/>
      <c r="E1" s="3793"/>
      <c r="F1" s="3794"/>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5" t="s">
        <v>456</v>
      </c>
      <c r="S1" s="3796"/>
      <c r="T1" s="3796"/>
      <c r="U1" s="3796"/>
      <c r="V1" s="3796"/>
      <c r="W1" s="3796"/>
      <c r="X1" s="3158"/>
      <c r="Y1" s="3795" t="s">
        <v>457</v>
      </c>
      <c r="Z1" s="3796"/>
      <c r="AA1" s="3796"/>
      <c r="AB1" s="3796"/>
      <c r="AC1" s="3796"/>
      <c r="AD1" s="3796"/>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3370</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3369</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3367</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3361</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3352</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3363</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5" t="s">
        <v>2823</v>
      </c>
      <c r="S21" s="3796"/>
      <c r="T21" s="3796"/>
      <c r="U21" s="3796"/>
      <c r="V21" s="3796"/>
      <c r="W21" s="3796"/>
      <c r="X21" s="3158"/>
      <c r="Y21" s="3795" t="s">
        <v>2824</v>
      </c>
      <c r="Z21" s="3796"/>
      <c r="AA21" s="3796"/>
      <c r="AB21" s="3796"/>
      <c r="AC21" s="3796"/>
      <c r="AD21" s="3796"/>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1.0396000000000001</v>
      </c>
      <c r="T25" s="3176">
        <f>ROUND(IF([3]项目基本情况!$B$8="出让",SUMPRODUCT(PRODUCT(1+M25:M$36)),SUMPRODUCT(PRODUCT(1+M25:M$35))),4)</f>
        <v>1.0269999999999999</v>
      </c>
      <c r="U25" s="3176">
        <f>ROUND(IF([3]项目基本情况!$B$8="出让",SUMPRODUCT(PRODUCT(1+N25:N$36)),SUMPRODUCT(PRODUCT(1+N25:N$35))),4)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1.0396000000000001</v>
      </c>
      <c r="T26" s="3176">
        <f>ROUND(IF([3]项目基本情况!$B$8="出让",SUMPRODUCT(PRODUCT(1+M26:M$36)),SUMPRODUCT(PRODUCT(1+M26:M$35))),4)</f>
        <v>1.0269999999999999</v>
      </c>
      <c r="U26" s="3176">
        <f>ROUND(IF([3]项目基本情况!$B$8="出让",SUMPRODUCT(PRODUCT(1+N26:N$36)),SUMPRODUCT(PRODUCT(1+N26:N$35))),4)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3368</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ROUND(IF([3]项目基本情况!$B$8="出让",SUMPRODUCT(PRODUCT(1+L27:L$36)),SUMPRODUCT(PRODUCT(1+L27:L$35))),4)</f>
        <v>1.0396000000000001</v>
      </c>
      <c r="T27" s="3185">
        <f>ROUND(IF([3]项目基本情况!$B$8="出让",SUMPRODUCT(PRODUCT(1+M27:M$36)),SUMPRODUCT(PRODUCT(1+M27:M$35))),4)</f>
        <v>1.0269999999999999</v>
      </c>
      <c r="U27" s="3185">
        <f>ROUND(IF([3]项目基本情况!$B$8="出让",SUMPRODUCT(PRODUCT(1+N27:N$36)),SUMPRODUCT(PRODUCT(1+N27:N$35))),4)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3369</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ROUND(IF([3]项目基本情况!$B$8="出让",SUMPRODUCT(PRODUCT(1+L28:L$36)),SUMPRODUCT(PRODUCT(1+L28:L$35))),4)</f>
        <v>1.0344</v>
      </c>
      <c r="T28" s="3176">
        <f>ROUND(IF([3]项目基本情况!$B$8="出让",SUMPRODUCT(PRODUCT(1+M28:M$36)),SUMPRODUCT(PRODUCT(1+M28:M$35))),4)</f>
        <v>1.0224</v>
      </c>
      <c r="U28" s="3176">
        <f>ROUND(IF([3]项目基本情况!$B$8="出让",SUMPRODUCT(PRODUCT(1+N28:N$36)),SUMPRODUCT(PRODUCT(1+N28:N$35))),4)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3367</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3362</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3352</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207.53</v>
      </c>
      <c r="C4" s="854">
        <f>项目基本情况!C18</f>
        <v>0</v>
      </c>
      <c r="D4" s="854" t="e">
        <f ca="1">结果表!D118</f>
        <v>#REF!</v>
      </c>
      <c r="E4" s="854" t="e">
        <f ca="1">结果表!E118</f>
        <v>#REF!</v>
      </c>
      <c r="F4" s="854" t="e">
        <f ca="1">结果表!F118</f>
        <v>#REF!</v>
      </c>
      <c r="G4" s="854" t="e">
        <f ca="1">结果表!G118</f>
        <v>#REF!</v>
      </c>
      <c r="H4" s="854">
        <f ca="1">结果表!H118</f>
        <v>587</v>
      </c>
      <c r="I4" s="854">
        <f ca="1">结果表!I118</f>
        <v>28273</v>
      </c>
    </row>
    <row r="5" spans="1:9" ht="30" customHeight="1">
      <c r="A5" s="3483" t="s">
        <v>927</v>
      </c>
      <c r="B5" s="3483"/>
      <c r="C5" s="3483"/>
      <c r="D5" s="3483" t="e">
        <f ca="1">结果表!D119</f>
        <v>#REF!</v>
      </c>
      <c r="E5" s="3483"/>
      <c r="F5" s="3483" t="e">
        <f ca="1">结果表!F119</f>
        <v>#REF!</v>
      </c>
      <c r="G5" s="3483"/>
      <c r="H5" s="3483" t="str">
        <f ca="1">结果表!H119</f>
        <v>伍佰捌拾柒万元整</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f ca="1">结果表!D122</f>
        <v>587</v>
      </c>
      <c r="E8" s="3482"/>
      <c r="F8" s="3482"/>
      <c r="G8" s="3482"/>
      <c r="H8" s="3482"/>
      <c r="I8" s="3482"/>
    </row>
    <row r="9" spans="1:9" ht="15">
      <c r="A9" s="3483" t="s">
        <v>927</v>
      </c>
      <c r="B9" s="3483"/>
      <c r="C9" s="3483"/>
      <c r="D9" s="3483" t="str">
        <f ca="1">结果表!D123</f>
        <v>伍佰捌拾柒万元整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45253</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2023-11-23T06:07:33Z</dcterms:modified>
</cp:coreProperties>
</file>