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31" l="1"/>
  <c r="F4" i="31"/>
  <c r="D4" i="31"/>
  <c r="B24" i="31"/>
  <c r="F19" i="6"/>
  <c r="B14" i="74"/>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R109" i="3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R438" i="31"/>
  <c r="S438" i="31" s="1"/>
  <c r="R439" i="31"/>
  <c r="S439" i="31" s="1"/>
  <c r="R440" i="31"/>
  <c r="R441" i="31"/>
  <c r="S441" i="31" s="1"/>
  <c r="R442" i="31"/>
  <c r="S442" i="31" s="1"/>
  <c r="R443" i="31"/>
  <c r="R444" i="31"/>
  <c r="S444" i="31" s="1"/>
  <c r="R445" i="31"/>
  <c r="S445" i="31" s="1"/>
  <c r="R446" i="31"/>
  <c r="S446" i="31" s="1"/>
  <c r="R447" i="31"/>
  <c r="S447" i="31" s="1"/>
  <c r="R448" i="31"/>
  <c r="R449" i="31"/>
  <c r="R450" i="31"/>
  <c r="S450" i="31" s="1"/>
  <c r="R451" i="31"/>
  <c r="S451" i="31" s="1"/>
  <c r="R452" i="31"/>
  <c r="R453" i="3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S485" i="31" s="1"/>
  <c r="R486" i="31"/>
  <c r="S486" i="31" s="1"/>
  <c r="R487" i="31"/>
  <c r="R488" i="31"/>
  <c r="R489" i="31"/>
  <c r="R490" i="31"/>
  <c r="S490" i="31" s="1"/>
  <c r="R491" i="31"/>
  <c r="S491" i="31" s="1"/>
  <c r="R492" i="31"/>
  <c r="S492" i="31" s="1"/>
  <c r="R493" i="31"/>
  <c r="S493" i="31" s="1"/>
  <c r="R494" i="31"/>
  <c r="S494" i="31" s="1"/>
  <c r="R495" i="31"/>
  <c r="S495" i="31" s="1"/>
  <c r="R496" i="3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R510" i="31"/>
  <c r="S510" i="31" s="1"/>
  <c r="R511" i="31"/>
  <c r="S511" i="31" s="1"/>
  <c r="R512" i="31"/>
  <c r="R513" i="31"/>
  <c r="S513" i="31" s="1"/>
  <c r="R514" i="31"/>
  <c r="S514" i="31" s="1"/>
  <c r="R515" i="31"/>
  <c r="S515" i="31" s="1"/>
  <c r="R516" i="31"/>
  <c r="R517" i="31"/>
  <c r="S517" i="31" s="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36" i="31"/>
  <c r="S233" i="31"/>
  <c r="S228" i="31"/>
  <c r="S219" i="31"/>
  <c r="S217" i="31"/>
  <c r="S207" i="31"/>
  <c r="S195" i="31"/>
  <c r="S185" i="31"/>
  <c r="S183" i="31"/>
  <c r="S155" i="31"/>
  <c r="S153" i="31"/>
  <c r="S143" i="31"/>
  <c r="S131" i="31"/>
  <c r="S497" i="31"/>
  <c r="S496" i="31"/>
  <c r="S489" i="31"/>
  <c r="S488" i="31"/>
  <c r="S487" i="31"/>
  <c r="S481" i="31"/>
  <c r="S477" i="31"/>
  <c r="S468" i="31"/>
  <c r="S443" i="31"/>
  <c r="S440" i="31"/>
  <c r="S437" i="31"/>
  <c r="S433" i="31"/>
  <c r="S432" i="31"/>
  <c r="S112" i="31"/>
  <c r="S465" i="31"/>
  <c r="S455" i="31"/>
  <c r="S453" i="31"/>
  <c r="S452" i="31"/>
  <c r="S40" i="31"/>
  <c r="S33" i="31"/>
  <c r="S32" i="31"/>
  <c r="S72" i="31"/>
  <c r="S64" i="31"/>
  <c r="S96" i="31"/>
  <c r="S88" i="31"/>
  <c r="S87" i="31"/>
  <c r="S108" i="31"/>
  <c r="S109" i="31"/>
  <c r="S448" i="31"/>
  <c r="S449" i="31"/>
  <c r="S509"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F20" i="31"/>
  <c r="F13" i="67"/>
  <c r="F43" i="67"/>
  <c r="M26" i="15"/>
  <c r="F6" i="67"/>
  <c r="E13" i="76"/>
  <c r="M8" i="67"/>
  <c r="M28" i="15"/>
  <c r="E9" i="76"/>
  <c r="F42" i="15"/>
  <c r="F6" i="73"/>
  <c r="F13" i="15"/>
  <c r="C76" i="15"/>
  <c r="F26" i="67"/>
  <c r="M22" i="67"/>
  <c r="B7" i="76"/>
  <c r="F42" i="67"/>
  <c r="F36" i="67"/>
  <c r="F9" i="67"/>
  <c r="M6" i="15"/>
  <c r="E11" i="76"/>
  <c r="F7" i="15"/>
  <c r="C76" i="67"/>
  <c r="F38" i="67"/>
  <c r="F40" i="15"/>
  <c r="L48" i="15"/>
  <c r="F6" i="15"/>
  <c r="M8" i="15"/>
  <c r="L47" i="15"/>
  <c r="M9" i="15"/>
  <c r="M29" i="15"/>
  <c r="B9" i="76"/>
  <c r="M29" i="67"/>
  <c r="F43" i="15"/>
  <c r="E8" i="76"/>
  <c r="E10" i="76"/>
  <c r="F26" i="15"/>
  <c r="M24" i="15"/>
  <c r="B13" i="76"/>
  <c r="E2" i="69"/>
  <c r="M23" i="67"/>
  <c r="F40" i="67"/>
  <c r="F37" i="67"/>
  <c r="F16" i="67"/>
  <c r="M28" i="67"/>
  <c r="M26" i="67"/>
  <c r="J15" i="67"/>
  <c r="F36" i="15"/>
  <c r="M23" i="15"/>
  <c r="M9" i="67"/>
  <c r="B11" i="76"/>
  <c r="L48" i="67"/>
  <c r="B8" i="76"/>
  <c r="B12" i="76"/>
  <c r="F8" i="67"/>
  <c r="E7" i="76"/>
  <c r="M6" i="67"/>
  <c r="E12" i="76"/>
  <c r="F5" i="73"/>
  <c r="F4" i="73"/>
  <c r="F3" i="73"/>
  <c r="F16" i="15"/>
  <c r="B10" i="76"/>
  <c r="M24" i="67"/>
  <c r="F7" i="73"/>
  <c r="AO13" i="1"/>
  <c r="F38" i="15"/>
  <c r="F7" i="67"/>
  <c r="L47" i="67"/>
  <c r="F37" i="15"/>
  <c r="J15" i="15"/>
  <c r="M22" i="15"/>
  <c r="F9" i="15"/>
  <c r="E2" i="68"/>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3" i="73"/>
  <c r="C16" i="15"/>
  <c r="D5" i="73"/>
  <c r="D6" i="73"/>
  <c r="C16" i="67"/>
  <c r="D4"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67"/>
  <c r="F41" i="15"/>
  <c r="F41" i="67"/>
  <c r="M27" i="15"/>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15"/>
  <c r="C17" i="67"/>
  <c r="C14"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6"/>
  <c r="D2" i="37"/>
  <c r="L51" i="15"/>
  <c r="D2" i="35"/>
  <c r="D102" i="9" l="1"/>
  <c r="D21" i="9"/>
  <c r="Q57" i="67"/>
  <c r="Q62" i="67" s="1"/>
  <c r="Q66" i="67"/>
  <c r="Q75" i="67" s="1"/>
  <c r="B3" i="67"/>
  <c r="L57" i="15"/>
  <c r="L60" i="15" s="1"/>
  <c r="Q57" i="15" s="1"/>
  <c r="Q67" i="15"/>
  <c r="B2" i="36"/>
  <c r="B3" i="36" s="1"/>
  <c r="B2" i="35"/>
  <c r="B3" i="35" s="1"/>
  <c r="M3" i="35"/>
  <c r="B2" i="37"/>
  <c r="B3" i="37" s="1"/>
  <c r="B2" i="34"/>
  <c r="D14" i="74" s="1"/>
  <c r="Q47" i="15"/>
  <c r="Q53" i="15" s="1"/>
  <c r="C43" i="15"/>
  <c r="Q65" i="15"/>
  <c r="C83" i="15"/>
  <c r="C82" i="15" s="1"/>
  <c r="Q56" i="15"/>
  <c r="W7" i="39"/>
  <c r="AC7" i="39"/>
  <c r="V47" i="39" s="1"/>
  <c r="I47" i="39" s="1"/>
  <c r="E47" i="39"/>
  <c r="R48" i="39"/>
  <c r="U7" i="39"/>
  <c r="AB7" i="39"/>
  <c r="T47" i="39" s="1"/>
  <c r="G47" i="39" s="1"/>
  <c r="J7" i="40"/>
  <c r="F7" i="40"/>
  <c r="H7" i="40"/>
  <c r="AO12" i="1"/>
  <c r="C19" i="9"/>
  <c r="D20" i="9"/>
  <c r="AO11" i="1"/>
  <c r="AO10" i="1"/>
  <c r="AO6" i="1"/>
  <c r="D34" i="9"/>
  <c r="AO9" i="1"/>
  <c r="AO8" i="1"/>
  <c r="AO7" i="1"/>
  <c r="D35" i="9"/>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E14" i="74"/>
  <c r="R24" i="31" s="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<sst xmlns="http://schemas.openxmlformats.org/spreadsheetml/2006/main" count="8214" uniqueCount="3438">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</sst>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12"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13"/>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188.1</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470.25</v>
      </c>
      <c r="C5" s="2510" t="e">
        <f ca="1">IF(B5=D14,结果表!H102,ROUND(B5*10000/$B$1,0))</f>
        <v>#REF!</v>
      </c>
      <c r="D5" s="2510" t="e">
        <f>ROUND(B5*10000/$B$2,0)</f>
        <v>#DIV/0!</v>
      </c>
      <c r="E5" s="2684"/>
      <c r="F5" s="2685"/>
      <c r="G5" s="2685"/>
      <c r="H5" s="2686"/>
      <c r="I5" s="2686"/>
      <c r="J5" s="2686"/>
      <c r="K5" s="2686"/>
    </row>
    <row r="6" spans="1:11" ht="16.5">
      <c r="A6" s="2510" t="s">
        <v>656</v>
      </c>
      <c r="B6" s="2510">
        <f>SUM(G14:G23)</f>
        <v>470.25</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188.1</v>
      </c>
      <c r="C14" s="2516"/>
      <c r="D14" s="2516">
        <f>'比较法-办公'!B2</f>
        <v>470.25</v>
      </c>
      <c r="E14" s="2516">
        <f>ROUND(D14*10000/B14,0)</f>
        <v>25000</v>
      </c>
      <c r="F14" s="2516" t="e">
        <f>ROUND(D14*10000/C14,0)</f>
        <v>#DIV/0!</v>
      </c>
      <c r="G14" s="2516">
        <f>D14</f>
        <v>470.25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3434</v>
      </c>
      <c r="D4" s="1754"/>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1</v>
      </c>
      <c r="D14" s="3585">
        <v>0</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2" t="s">
        <v>2130</v>
      </c>
      <c r="F18" s="3573"/>
      <c r="G18" s="3573"/>
      <c r="H18" s="3573"/>
      <c r="I18" s="3573"/>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470.25</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25000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7"/>
      <c r="E37" s="1137"/>
      <c r="F37" s="1788"/>
      <c r="G37" s="129"/>
      <c r="H37" s="129"/>
      <c r="I37" s="129"/>
    </row>
    <row r="38" spans="1:15" ht="15.75" thickBot="1">
      <c r="A38" s="357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5" t="s">
        <v>1333</v>
      </c>
      <c r="E47" s="302" t="s">
        <v>1334</v>
      </c>
      <c r="F47" s="163" t="s">
        <v>1335</v>
      </c>
      <c r="G47" s="2544" t="s">
        <v>1336</v>
      </c>
      <c r="H47" s="2545"/>
      <c r="I47" s="159"/>
      <c r="J47" s="2521">
        <v>2</v>
      </c>
      <c r="K47" s="3612" t="s">
        <v>1337</v>
      </c>
      <c r="L47" s="3612"/>
      <c r="M47" s="3633">
        <f>'数据-取费表'!B2</f>
        <v>45495</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t="e">
        <f ca="1">H101</f>
        <v>#REF!</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5"/>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5" t="e">
        <f ca="1">ROUND(D45*'数据-取费表'!B41/(1+'数据-取费表'!C42),0)</f>
        <v>#REF!</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5" t="e">
        <f ca="1">ROUND(D45*'数据-取费表'!B41/(1+'数据-取费表'!C42),0)</f>
        <v>#REF!</v>
      </c>
      <c r="E53" s="2332" t="s">
        <v>1354</v>
      </c>
      <c r="F53" s="2552">
        <f>'数据-取费表'!B41</f>
        <v>5.6000000000000001E-2</v>
      </c>
      <c r="G53" s="2553"/>
      <c r="H53" s="2542"/>
      <c r="I53" s="1805"/>
      <c r="J53" s="2521">
        <v>2</v>
      </c>
      <c r="K53" s="3613" t="s">
        <v>1357</v>
      </c>
      <c r="L53" s="3613"/>
      <c r="M53" s="2523" t="e">
        <f t="shared" ref="M53:O54" ca="1" si="0">D55</f>
        <v>#REF!</v>
      </c>
      <c r="N53" s="2521" t="str">
        <f t="shared" si="0"/>
        <v>销售额×税（费）率</v>
      </c>
      <c r="O53" s="2524" t="str">
        <f t="shared" si="0"/>
        <v>免征</v>
      </c>
    </row>
    <row r="54" spans="1:35" ht="12" customHeight="1">
      <c r="A54" s="2333" t="s">
        <v>1358</v>
      </c>
      <c r="B54" s="3574" t="s">
        <v>2291</v>
      </c>
      <c r="C54" s="3575"/>
      <c r="D54" s="1085" t="e">
        <f ca="1">C68</f>
        <v>#REF!</v>
      </c>
      <c r="E54" s="327" t="s">
        <v>1359</v>
      </c>
      <c r="F54" s="2552">
        <f>'数据-取费表'!B41</f>
        <v>5.6000000000000001E-2</v>
      </c>
      <c r="G54" s="2553"/>
      <c r="H54" s="2554"/>
      <c r="I54" s="1805"/>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2" t="e">
        <f ca="1">IF(H55="个人住宅",0,ROUND(D45*I55,0))</f>
        <v>#REF!</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38" t="str">
        <f>E59</f>
        <v>差额计税</v>
      </c>
      <c r="O55" s="2527">
        <f>F59</f>
        <v>0.01</v>
      </c>
    </row>
    <row r="56" spans="1:35" ht="24.75">
      <c r="A56" s="3563" t="s">
        <v>1363</v>
      </c>
      <c r="B56" s="3564"/>
      <c r="C56" s="3564"/>
      <c r="D56" s="2322" t="e">
        <f ca="1">IF(H56="个人住宅",D57,D58)</f>
        <v>#REF!</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3" t="s">
        <v>1352</v>
      </c>
      <c r="B58" s="3574" t="s">
        <v>1369</v>
      </c>
      <c r="C58" s="3548"/>
      <c r="D58" s="2322" t="e">
        <f ca="1">IF(H58="转让取得",C81,C97)</f>
        <v>#REF!</v>
      </c>
      <c r="E58" s="2332" t="s">
        <v>1364</v>
      </c>
      <c r="F58" s="302" t="s">
        <v>28</v>
      </c>
      <c r="G58" s="2553"/>
      <c r="H58" s="2556"/>
      <c r="I58" s="1806"/>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t="e">
        <f ca="1">M49-N57</f>
        <v>#VALUE!</v>
      </c>
      <c r="O59" s="2537"/>
    </row>
    <row r="60" spans="1:35" ht="12" customHeight="1">
      <c r="A60" s="1807"/>
      <c r="B60" s="1745"/>
      <c r="C60" s="1745"/>
      <c r="D60" s="1745"/>
      <c r="E60" s="1576"/>
      <c r="F60" s="1806"/>
      <c r="G60" s="1806"/>
      <c r="H60" s="1808"/>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6"/>
      <c r="G61" s="1806"/>
      <c r="H61" s="1808"/>
      <c r="I61" s="129"/>
      <c r="J61" s="2521">
        <f>J59+1</f>
        <v>7</v>
      </c>
      <c r="K61" s="3613" t="s">
        <v>1374</v>
      </c>
      <c r="L61" s="3613"/>
      <c r="M61" s="2538"/>
      <c r="N61" s="2539" t="e">
        <f ca="1">ROUND(N59*10000/'数据-汇总表'!E3,0)</f>
        <v>#VALUE!</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3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3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3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3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f>D4</f>
        <v>0</v>
      </c>
      <c r="E101" s="3635" t="s">
        <v>1431</v>
      </c>
      <c r="F101" s="3592"/>
      <c r="G101" s="1825" t="s">
        <v>1432</v>
      </c>
      <c r="H101" s="2593" t="e">
        <f ca="1">H118</f>
        <v>#REF!</v>
      </c>
      <c r="I101" s="129"/>
    </row>
    <row r="102" spans="1:35" ht="18.75" customHeight="1">
      <c r="A102" s="3594" t="s">
        <v>1433</v>
      </c>
      <c r="B102" s="2582" t="s">
        <v>1432</v>
      </c>
      <c r="C102" s="2583">
        <f ca="1">IF(D32="楼面单价",ROUND(C19,0),C19)</f>
        <v>470</v>
      </c>
      <c r="D102" s="2584" t="e">
        <f ca="1">IF(D32="楼面单价",ROUND(D19,0),D19)</f>
        <v>#REF!</v>
      </c>
      <c r="E102" s="3635"/>
      <c r="F102" s="3592"/>
      <c r="G102" s="1825" t="s">
        <v>1434</v>
      </c>
      <c r="H102" s="2553" t="e">
        <f ca="1">I118</f>
        <v>#REF!</v>
      </c>
      <c r="I102" s="129"/>
    </row>
    <row r="103" spans="1:35" ht="42.75" customHeight="1">
      <c r="A103" s="3594"/>
      <c r="B103" s="2582" t="s">
        <v>1434</v>
      </c>
      <c r="C103" s="2585">
        <f ca="1">C20</f>
        <v>25000</v>
      </c>
      <c r="D103" s="2586" t="e">
        <f ca="1">D20</f>
        <v>#REF!</v>
      </c>
      <c r="E103" s="3629" t="s">
        <v>1435</v>
      </c>
      <c r="F103" s="3630"/>
      <c r="G103" s="1826" t="s">
        <v>1436</v>
      </c>
      <c r="H103" s="2593">
        <f>IF(D36="正常操作",H104+H105+H106,H105+H106)</f>
        <v>0</v>
      </c>
      <c r="I103" s="129"/>
    </row>
    <row r="104" spans="1:35" ht="18.75" customHeight="1">
      <c r="A104" s="3594"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t="e">
        <f ca="1">IF(E107="——","——",H101-H103)</f>
        <v>#REF!</v>
      </c>
      <c r="I107" s="129"/>
    </row>
    <row r="108" spans="1:35" ht="18.75" customHeight="1">
      <c r="A108" s="129"/>
      <c r="B108" s="129"/>
      <c r="C108" s="129"/>
      <c r="D108" s="129"/>
      <c r="E108" s="3591"/>
      <c r="F108" s="3592"/>
      <c r="G108" s="1825" t="s">
        <v>1434</v>
      </c>
      <c r="H108" s="2553" t="e">
        <f ca="1">IF(H107=H101,H102,ROUND(H107*10000/'数据-汇总表'!E3,0))</f>
        <v>#REF!</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3"/>
    </row>
    <row r="122" spans="1:27" ht="18.75" customHeight="1">
      <c r="A122" s="3593" t="str">
        <f>IF(项目基本情况!B9="房地产市场价值","",MID(E107,3,LEN(E107)-2))</f>
        <v/>
      </c>
      <c r="B122" s="3593"/>
      <c r="C122" s="3593"/>
      <c r="D122" s="3626" t="e">
        <f ca="1">H107</f>
        <v>#REF!</v>
      </c>
      <c r="E122" s="3627"/>
      <c r="F122" s="3627"/>
      <c r="G122" s="3627"/>
      <c r="H122" s="3627"/>
      <c r="I122" s="3628"/>
      <c r="AA122" s="723"/>
    </row>
    <row r="123" spans="1:27" ht="18.75" customHeight="1">
      <c r="A123" s="3562" t="s">
        <v>1452</v>
      </c>
      <c r="B123" s="3562"/>
      <c r="C123" s="3562"/>
      <c r="D123" s="3602" t="e">
        <f ca="1">NUMBERSTRING(INT(D122*10000),2)&amp;"元整"</f>
        <v>#REF!</v>
      </c>
      <c r="E123" s="3603"/>
      <c r="F123" s="3603"/>
      <c r="G123" s="3603"/>
      <c r="H123" s="3603"/>
      <c r="I123" s="3604"/>
      <c r="AA123" s="723"/>
    </row>
    <row r="124" spans="1:27" ht="18.75" customHeight="1">
      <c r="A124" s="3593" t="str">
        <f>IF(项目基本情况!B9="房地产市场价值","",MID(E109,3,LEN(E109)-2))</f>
        <v/>
      </c>
      <c r="B124" s="3593"/>
      <c r="C124" s="3593"/>
      <c r="D124" s="3626" t="str">
        <f>H109</f>
        <v>——</v>
      </c>
      <c r="E124" s="3627"/>
      <c r="F124" s="3627"/>
      <c r="G124" s="3627"/>
      <c r="H124" s="3627"/>
      <c r="I124" s="3628"/>
      <c r="AA124" s="723"/>
    </row>
    <row r="125" spans="1:27" ht="18.75" customHeight="1">
      <c r="A125" s="3562" t="s">
        <v>1452</v>
      </c>
      <c r="B125" s="3562"/>
      <c r="C125" s="3562"/>
      <c r="D125" s="3602" t="e">
        <f>NUMBERSTRING(INT(D124*10000),2)&amp;"元整"</f>
        <v>#VALUE!</v>
      </c>
      <c r="E125" s="3603"/>
      <c r="F125" s="3603"/>
      <c r="G125" s="3603"/>
      <c r="H125" s="3603"/>
      <c r="I125" s="3604"/>
      <c r="AA125" s="723"/>
    </row>
    <row r="126" spans="1:27" ht="18.75" customHeight="1">
      <c r="A126" s="3593" t="str">
        <f>IF(项目基本情况!B9="房地产市场价值","",MID(E111,3,LEN(E111)-2))</f>
        <v/>
      </c>
      <c r="B126" s="3593"/>
      <c r="C126" s="3593"/>
      <c r="D126" s="3626" t="str">
        <f>H111</f>
        <v>——</v>
      </c>
      <c r="E126" s="3627"/>
      <c r="F126" s="3627"/>
      <c r="G126" s="3627"/>
      <c r="H126" s="3627"/>
      <c r="I126" s="3628"/>
      <c r="AA126" s="723"/>
    </row>
    <row r="127" spans="1:27" ht="18.75" customHeight="1">
      <c r="A127" s="3562" t="s">
        <v>1452</v>
      </c>
      <c r="B127" s="3562"/>
      <c r="C127" s="3562"/>
      <c r="D127" s="3602" t="e">
        <f>NUMBERSTRING(INT(D126*10000),2)&amp;"元整"</f>
        <v>#VALUE!</v>
      </c>
      <c r="E127" s="3603"/>
      <c r="F127" s="3603"/>
      <c r="G127" s="3603"/>
      <c r="H127" s="3603"/>
      <c r="I127" s="3604"/>
      <c r="AA127" s="723"/>
    </row>
    <row r="128" spans="1:27" ht="21.75" customHeight="1">
      <c r="A128" s="3609" t="s">
        <v>1453</v>
      </c>
      <c r="B128" s="3609"/>
      <c r="C128" s="3609"/>
      <c r="D128" s="3609"/>
      <c r="E128" s="3609"/>
      <c r="F128" s="3609"/>
      <c r="G128" s="3609"/>
      <c r="H128" s="3609"/>
      <c r="I128" s="360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470.25</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25000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6"/>
      <c r="Y4" s="3678" t="s">
        <v>1775</v>
      </c>
      <c r="Z4" s="3679"/>
      <c r="AA4" s="3696" t="s">
        <v>1771</v>
      </c>
      <c r="AB4" s="3696" t="s">
        <v>1772</v>
      </c>
      <c r="AC4" s="3665" t="s">
        <v>1773</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1353"/>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1353"/>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90" t="s">
        <v>1683</v>
      </c>
      <c r="Q8" s="3691"/>
      <c r="R8" s="699" t="s">
        <v>14</v>
      </c>
      <c r="S8" s="700">
        <f t="shared" si="0"/>
        <v>100</v>
      </c>
      <c r="T8" s="699" t="s">
        <v>14</v>
      </c>
      <c r="U8" s="700">
        <f t="shared" si="1"/>
        <v>100</v>
      </c>
      <c r="V8" s="699" t="s">
        <v>14</v>
      </c>
      <c r="W8" s="700">
        <f t="shared" si="2"/>
        <v>100</v>
      </c>
      <c r="X8" s="701"/>
      <c r="Y8" s="3692" t="s">
        <v>1683</v>
      </c>
      <c r="Z8" s="3691"/>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1350" t="str">
        <f t="shared" si="6"/>
        <v>办公集聚程度</v>
      </c>
      <c r="R15" s="703" t="s">
        <v>14</v>
      </c>
      <c r="S15" s="704">
        <f t="shared" si="0"/>
        <v>100</v>
      </c>
      <c r="T15" s="703" t="s">
        <v>14</v>
      </c>
      <c r="U15" s="704">
        <f t="shared" si="1"/>
        <v>100</v>
      </c>
      <c r="V15" s="703" t="s">
        <v>14</v>
      </c>
      <c r="W15" s="704">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1350"/>
      <c r="R16" s="703"/>
      <c r="S16" s="704"/>
      <c r="T16" s="703"/>
      <c r="U16" s="704"/>
      <c r="V16" s="703"/>
      <c r="W16" s="704"/>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1350"/>
      <c r="R18" s="703"/>
      <c r="S18" s="704"/>
      <c r="T18" s="703"/>
      <c r="U18" s="704"/>
      <c r="V18" s="703"/>
      <c r="W18" s="704"/>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1350"/>
      <c r="R20" s="703"/>
      <c r="S20" s="704"/>
      <c r="T20" s="703"/>
      <c r="U20" s="704"/>
      <c r="V20" s="703"/>
      <c r="W20" s="704"/>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1350"/>
      <c r="R22" s="703"/>
      <c r="S22" s="704"/>
      <c r="T22" s="703"/>
      <c r="U22" s="704"/>
      <c r="V22" s="703"/>
      <c r="W22" s="704"/>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1350"/>
      <c r="R24" s="703"/>
      <c r="S24" s="704"/>
      <c r="T24" s="703"/>
      <c r="U24" s="704"/>
      <c r="V24" s="703"/>
      <c r="W24" s="704"/>
      <c r="X24" s="1353"/>
      <c r="Y24" s="365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1350"/>
      <c r="R26" s="703"/>
      <c r="S26" s="704"/>
      <c r="T26" s="703"/>
      <c r="U26" s="704"/>
      <c r="V26" s="703"/>
      <c r="W26" s="704"/>
      <c r="X26" s="1353"/>
      <c r="Y26" s="3659"/>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57"/>
      <c r="Q27" s="1350" t="str">
        <f t="shared" ref="Q27:Q47" si="11">B27</f>
        <v>楼层</v>
      </c>
      <c r="R27" s="703" t="s">
        <v>14</v>
      </c>
      <c r="S27" s="704">
        <f>F27</f>
        <v>100</v>
      </c>
      <c r="T27" s="703" t="s">
        <v>14</v>
      </c>
      <c r="U27" s="704">
        <f>H27</f>
        <v>100</v>
      </c>
      <c r="V27" s="703" t="s">
        <v>14</v>
      </c>
      <c r="W27" s="704">
        <f>J27</f>
        <v>100</v>
      </c>
      <c r="X27" s="1353"/>
      <c r="Y27" s="365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1350" t="str">
        <f t="shared" si="11"/>
        <v>建筑类型</v>
      </c>
      <c r="R33" s="703" t="s">
        <v>14</v>
      </c>
      <c r="S33" s="704">
        <f t="shared" si="12"/>
        <v>100</v>
      </c>
      <c r="T33" s="703" t="s">
        <v>14</v>
      </c>
      <c r="U33" s="704">
        <f t="shared" si="13"/>
        <v>100</v>
      </c>
      <c r="V33" s="703" t="s">
        <v>14</v>
      </c>
      <c r="W33" s="704">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100</v>
      </c>
      <c r="X34" s="708"/>
      <c r="Y34" s="3663"/>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1350" t="str">
        <f t="shared" si="11"/>
        <v>成新度</v>
      </c>
      <c r="R37" s="703" t="s">
        <v>14</v>
      </c>
      <c r="S37" s="704">
        <f t="shared" si="12"/>
        <v>100</v>
      </c>
      <c r="T37" s="703" t="s">
        <v>14</v>
      </c>
      <c r="U37" s="704">
        <f t="shared" si="13"/>
        <v>100</v>
      </c>
      <c r="V37" s="703" t="s">
        <v>14</v>
      </c>
      <c r="W37" s="704">
        <f t="shared" si="14"/>
        <v>100</v>
      </c>
      <c r="X37" s="1353"/>
      <c r="Y37" s="366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1350" t="str">
        <f t="shared" si="11"/>
        <v>物业管理</v>
      </c>
      <c r="R39" s="703" t="s">
        <v>14</v>
      </c>
      <c r="S39" s="704">
        <f t="shared" si="12"/>
        <v>100</v>
      </c>
      <c r="T39" s="703" t="s">
        <v>14</v>
      </c>
      <c r="U39" s="704">
        <f t="shared" si="13"/>
        <v>100</v>
      </c>
      <c r="V39" s="703" t="s">
        <v>14</v>
      </c>
      <c r="W39" s="704">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v>25000</v>
      </c>
      <c r="F48" s="1155"/>
      <c r="G48" s="1156">
        <v>25000</v>
      </c>
      <c r="H48" s="1157"/>
      <c r="I48" s="1154">
        <v>25000</v>
      </c>
      <c r="J48" s="436"/>
      <c r="K48" s="712"/>
      <c r="L48" s="2722"/>
      <c r="M48" s="2714"/>
      <c r="N48" s="2714"/>
      <c r="O48" s="2714"/>
      <c r="P48" s="3650" t="str">
        <f>A48</f>
        <v>成交单价（元/平方米）</v>
      </c>
      <c r="Q48" s="3651"/>
      <c r="R48" s="3652">
        <f>E48</f>
        <v>25000</v>
      </c>
      <c r="S48" s="3652"/>
      <c r="T48" s="3652">
        <f>G48</f>
        <v>25000</v>
      </c>
      <c r="U48" s="3652"/>
      <c r="V48" s="3652">
        <f>I48</f>
        <v>25000</v>
      </c>
      <c r="W48" s="3652"/>
      <c r="X48" s="397"/>
      <c r="Y48" s="710"/>
      <c r="Z48" s="397"/>
      <c r="AA48" s="397"/>
      <c r="AB48" s="397"/>
      <c r="AC48" s="578"/>
    </row>
    <row r="49" spans="1:29" ht="15.75" thickBot="1">
      <c r="A49" s="437" t="s">
        <v>1793</v>
      </c>
      <c r="B49" s="438"/>
      <c r="C49" s="1158">
        <f>R50</f>
        <v>25000</v>
      </c>
      <c r="D49" s="2315" t="s">
        <v>2137</v>
      </c>
      <c r="E49" s="1159">
        <f>R49</f>
        <v>25000</v>
      </c>
      <c r="F49" s="2316"/>
      <c r="G49" s="1158">
        <f>T49</f>
        <v>25000</v>
      </c>
      <c r="H49" s="2316"/>
      <c r="I49" s="1159">
        <f>V49</f>
        <v>25000</v>
      </c>
      <c r="J49" s="2316"/>
      <c r="K49" s="2318">
        <f>F49+H49+J49</f>
        <v>0</v>
      </c>
      <c r="L49" s="2722"/>
      <c r="M49" s="2714"/>
      <c r="N49" s="2714"/>
      <c r="O49" s="2714"/>
      <c r="P49" s="3650" t="str">
        <f>A49</f>
        <v>比较价值（元/平方米）</v>
      </c>
      <c r="Q49" s="3651"/>
      <c r="R49" s="3652">
        <f>IF(F1="售价",ROUND(PRODUCT(R48,AA7:AA47),0),ROUND(PRODUCT(R48,AA7:AA47),1))</f>
        <v>25000</v>
      </c>
      <c r="S49" s="3652"/>
      <c r="T49" s="3652">
        <f>IF(F1="售价",ROUND(PRODUCT(T48,AB7:AB47),0),ROUND(PRODUCT(T48,AB7:AB47),1))</f>
        <v>25000</v>
      </c>
      <c r="U49" s="3652"/>
      <c r="V49" s="3652">
        <f>IF(F1="售价",ROUND(PRODUCT(V48,AC7:AC47),0),ROUND(PRODUCT(V48,AC7:AC47),1))</f>
        <v>25000</v>
      </c>
      <c r="W49" s="3652"/>
      <c r="X49" s="397"/>
      <c r="Y49" s="397"/>
      <c r="Z49" s="397"/>
      <c r="AA49" s="397"/>
      <c r="AB49" s="397"/>
      <c r="AC49" s="578"/>
    </row>
    <row r="50" spans="1:29" ht="15.75" thickBot="1">
      <c r="A50" s="441" t="s">
        <v>1794</v>
      </c>
      <c r="B50" s="442"/>
      <c r="C50" s="1161">
        <f>R50</f>
        <v>25000</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25000</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7" t="s">
        <v>2320</v>
      </c>
      <c r="K2" s="370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9" t="s">
        <v>2330</v>
      </c>
      <c r="K3" s="371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9" t="s">
        <v>2332</v>
      </c>
      <c r="K4" s="371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5" t="s">
        <v>2336</v>
      </c>
      <c r="B6" s="3716"/>
      <c r="C6" s="3717"/>
      <c r="D6" s="2868"/>
      <c r="E6" s="2869"/>
      <c r="F6" s="2870"/>
      <c r="G6" s="2871"/>
      <c r="H6" s="2846"/>
      <c r="I6" s="2847"/>
      <c r="J6" s="3701">
        <v>1</v>
      </c>
      <c r="K6" s="370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1"/>
      <c r="K7" s="370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8" t="s">
        <v>2350</v>
      </c>
      <c r="C8" s="3719"/>
      <c r="D8" s="2887" t="s">
        <v>2351</v>
      </c>
      <c r="E8" s="2888" t="s">
        <v>2352</v>
      </c>
      <c r="F8" s="2889" t="s">
        <v>2353</v>
      </c>
      <c r="G8" s="2890"/>
      <c r="H8" s="2846"/>
      <c r="I8" s="2847"/>
      <c r="J8" s="3701"/>
      <c r="K8" s="370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8" t="s">
        <v>2356</v>
      </c>
      <c r="C9" s="3719"/>
      <c r="D9" s="2887">
        <f>ROUND(D6*E9,0)</f>
        <v>0</v>
      </c>
      <c r="E9" s="2891"/>
      <c r="F9" s="2892" t="s">
        <v>2357</v>
      </c>
      <c r="G9" s="2871"/>
      <c r="H9" s="2846"/>
      <c r="I9" s="2847"/>
      <c r="J9" s="3701"/>
      <c r="K9" s="3703"/>
      <c r="L9" s="2881" t="s">
        <v>2358</v>
      </c>
      <c r="M9" s="2882"/>
      <c r="N9" s="2858"/>
      <c r="O9" s="2883"/>
      <c r="P9" s="2883"/>
      <c r="Q9" s="2884">
        <v>365</v>
      </c>
      <c r="R9" s="2885">
        <f t="shared" si="0"/>
        <v>0</v>
      </c>
      <c r="S9" s="2839"/>
      <c r="T9" s="2839"/>
      <c r="U9" s="2839"/>
      <c r="V9" s="2847"/>
    </row>
    <row r="10" spans="1:22" s="2851" customFormat="1" ht="13.15" customHeight="1">
      <c r="A10" s="2886">
        <v>2</v>
      </c>
      <c r="B10" s="3718" t="s">
        <v>2359</v>
      </c>
      <c r="C10" s="3719"/>
      <c r="D10" s="2887">
        <f>ROUND(D6*E10,0)</f>
        <v>0</v>
      </c>
      <c r="E10" s="2891"/>
      <c r="F10" s="2892" t="s">
        <v>2360</v>
      </c>
      <c r="G10" s="2871"/>
      <c r="H10" s="2846"/>
      <c r="I10" s="2847"/>
      <c r="J10" s="3701"/>
      <c r="K10" s="3703"/>
      <c r="L10" s="2881" t="s">
        <v>2361</v>
      </c>
      <c r="M10" s="2882"/>
      <c r="N10" s="2858"/>
      <c r="O10" s="2883"/>
      <c r="P10" s="2883"/>
      <c r="Q10" s="2884">
        <v>365</v>
      </c>
      <c r="R10" s="2885">
        <f t="shared" si="0"/>
        <v>0</v>
      </c>
      <c r="S10" s="2839"/>
      <c r="T10" s="2839"/>
      <c r="U10" s="2839"/>
      <c r="V10" s="2847"/>
    </row>
    <row r="11" spans="1:22" s="2851" customFormat="1" ht="13.15" customHeight="1">
      <c r="A11" s="2886">
        <v>3</v>
      </c>
      <c r="B11" s="3718" t="s">
        <v>2362</v>
      </c>
      <c r="C11" s="3719"/>
      <c r="D11" s="2887">
        <f>D12+D14+D15+D16</f>
        <v>0</v>
      </c>
      <c r="E11" s="2893" t="e">
        <f>D11/D6</f>
        <v>#DIV/0!</v>
      </c>
      <c r="F11" s="2889"/>
      <c r="G11" s="2890"/>
      <c r="H11" s="2846"/>
      <c r="I11" s="2847"/>
      <c r="J11" s="3701"/>
      <c r="K11" s="370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1" t="s">
        <v>2365</v>
      </c>
      <c r="C12" s="3712"/>
      <c r="D12" s="2895">
        <f>ROUND(D13*1.2%*(1-30%),0)</f>
        <v>0</v>
      </c>
      <c r="E12" s="2896">
        <v>1.2E-2</v>
      </c>
      <c r="F12" s="2889" t="s">
        <v>2366</v>
      </c>
      <c r="G12" s="2890"/>
      <c r="H12" s="2846"/>
      <c r="I12" s="2847"/>
      <c r="J12" s="3701"/>
      <c r="K12" s="370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1"/>
      <c r="K13" s="370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1" t="s">
        <v>2371</v>
      </c>
      <c r="C14" s="3712"/>
      <c r="D14" s="2895">
        <f>ROUND(E14*B5/10000,0)</f>
        <v>0</v>
      </c>
      <c r="E14" s="2884"/>
      <c r="F14" s="2889" t="s">
        <v>2372</v>
      </c>
      <c r="G14" s="2890"/>
      <c r="H14" s="2846"/>
      <c r="I14" s="2847"/>
      <c r="J14" s="3701"/>
      <c r="K14" s="370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1" t="s">
        <v>2375</v>
      </c>
      <c r="C15" s="3712"/>
      <c r="D15" s="2895">
        <f>ROUND(D6*E15,0)</f>
        <v>0</v>
      </c>
      <c r="E15" s="2896">
        <v>5.5E-2</v>
      </c>
      <c r="F15" s="2889" t="s">
        <v>2376</v>
      </c>
      <c r="G15" s="2871"/>
      <c r="H15" s="2846"/>
      <c r="I15" s="2847"/>
      <c r="J15" s="3701">
        <v>2</v>
      </c>
      <c r="K15" s="370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1" t="s">
        <v>2384</v>
      </c>
      <c r="C16" s="3712"/>
      <c r="D16" s="2906">
        <f>D6*E16</f>
        <v>0</v>
      </c>
      <c r="E16" s="2907"/>
      <c r="F16" s="2892" t="s">
        <v>2385</v>
      </c>
      <c r="G16" s="2871"/>
      <c r="H16" s="2846"/>
      <c r="I16" s="2847"/>
      <c r="J16" s="3701"/>
      <c r="K16" s="370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2387</v>
      </c>
      <c r="C17" s="3714"/>
      <c r="D17" s="2909">
        <f>ROUND(D6*E17,0)</f>
        <v>0</v>
      </c>
      <c r="E17" s="2910"/>
      <c r="F17" s="2911" t="s">
        <v>2388</v>
      </c>
      <c r="G17" s="2871"/>
      <c r="H17" s="2846"/>
      <c r="I17" s="2847"/>
      <c r="J17" s="3701"/>
      <c r="K17" s="370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1"/>
      <c r="K18" s="370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1"/>
      <c r="K19" s="370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1"/>
      <c r="K21" s="370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1"/>
      <c r="K22" s="370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1"/>
      <c r="K23" s="370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1"/>
      <c r="K24" s="370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7" t="s">
        <v>2320</v>
      </c>
      <c r="K32" s="370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9" t="s">
        <v>2330</v>
      </c>
      <c r="K33" s="371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9" t="s">
        <v>2332</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1">
        <v>1</v>
      </c>
      <c r="K36" s="370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1"/>
      <c r="K40" s="370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726" t="s">
        <v>1672</v>
      </c>
      <c r="Q4" s="3727"/>
      <c r="R4" s="3730" t="s">
        <v>1668</v>
      </c>
      <c r="S4" s="3731"/>
      <c r="T4" s="3730" t="s">
        <v>1669</v>
      </c>
      <c r="U4" s="3731"/>
      <c r="V4" s="3685" t="s">
        <v>1670</v>
      </c>
      <c r="W4" s="3685"/>
      <c r="X4" s="1353"/>
      <c r="Y4" s="3730" t="s">
        <v>1672</v>
      </c>
      <c r="Z4" s="3731"/>
      <c r="AA4" s="3725" t="s">
        <v>1668</v>
      </c>
      <c r="AB4" s="3725" t="s">
        <v>1669</v>
      </c>
      <c r="AC4" s="3725" t="s">
        <v>1670</v>
      </c>
    </row>
    <row r="5" spans="1:29" ht="15">
      <c r="A5" s="358"/>
      <c r="B5" s="359"/>
      <c r="C5" s="3688" t="s">
        <v>1673</v>
      </c>
      <c r="D5" s="3689"/>
      <c r="E5" s="3699" t="s">
        <v>1674</v>
      </c>
      <c r="F5" s="3700"/>
      <c r="G5" s="3688" t="s">
        <v>1675</v>
      </c>
      <c r="H5" s="3689"/>
      <c r="I5" s="3688" t="s">
        <v>1676</v>
      </c>
      <c r="J5" s="3689"/>
      <c r="K5" s="1888"/>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1" t="str">
        <f t="shared" si="6"/>
        <v>容积率</v>
      </c>
      <c r="R11" s="699" t="s">
        <v>18</v>
      </c>
      <c r="S11" s="700" t="e">
        <f t="shared" si="0"/>
        <v>#N/A</v>
      </c>
      <c r="T11" s="699" t="s">
        <v>18</v>
      </c>
      <c r="U11" s="700" t="e">
        <f t="shared" si="1"/>
        <v>#N/A</v>
      </c>
      <c r="V11" s="699" t="s">
        <v>18</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0"/>
      <c r="Q12" s="1341">
        <f t="shared" si="6"/>
        <v>111</v>
      </c>
      <c r="R12" s="699" t="s">
        <v>18</v>
      </c>
      <c r="S12" s="700">
        <f t="shared" si="0"/>
        <v>100</v>
      </c>
      <c r="T12" s="699" t="s">
        <v>18</v>
      </c>
      <c r="U12" s="700">
        <f t="shared" si="1"/>
        <v>100</v>
      </c>
      <c r="V12" s="699" t="s">
        <v>18</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0"/>
      <c r="Q13" s="1341">
        <f t="shared" si="6"/>
        <v>111</v>
      </c>
      <c r="R13" s="699" t="s">
        <v>18</v>
      </c>
      <c r="S13" s="700">
        <f t="shared" si="0"/>
        <v>100</v>
      </c>
      <c r="T13" s="699" t="s">
        <v>18</v>
      </c>
      <c r="U13" s="700">
        <f t="shared" si="1"/>
        <v>100</v>
      </c>
      <c r="V13" s="699" t="s">
        <v>18</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0"/>
      <c r="Q14" s="1341">
        <f t="shared" si="6"/>
        <v>111</v>
      </c>
      <c r="R14" s="699" t="s">
        <v>18</v>
      </c>
      <c r="S14" s="700">
        <f t="shared" si="0"/>
        <v>100</v>
      </c>
      <c r="T14" s="699" t="s">
        <v>18</v>
      </c>
      <c r="U14" s="700">
        <f t="shared" si="1"/>
        <v>100</v>
      </c>
      <c r="V14" s="699" t="s">
        <v>18</v>
      </c>
      <c r="W14" s="700">
        <f t="shared" si="2"/>
        <v>100</v>
      </c>
      <c r="X14" s="701"/>
      <c r="Y14" s="354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3" t="s">
        <v>18</v>
      </c>
      <c r="S15" s="704">
        <f t="shared" si="0"/>
        <v>100</v>
      </c>
      <c r="T15" s="703" t="s">
        <v>18</v>
      </c>
      <c r="U15" s="704">
        <f t="shared" si="1"/>
        <v>100</v>
      </c>
      <c r="V15" s="703" t="s">
        <v>18</v>
      </c>
      <c r="W15" s="704">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3"/>
      <c r="S16" s="704"/>
      <c r="T16" s="703"/>
      <c r="U16" s="704"/>
      <c r="V16" s="703"/>
      <c r="W16" s="704"/>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3"/>
      <c r="S22" s="704"/>
      <c r="T22" s="703"/>
      <c r="U22" s="704"/>
      <c r="V22" s="703"/>
      <c r="W22" s="704"/>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3" t="s">
        <v>18</v>
      </c>
      <c r="S32" s="704">
        <f t="shared" si="12"/>
        <v>100</v>
      </c>
      <c r="T32" s="703" t="s">
        <v>18</v>
      </c>
      <c r="U32" s="704">
        <f t="shared" si="13"/>
        <v>100</v>
      </c>
      <c r="V32" s="703" t="s">
        <v>18</v>
      </c>
      <c r="W32" s="704">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3" t="s">
        <v>18</v>
      </c>
      <c r="S38" s="704">
        <f t="shared" si="12"/>
        <v>100</v>
      </c>
      <c r="T38" s="703" t="s">
        <v>18</v>
      </c>
      <c r="U38" s="704">
        <f t="shared" si="13"/>
        <v>100</v>
      </c>
      <c r="V38" s="703" t="s">
        <v>18</v>
      </c>
      <c r="W38" s="704">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85"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85"/>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0" t="str">
        <f t="shared" si="6"/>
        <v>商业繁华度</v>
      </c>
      <c r="R15" s="703" t="s">
        <v>14</v>
      </c>
      <c r="S15" s="704">
        <f t="shared" si="0"/>
        <v>100</v>
      </c>
      <c r="T15" s="703" t="s">
        <v>14</v>
      </c>
      <c r="U15" s="704">
        <f t="shared" si="1"/>
        <v>100</v>
      </c>
      <c r="V15" s="703" t="s">
        <v>14</v>
      </c>
      <c r="W15" s="704">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7"/>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7"/>
      <c r="Q22" s="1350"/>
      <c r="R22" s="703"/>
      <c r="S22" s="704"/>
      <c r="T22" s="703"/>
      <c r="U22" s="704"/>
      <c r="V22" s="703"/>
      <c r="W22" s="704"/>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0" t="s">
        <v>1696</v>
      </c>
      <c r="Q32" s="1350" t="str">
        <f t="shared" si="11"/>
        <v>商业类型</v>
      </c>
      <c r="R32" s="703" t="s">
        <v>14</v>
      </c>
      <c r="S32" s="704">
        <f t="shared" si="12"/>
        <v>100</v>
      </c>
      <c r="T32" s="703" t="s">
        <v>14</v>
      </c>
      <c r="U32" s="704">
        <f t="shared" si="13"/>
        <v>100</v>
      </c>
      <c r="V32" s="703" t="s">
        <v>14</v>
      </c>
      <c r="W32" s="704">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0" t="str">
        <f t="shared" si="11"/>
        <v>成新度</v>
      </c>
      <c r="R36" s="703" t="s">
        <v>14</v>
      </c>
      <c r="S36" s="704" t="e">
        <f t="shared" si="12"/>
        <v>#N/A</v>
      </c>
      <c r="T36" s="703" t="s">
        <v>14</v>
      </c>
      <c r="U36" s="704" t="e">
        <f t="shared" si="13"/>
        <v>#N/A</v>
      </c>
      <c r="V36" s="703" t="s">
        <v>14</v>
      </c>
      <c r="W36" s="704"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3" t="s">
        <v>14</v>
      </c>
      <c r="S38" s="704">
        <f t="shared" si="12"/>
        <v>100</v>
      </c>
      <c r="T38" s="703" t="s">
        <v>14</v>
      </c>
      <c r="U38" s="704">
        <f t="shared" si="13"/>
        <v>100</v>
      </c>
      <c r="V38" s="703" t="s">
        <v>14</v>
      </c>
      <c r="W38" s="704">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911"/>
      <c r="M5" s="912"/>
      <c r="N5" s="912"/>
      <c r="O5" s="912"/>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1"/>
      <c r="M6" s="912"/>
      <c r="N6" s="912"/>
      <c r="O6" s="912"/>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50" t="str">
        <f t="shared" si="11"/>
        <v>市政基础设施</v>
      </c>
      <c r="R35" s="703" t="s">
        <v>14</v>
      </c>
      <c r="S35" s="704">
        <f t="shared" si="12"/>
        <v>100</v>
      </c>
      <c r="T35" s="703" t="s">
        <v>14</v>
      </c>
      <c r="U35" s="704">
        <f t="shared" si="13"/>
        <v>100</v>
      </c>
      <c r="V35" s="703" t="s">
        <v>14</v>
      </c>
      <c r="W35" s="704">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9"/>
      <c r="Q15" s="1350"/>
      <c r="R15" s="703"/>
      <c r="S15" s="704"/>
      <c r="T15" s="703"/>
      <c r="U15" s="704"/>
      <c r="V15" s="703"/>
      <c r="W15" s="704"/>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9"/>
      <c r="Q17" s="1350"/>
      <c r="R17" s="703"/>
      <c r="S17" s="704"/>
      <c r="T17" s="703"/>
      <c r="U17" s="704"/>
      <c r="V17" s="703"/>
      <c r="W17" s="704"/>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9"/>
      <c r="Q19" s="1350"/>
      <c r="R19" s="703"/>
      <c r="S19" s="704"/>
      <c r="T19" s="703"/>
      <c r="U19" s="704"/>
      <c r="V19" s="703"/>
      <c r="W19" s="704"/>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9"/>
      <c r="Q21" s="1350"/>
      <c r="R21" s="703"/>
      <c r="S21" s="704"/>
      <c r="T21" s="703"/>
      <c r="U21" s="704"/>
      <c r="V21" s="703"/>
      <c r="W21" s="704"/>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3" t="s">
        <v>14</v>
      </c>
      <c r="S32" s="704">
        <f t="shared" si="12"/>
        <v>100</v>
      </c>
      <c r="T32" s="703" t="s">
        <v>14</v>
      </c>
      <c r="U32" s="704">
        <f t="shared" si="13"/>
        <v>100</v>
      </c>
      <c r="V32" s="703" t="s">
        <v>14</v>
      </c>
      <c r="W32" s="704">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3"/>
      <c r="S15" s="704"/>
      <c r="T15" s="703"/>
      <c r="U15" s="704"/>
      <c r="V15" s="703"/>
      <c r="W15" s="704"/>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3"/>
      <c r="S17" s="704"/>
      <c r="T17" s="703"/>
      <c r="U17" s="704"/>
      <c r="V17" s="703"/>
      <c r="W17" s="704"/>
      <c r="X17" s="1353"/>
      <c r="Y17" s="365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3"/>
      <c r="S19" s="704"/>
      <c r="T19" s="703"/>
      <c r="U19" s="704"/>
      <c r="V19" s="703"/>
      <c r="W19" s="704"/>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3"/>
      <c r="S21" s="704"/>
      <c r="T21" s="703"/>
      <c r="U21" s="704"/>
      <c r="V21" s="703"/>
      <c r="W21" s="704"/>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3" t="s">
        <v>14</v>
      </c>
      <c r="S32" s="704">
        <f t="shared" si="12"/>
        <v>100</v>
      </c>
      <c r="T32" s="703" t="s">
        <v>14</v>
      </c>
      <c r="U32" s="704">
        <f t="shared" si="13"/>
        <v>100</v>
      </c>
      <c r="V32" s="703" t="s">
        <v>14</v>
      </c>
      <c r="W32" s="704">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30"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1" t="str">
        <f t="shared" si="6"/>
        <v>配建</v>
      </c>
      <c r="R12" s="699" t="s">
        <v>14</v>
      </c>
      <c r="S12" s="700">
        <f t="shared" si="0"/>
        <v>100</v>
      </c>
      <c r="T12" s="699" t="s">
        <v>14</v>
      </c>
      <c r="U12" s="700">
        <f t="shared" si="1"/>
        <v>100</v>
      </c>
      <c r="V12" s="699" t="s">
        <v>14</v>
      </c>
      <c r="W12" s="700">
        <f t="shared" si="2"/>
        <v>100</v>
      </c>
      <c r="X12" s="701"/>
      <c r="Y12" s="35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0" t="str">
        <f t="shared" si="6"/>
        <v>居住社区成熟度</v>
      </c>
      <c r="R15" s="703" t="s">
        <v>14</v>
      </c>
      <c r="S15" s="704">
        <f t="shared" si="0"/>
        <v>100</v>
      </c>
      <c r="T15" s="703" t="s">
        <v>14</v>
      </c>
      <c r="U15" s="704">
        <f t="shared" si="1"/>
        <v>100</v>
      </c>
      <c r="V15" s="703" t="s">
        <v>14</v>
      </c>
      <c r="W15" s="704">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9"/>
      <c r="Q20" s="1350"/>
      <c r="R20" s="703"/>
      <c r="S20" s="704"/>
      <c r="T20" s="703"/>
      <c r="U20" s="704"/>
      <c r="V20" s="703"/>
      <c r="W20" s="704"/>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9"/>
      <c r="Q24" s="1350"/>
      <c r="R24" s="703"/>
      <c r="S24" s="704"/>
      <c r="T24" s="703"/>
      <c r="U24" s="704"/>
      <c r="V24" s="703"/>
      <c r="W24" s="704"/>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9"/>
      <c r="Q26" s="1350"/>
      <c r="R26" s="703"/>
      <c r="S26" s="704"/>
      <c r="T26" s="703"/>
      <c r="U26" s="704"/>
      <c r="V26" s="703"/>
      <c r="W26" s="704"/>
      <c r="X26" s="1353"/>
      <c r="Y26" s="365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9"/>
      <c r="Q28" s="1341"/>
      <c r="R28" s="699"/>
      <c r="S28" s="700"/>
      <c r="T28" s="699"/>
      <c r="U28" s="700"/>
      <c r="V28" s="699"/>
      <c r="W28" s="700"/>
      <c r="X28" s="701"/>
      <c r="Y28" s="365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9"/>
      <c r="Q30" s="1341"/>
      <c r="R30" s="699"/>
      <c r="S30" s="700"/>
      <c r="T30" s="699"/>
      <c r="U30" s="700"/>
      <c r="V30" s="699"/>
      <c r="W30" s="700"/>
      <c r="X30" s="701"/>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3"/>
      <c r="S33" s="704"/>
      <c r="T33" s="703"/>
      <c r="U33" s="704"/>
      <c r="V33" s="703"/>
      <c r="W33" s="704"/>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3" t="s">
        <v>14</v>
      </c>
      <c r="S42" s="704">
        <f t="shared" si="10"/>
        <v>100</v>
      </c>
      <c r="T42" s="703" t="s">
        <v>14</v>
      </c>
      <c r="U42" s="704">
        <f t="shared" si="11"/>
        <v>100</v>
      </c>
      <c r="V42" s="703" t="s">
        <v>14</v>
      </c>
      <c r="W42" s="704">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2" t="str">
        <f>A48</f>
        <v>估价对象XX用房的比较价值（楼面单价，元/平方米）</v>
      </c>
      <c r="Q48" s="372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50"/>
      <c r="H56" s="365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9"/>
      <c r="Q20" s="1350"/>
      <c r="R20" s="703"/>
      <c r="S20" s="704"/>
      <c r="T20" s="703"/>
      <c r="U20" s="704"/>
      <c r="V20" s="703"/>
      <c r="W20" s="704"/>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9"/>
      <c r="Q24" s="1341"/>
      <c r="R24" s="699"/>
      <c r="S24" s="700"/>
      <c r="T24" s="699"/>
      <c r="U24" s="700"/>
      <c r="V24" s="699"/>
      <c r="W24" s="700"/>
      <c r="X24" s="701"/>
      <c r="Y24" s="365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9"/>
      <c r="Q26" s="1341"/>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9"/>
      <c r="Q29" s="1350"/>
      <c r="R29" s="703"/>
      <c r="S29" s="704"/>
      <c r="T29" s="703"/>
      <c r="U29" s="704"/>
      <c r="V29" s="703"/>
      <c r="W29" s="704"/>
      <c r="X29" s="1353"/>
      <c r="Y29" s="365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3" t="s">
        <v>14</v>
      </c>
      <c r="S37" s="704">
        <f t="shared" si="10"/>
        <v>100</v>
      </c>
      <c r="T37" s="703" t="s">
        <v>14</v>
      </c>
      <c r="U37" s="704">
        <f t="shared" si="11"/>
        <v>100</v>
      </c>
      <c r="V37" s="703" t="s">
        <v>14</v>
      </c>
      <c r="W37" s="704">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2" t="str">
        <f>A43</f>
        <v>估价对象XX用房的比较价值（楼面单价，元/平方米）</v>
      </c>
      <c r="Q43" s="372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50"/>
      <c r="H51" s="365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25049</v>
      </c>
      <c r="S22" s="21">
        <f>SUM(S24:S10000)</f>
        <v>1890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25000</v>
      </c>
      <c r="S24" s="664">
        <f t="shared" ref="S24:S54" si="12">ROUND(R24*B24/10000,0)</f>
        <v>470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25000</v>
      </c>
      <c r="S25" s="316">
        <f t="shared" si="12"/>
        <v>409</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25000</v>
      </c>
      <c r="S26" s="316">
        <f t="shared" si="12"/>
        <v>434</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25500</v>
      </c>
      <c r="S27" s="316">
        <f t="shared" si="12"/>
        <v>234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25000</v>
      </c>
      <c r="S28" s="316">
        <f t="shared" si="12"/>
        <v>343</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8" t="s">
        <v>1667</v>
      </c>
      <c r="D4" s="3669"/>
      <c r="E4" s="3670" t="s">
        <v>1668</v>
      </c>
      <c r="F4" s="3671"/>
      <c r="G4" s="3668" t="s">
        <v>1669</v>
      </c>
      <c r="H4" s="3669"/>
      <c r="I4" s="3668" t="s">
        <v>1670</v>
      </c>
      <c r="J4" s="3669"/>
      <c r="K4" s="559" t="s">
        <v>1671</v>
      </c>
      <c r="L4" s="2713"/>
      <c r="M4" s="2714"/>
      <c r="N4" s="2714"/>
      <c r="O4" s="2714"/>
      <c r="P4" s="3672" t="s">
        <v>1672</v>
      </c>
      <c r="Q4" s="3673"/>
      <c r="R4" s="3678" t="s">
        <v>1668</v>
      </c>
      <c r="S4" s="3679"/>
      <c r="T4" s="3678" t="s">
        <v>1669</v>
      </c>
      <c r="U4" s="3679"/>
      <c r="V4" s="3684" t="s">
        <v>1670</v>
      </c>
      <c r="W4" s="3684"/>
      <c r="X4" s="3454"/>
      <c r="Y4" s="3678" t="s">
        <v>1672</v>
      </c>
      <c r="Z4" s="3679"/>
      <c r="AA4" s="3696" t="s">
        <v>1668</v>
      </c>
      <c r="AB4" s="3696" t="s">
        <v>1669</v>
      </c>
      <c r="AC4" s="3665" t="s">
        <v>1670</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3452"/>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3452"/>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3448" t="str">
        <f t="shared" ref="Q9:Q15" si="6">B9</f>
        <v>用途</v>
      </c>
      <c r="R9" s="699" t="s">
        <v>14</v>
      </c>
      <c r="S9" s="700">
        <f t="shared" si="0"/>
        <v>100</v>
      </c>
      <c r="T9" s="699" t="s">
        <v>14</v>
      </c>
      <c r="U9" s="700">
        <f t="shared" si="1"/>
        <v>100</v>
      </c>
      <c r="V9" s="699" t="s">
        <v>14</v>
      </c>
      <c r="W9" s="700">
        <f t="shared" si="2"/>
        <v>100</v>
      </c>
      <c r="X9" s="701"/>
      <c r="Y9" s="3549"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3448" t="str">
        <f t="shared" si="6"/>
        <v>土地使用年限（年）</v>
      </c>
      <c r="R10" s="699" t="s">
        <v>14</v>
      </c>
      <c r="S10" s="700">
        <f t="shared" si="0"/>
        <v>100</v>
      </c>
      <c r="T10" s="699" t="s">
        <v>14</v>
      </c>
      <c r="U10" s="700">
        <f t="shared" si="1"/>
        <v>100</v>
      </c>
      <c r="V10" s="699" t="s">
        <v>14</v>
      </c>
      <c r="W10" s="700">
        <f t="shared" si="2"/>
        <v>100</v>
      </c>
      <c r="X10" s="701"/>
      <c r="Y10" s="3549"/>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3448" t="str">
        <f t="shared" si="6"/>
        <v>容积率</v>
      </c>
      <c r="R11" s="699" t="s">
        <v>14</v>
      </c>
      <c r="S11" s="700">
        <f t="shared" si="0"/>
        <v>100</v>
      </c>
      <c r="T11" s="699" t="s">
        <v>14</v>
      </c>
      <c r="U11" s="700">
        <f t="shared" si="1"/>
        <v>100</v>
      </c>
      <c r="V11" s="699" t="s">
        <v>14</v>
      </c>
      <c r="W11" s="700">
        <f t="shared" si="2"/>
        <v>100</v>
      </c>
      <c r="X11" s="701"/>
      <c r="Y11" s="3549"/>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3448">
        <f t="shared" si="6"/>
        <v>111</v>
      </c>
      <c r="R12" s="699" t="s">
        <v>14</v>
      </c>
      <c r="S12" s="700">
        <f t="shared" si="0"/>
        <v>100</v>
      </c>
      <c r="T12" s="699" t="s">
        <v>14</v>
      </c>
      <c r="U12" s="700">
        <f t="shared" si="1"/>
        <v>100</v>
      </c>
      <c r="V12" s="699" t="s">
        <v>14</v>
      </c>
      <c r="W12" s="700">
        <f t="shared" si="2"/>
        <v>100</v>
      </c>
      <c r="X12" s="701"/>
      <c r="Y12" s="3549"/>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3448">
        <f t="shared" si="6"/>
        <v>111</v>
      </c>
      <c r="R13" s="699" t="s">
        <v>14</v>
      </c>
      <c r="S13" s="700">
        <f t="shared" si="0"/>
        <v>100</v>
      </c>
      <c r="T13" s="699" t="s">
        <v>14</v>
      </c>
      <c r="U13" s="700">
        <f t="shared" si="1"/>
        <v>100</v>
      </c>
      <c r="V13" s="699" t="s">
        <v>14</v>
      </c>
      <c r="W13" s="700">
        <f t="shared" si="2"/>
        <v>100</v>
      </c>
      <c r="X13" s="701"/>
      <c r="Y13" s="3549"/>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3448">
        <f t="shared" si="6"/>
        <v>111</v>
      </c>
      <c r="R14" s="699" t="s">
        <v>14</v>
      </c>
      <c r="S14" s="700">
        <f t="shared" si="0"/>
        <v>100</v>
      </c>
      <c r="T14" s="699" t="s">
        <v>14</v>
      </c>
      <c r="U14" s="700">
        <f t="shared" si="1"/>
        <v>100</v>
      </c>
      <c r="V14" s="699" t="s">
        <v>14</v>
      </c>
      <c r="W14" s="700">
        <f t="shared" si="2"/>
        <v>100</v>
      </c>
      <c r="X14" s="701"/>
      <c r="Y14" s="3549"/>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3450" t="str">
        <f t="shared" si="6"/>
        <v>办公集聚程度</v>
      </c>
      <c r="R15" s="703" t="s">
        <v>14</v>
      </c>
      <c r="S15" s="704">
        <f t="shared" si="0"/>
        <v>100</v>
      </c>
      <c r="T15" s="703" t="s">
        <v>14</v>
      </c>
      <c r="U15" s="704">
        <f t="shared" si="1"/>
        <v>100</v>
      </c>
      <c r="V15" s="703" t="s">
        <v>14</v>
      </c>
      <c r="W15" s="704">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3450"/>
      <c r="R16" s="703"/>
      <c r="S16" s="704"/>
      <c r="T16" s="703"/>
      <c r="U16" s="704"/>
      <c r="V16" s="703"/>
      <c r="W16" s="704"/>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3450" t="str">
        <f>B17</f>
        <v>交通便捷度</v>
      </c>
      <c r="R17" s="703" t="s">
        <v>14</v>
      </c>
      <c r="S17" s="704">
        <f>F17</f>
        <v>100</v>
      </c>
      <c r="T17" s="703" t="s">
        <v>14</v>
      </c>
      <c r="U17" s="704">
        <f>H17</f>
        <v>100</v>
      </c>
      <c r="V17" s="703" t="s">
        <v>14</v>
      </c>
      <c r="W17" s="704">
        <f>J17</f>
        <v>100</v>
      </c>
      <c r="X17" s="3452"/>
      <c r="Y17" s="3659"/>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3450"/>
      <c r="R18" s="703"/>
      <c r="S18" s="704"/>
      <c r="T18" s="703"/>
      <c r="U18" s="704"/>
      <c r="V18" s="703"/>
      <c r="W18" s="704"/>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3450" t="str">
        <f>B19</f>
        <v>公共配套设施</v>
      </c>
      <c r="R19" s="703" t="s">
        <v>14</v>
      </c>
      <c r="S19" s="704">
        <f>F19</f>
        <v>100</v>
      </c>
      <c r="T19" s="703" t="s">
        <v>14</v>
      </c>
      <c r="U19" s="704">
        <f>H19</f>
        <v>100</v>
      </c>
      <c r="V19" s="703" t="s">
        <v>14</v>
      </c>
      <c r="W19" s="704">
        <f>J19</f>
        <v>100</v>
      </c>
      <c r="X19" s="3452"/>
      <c r="Y19" s="3659"/>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3450"/>
      <c r="R20" s="703"/>
      <c r="S20" s="704"/>
      <c r="T20" s="703"/>
      <c r="U20" s="704"/>
      <c r="V20" s="703"/>
      <c r="W20" s="704"/>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3450" t="str">
        <f>B21</f>
        <v>基础设施水平</v>
      </c>
      <c r="R21" s="703" t="s">
        <v>14</v>
      </c>
      <c r="S21" s="704">
        <f>F21</f>
        <v>100</v>
      </c>
      <c r="T21" s="703" t="s">
        <v>14</v>
      </c>
      <c r="U21" s="704">
        <f>H21</f>
        <v>100</v>
      </c>
      <c r="V21" s="703" t="s">
        <v>14</v>
      </c>
      <c r="W21" s="704">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3450"/>
      <c r="R22" s="703"/>
      <c r="S22" s="704"/>
      <c r="T22" s="703"/>
      <c r="U22" s="704"/>
      <c r="V22" s="703"/>
      <c r="W22" s="704"/>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3450" t="str">
        <f>B23</f>
        <v>环境质量</v>
      </c>
      <c r="R23" s="703" t="s">
        <v>14</v>
      </c>
      <c r="S23" s="704">
        <f>F23</f>
        <v>100</v>
      </c>
      <c r="T23" s="703" t="s">
        <v>14</v>
      </c>
      <c r="U23" s="704">
        <f>H23</f>
        <v>100</v>
      </c>
      <c r="V23" s="703" t="s">
        <v>14</v>
      </c>
      <c r="W23" s="704">
        <f>J23</f>
        <v>100</v>
      </c>
      <c r="X23" s="3452"/>
      <c r="Y23" s="3659"/>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3450"/>
      <c r="R24" s="703"/>
      <c r="S24" s="704"/>
      <c r="T24" s="703"/>
      <c r="U24" s="704"/>
      <c r="V24" s="703"/>
      <c r="W24" s="704"/>
      <c r="X24" s="3452"/>
      <c r="Y24" s="3659"/>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3450" t="str">
        <f>B25</f>
        <v>毗邻道路的类型与等级</v>
      </c>
      <c r="R25" s="703" t="s">
        <v>14</v>
      </c>
      <c r="S25" s="704">
        <f>F25</f>
        <v>100</v>
      </c>
      <c r="T25" s="703" t="s">
        <v>14</v>
      </c>
      <c r="U25" s="704">
        <f>H25</f>
        <v>100</v>
      </c>
      <c r="V25" s="703" t="s">
        <v>14</v>
      </c>
      <c r="W25" s="704">
        <f>J25</f>
        <v>100</v>
      </c>
      <c r="X25" s="3452"/>
      <c r="Y25" s="3659"/>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3450"/>
      <c r="R26" s="703"/>
      <c r="S26" s="704"/>
      <c r="T26" s="703"/>
      <c r="U26" s="704"/>
      <c r="V26" s="703"/>
      <c r="W26" s="704"/>
      <c r="X26" s="3452"/>
      <c r="Y26" s="3659"/>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57"/>
      <c r="Q27" s="3450" t="str">
        <f t="shared" ref="Q27:Q47" si="11">B27</f>
        <v>楼层</v>
      </c>
      <c r="R27" s="703" t="s">
        <v>14</v>
      </c>
      <c r="S27" s="704">
        <f>F27</f>
        <v>100</v>
      </c>
      <c r="T27" s="703" t="s">
        <v>14</v>
      </c>
      <c r="U27" s="704">
        <f>H27</f>
        <v>102</v>
      </c>
      <c r="V27" s="703" t="s">
        <v>14</v>
      </c>
      <c r="W27" s="704">
        <f>J27</f>
        <v>100</v>
      </c>
      <c r="X27" s="3452"/>
      <c r="Y27" s="3659"/>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3448" t="str">
        <f t="shared" si="11"/>
        <v>朝向</v>
      </c>
      <c r="R28" s="699" t="s">
        <v>14</v>
      </c>
      <c r="S28" s="700">
        <f>F28</f>
        <v>100</v>
      </c>
      <c r="T28" s="699" t="s">
        <v>14</v>
      </c>
      <c r="U28" s="700">
        <f>H28</f>
        <v>100</v>
      </c>
      <c r="V28" s="699" t="s">
        <v>14</v>
      </c>
      <c r="W28" s="700">
        <f>J28</f>
        <v>100</v>
      </c>
      <c r="X28" s="701"/>
      <c r="Y28" s="3659"/>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3450">
        <f t="shared" si="11"/>
        <v>111</v>
      </c>
      <c r="R29" s="703" t="s">
        <v>14</v>
      </c>
      <c r="S29" s="704">
        <f t="shared" ref="S29:S47" si="12">F29</f>
        <v>100</v>
      </c>
      <c r="T29" s="703" t="s">
        <v>14</v>
      </c>
      <c r="U29" s="704">
        <f t="shared" ref="U29:U47" si="13">H29</f>
        <v>100</v>
      </c>
      <c r="V29" s="703" t="s">
        <v>14</v>
      </c>
      <c r="W29" s="704">
        <f t="shared" ref="W29:W47" si="14">J29</f>
        <v>100</v>
      </c>
      <c r="X29" s="3452"/>
      <c r="Y29" s="3659"/>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3450">
        <f t="shared" si="11"/>
        <v>111</v>
      </c>
      <c r="R30" s="703" t="s">
        <v>14</v>
      </c>
      <c r="S30" s="704">
        <f t="shared" si="12"/>
        <v>100</v>
      </c>
      <c r="T30" s="703" t="s">
        <v>14</v>
      </c>
      <c r="U30" s="704">
        <f t="shared" si="13"/>
        <v>100</v>
      </c>
      <c r="V30" s="703" t="s">
        <v>14</v>
      </c>
      <c r="W30" s="704">
        <f t="shared" si="14"/>
        <v>100</v>
      </c>
      <c r="X30" s="3452"/>
      <c r="Y30" s="3659"/>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3450">
        <f t="shared" si="11"/>
        <v>111</v>
      </c>
      <c r="R31" s="703" t="s">
        <v>14</v>
      </c>
      <c r="S31" s="704">
        <f t="shared" si="12"/>
        <v>100</v>
      </c>
      <c r="T31" s="703" t="s">
        <v>14</v>
      </c>
      <c r="U31" s="704">
        <f t="shared" si="13"/>
        <v>100</v>
      </c>
      <c r="V31" s="703" t="s">
        <v>14</v>
      </c>
      <c r="W31" s="704">
        <f t="shared" si="14"/>
        <v>100</v>
      </c>
      <c r="X31" s="3452"/>
      <c r="Y31" s="3659"/>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3450">
        <f t="shared" si="11"/>
        <v>111</v>
      </c>
      <c r="R32" s="703" t="s">
        <v>14</v>
      </c>
      <c r="S32" s="704">
        <f t="shared" si="12"/>
        <v>100</v>
      </c>
      <c r="T32" s="703" t="s">
        <v>14</v>
      </c>
      <c r="U32" s="704">
        <f t="shared" si="13"/>
        <v>100</v>
      </c>
      <c r="V32" s="703" t="s">
        <v>14</v>
      </c>
      <c r="W32" s="704">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3450" t="str">
        <f t="shared" si="11"/>
        <v>建筑类型</v>
      </c>
      <c r="R33" s="703" t="s">
        <v>14</v>
      </c>
      <c r="S33" s="704">
        <f t="shared" si="12"/>
        <v>100</v>
      </c>
      <c r="T33" s="703" t="s">
        <v>14</v>
      </c>
      <c r="U33" s="704">
        <f t="shared" si="13"/>
        <v>100</v>
      </c>
      <c r="V33" s="703" t="s">
        <v>14</v>
      </c>
      <c r="W33" s="704">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102</v>
      </c>
      <c r="X34" s="708"/>
      <c r="Y34" s="3663"/>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3450" t="str">
        <f t="shared" si="11"/>
        <v>建筑结构</v>
      </c>
      <c r="R35" s="703" t="s">
        <v>14</v>
      </c>
      <c r="S35" s="704">
        <f t="shared" si="12"/>
        <v>100</v>
      </c>
      <c r="T35" s="703" t="s">
        <v>14</v>
      </c>
      <c r="U35" s="704">
        <f t="shared" si="13"/>
        <v>100</v>
      </c>
      <c r="V35" s="703" t="s">
        <v>14</v>
      </c>
      <c r="W35" s="704">
        <f t="shared" si="14"/>
        <v>100</v>
      </c>
      <c r="X35" s="3452"/>
      <c r="Y35" s="3663"/>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3450" t="str">
        <f t="shared" si="11"/>
        <v>公共部分装修</v>
      </c>
      <c r="R36" s="703" t="s">
        <v>14</v>
      </c>
      <c r="S36" s="704">
        <f t="shared" si="12"/>
        <v>100</v>
      </c>
      <c r="T36" s="703" t="s">
        <v>14</v>
      </c>
      <c r="U36" s="704">
        <f t="shared" si="13"/>
        <v>100</v>
      </c>
      <c r="V36" s="703" t="s">
        <v>14</v>
      </c>
      <c r="W36" s="704">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3450" t="str">
        <f t="shared" si="11"/>
        <v>成新度</v>
      </c>
      <c r="R37" s="703" t="s">
        <v>14</v>
      </c>
      <c r="S37" s="704">
        <f t="shared" si="12"/>
        <v>100</v>
      </c>
      <c r="T37" s="703" t="s">
        <v>14</v>
      </c>
      <c r="U37" s="704">
        <f t="shared" si="13"/>
        <v>100</v>
      </c>
      <c r="V37" s="703" t="s">
        <v>14</v>
      </c>
      <c r="W37" s="704">
        <f t="shared" si="14"/>
        <v>100</v>
      </c>
      <c r="X37" s="3452"/>
      <c r="Y37" s="3663"/>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3448" t="str">
        <f t="shared" si="11"/>
        <v>写字楼等级</v>
      </c>
      <c r="R38" s="699" t="s">
        <v>14</v>
      </c>
      <c r="S38" s="700">
        <f t="shared" si="12"/>
        <v>100</v>
      </c>
      <c r="T38" s="699" t="s">
        <v>14</v>
      </c>
      <c r="U38" s="700">
        <f t="shared" si="13"/>
        <v>100</v>
      </c>
      <c r="V38" s="699" t="s">
        <v>14</v>
      </c>
      <c r="W38" s="700">
        <f t="shared" si="14"/>
        <v>100</v>
      </c>
      <c r="X38" s="701"/>
      <c r="Y38" s="3663"/>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3450" t="str">
        <f t="shared" si="11"/>
        <v>物业管理</v>
      </c>
      <c r="R39" s="703" t="s">
        <v>14</v>
      </c>
      <c r="S39" s="704">
        <f t="shared" si="12"/>
        <v>100</v>
      </c>
      <c r="T39" s="703" t="s">
        <v>14</v>
      </c>
      <c r="U39" s="704">
        <f t="shared" si="13"/>
        <v>100</v>
      </c>
      <c r="V39" s="703" t="s">
        <v>14</v>
      </c>
      <c r="W39" s="704">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3450" t="str">
        <f t="shared" si="11"/>
        <v>市政基础设施</v>
      </c>
      <c r="R40" s="703" t="s">
        <v>14</v>
      </c>
      <c r="S40" s="704">
        <f t="shared" si="12"/>
        <v>100</v>
      </c>
      <c r="T40" s="703" t="s">
        <v>14</v>
      </c>
      <c r="U40" s="704">
        <f t="shared" si="13"/>
        <v>100</v>
      </c>
      <c r="V40" s="703" t="s">
        <v>14</v>
      </c>
      <c r="W40" s="704">
        <f t="shared" si="14"/>
        <v>100</v>
      </c>
      <c r="X40" s="3452"/>
      <c r="Y40" s="3663"/>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3450" t="str">
        <f t="shared" si="11"/>
        <v>层高</v>
      </c>
      <c r="R41" s="703" t="s">
        <v>14</v>
      </c>
      <c r="S41" s="704">
        <f t="shared" si="12"/>
        <v>100</v>
      </c>
      <c r="T41" s="703" t="s">
        <v>14</v>
      </c>
      <c r="U41" s="704">
        <f t="shared" si="13"/>
        <v>100</v>
      </c>
      <c r="V41" s="703" t="s">
        <v>14</v>
      </c>
      <c r="W41" s="704">
        <f t="shared" si="14"/>
        <v>100</v>
      </c>
      <c r="X41" s="3452"/>
      <c r="Y41" s="3663"/>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3450" t="str">
        <f t="shared" si="11"/>
        <v>内部装修</v>
      </c>
      <c r="R43" s="703" t="s">
        <v>14</v>
      </c>
      <c r="S43" s="704">
        <f t="shared" si="12"/>
        <v>100</v>
      </c>
      <c r="T43" s="703" t="s">
        <v>14</v>
      </c>
      <c r="U43" s="704">
        <f t="shared" si="13"/>
        <v>100</v>
      </c>
      <c r="V43" s="703" t="s">
        <v>14</v>
      </c>
      <c r="W43" s="704">
        <f t="shared" si="14"/>
        <v>100</v>
      </c>
      <c r="X43" s="3452"/>
      <c r="Y43" s="3663"/>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3450" t="str">
        <f t="shared" si="11"/>
        <v>内部装修维护情况</v>
      </c>
      <c r="R44" s="703" t="s">
        <v>14</v>
      </c>
      <c r="S44" s="704">
        <f t="shared" si="12"/>
        <v>100</v>
      </c>
      <c r="T44" s="703" t="s">
        <v>14</v>
      </c>
      <c r="U44" s="704">
        <f t="shared" si="13"/>
        <v>100</v>
      </c>
      <c r="V44" s="703" t="s">
        <v>14</v>
      </c>
      <c r="W44" s="704">
        <f t="shared" si="14"/>
        <v>100</v>
      </c>
      <c r="X44" s="3452"/>
      <c r="Y44" s="3663"/>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3448">
        <f t="shared" si="11"/>
        <v>111</v>
      </c>
      <c r="R45" s="699" t="s">
        <v>14</v>
      </c>
      <c r="S45" s="700">
        <f t="shared" si="12"/>
        <v>100</v>
      </c>
      <c r="T45" s="699" t="s">
        <v>14</v>
      </c>
      <c r="U45" s="700">
        <f t="shared" si="13"/>
        <v>100</v>
      </c>
      <c r="V45" s="699" t="s">
        <v>14</v>
      </c>
      <c r="W45" s="700">
        <f t="shared" si="14"/>
        <v>100</v>
      </c>
      <c r="X45" s="701"/>
      <c r="Y45" s="3663"/>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3450">
        <f t="shared" si="11"/>
        <v>111</v>
      </c>
      <c r="R46" s="703" t="s">
        <v>14</v>
      </c>
      <c r="S46" s="704">
        <f t="shared" si="12"/>
        <v>100</v>
      </c>
      <c r="T46" s="703" t="s">
        <v>14</v>
      </c>
      <c r="U46" s="704">
        <f t="shared" si="13"/>
        <v>100</v>
      </c>
      <c r="V46" s="703" t="s">
        <v>14</v>
      </c>
      <c r="W46" s="704">
        <f t="shared" si="14"/>
        <v>100</v>
      </c>
      <c r="X46" s="3452"/>
      <c r="Y46" s="3663"/>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3450">
        <f t="shared" si="11"/>
        <v>111</v>
      </c>
      <c r="R47" s="703" t="s">
        <v>14</v>
      </c>
      <c r="S47" s="704">
        <f t="shared" si="12"/>
        <v>100</v>
      </c>
      <c r="T47" s="703" t="s">
        <v>14</v>
      </c>
      <c r="U47" s="704">
        <f t="shared" si="13"/>
        <v>100</v>
      </c>
      <c r="V47" s="703" t="s">
        <v>14</v>
      </c>
      <c r="W47" s="704">
        <f t="shared" si="14"/>
        <v>100</v>
      </c>
      <c r="X47" s="3452"/>
      <c r="Y47" s="3664"/>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50" t="str">
        <f>A48</f>
        <v>成交单价（元/平方米）</v>
      </c>
      <c r="Q48" s="3651"/>
      <c r="R48" s="3652">
        <f>E48</f>
        <v>5.5</v>
      </c>
      <c r="S48" s="3652"/>
      <c r="T48" s="3652">
        <f>G48</f>
        <v>5.5</v>
      </c>
      <c r="U48" s="3652"/>
      <c r="V48" s="3652">
        <f>I48</f>
        <v>4.9000000000000004</v>
      </c>
      <c r="W48" s="3652"/>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50" t="str">
        <f>A49</f>
        <v>比较价值（元/平方米）</v>
      </c>
      <c r="Q49" s="3651"/>
      <c r="R49" s="3652">
        <f>IF(F1="售价",ROUND(PRODUCT(R48,AA7:AA47),0),ROUND(PRODUCT(R48,AA7:AA47),1))</f>
        <v>5.4</v>
      </c>
      <c r="S49" s="3652"/>
      <c r="T49" s="3652">
        <f>IF(F1="售价",ROUND(PRODUCT(T48,AB7:AB47),0),ROUND(PRODUCT(T48,AB7:AB47),1))</f>
        <v>5.3</v>
      </c>
      <c r="U49" s="3652"/>
      <c r="V49" s="3652">
        <f>IF(F1="售价",ROUND(PRODUCT(V48,AC7:AC47),0),ROUND(PRODUCT(V48,AC7:AC47),1))</f>
        <v>4.7</v>
      </c>
      <c r="W49" s="3652"/>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5.0999999999999996</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2024-07-22T06:31:41Z</dcterms:modified>
</cp:coreProperties>
</file>