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比较法-办公租金" sheetId="8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5" r:id="rId47"/>
    <sheet name="Sheet1" sheetId="84" r:id="rId48"/>
  </sheets>
  <externalReferences>
    <externalReference r:id="rId49"/>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31" l="1"/>
  <c r="E4" i="31"/>
  <c r="C4" i="31"/>
  <c r="D3" i="31"/>
  <c r="E3" i="31"/>
  <c r="C3" i="31"/>
  <c r="B24" i="31"/>
  <c r="D33" i="43" l="1"/>
  <c r="B131" i="83"/>
  <c r="B129" i="83"/>
  <c r="J46" i="83" s="1"/>
  <c r="AC46" i="83" s="1"/>
  <c r="B127" i="83"/>
  <c r="E126" i="83"/>
  <c r="F126" i="83" s="1"/>
  <c r="G126" i="83" s="1"/>
  <c r="D126" i="83"/>
  <c r="D124" i="83"/>
  <c r="E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D84" i="83"/>
  <c r="E84" i="83" s="1"/>
  <c r="F84" i="83" s="1"/>
  <c r="G84" i="83" s="1"/>
  <c r="D82" i="83"/>
  <c r="E82" i="83" s="1"/>
  <c r="D80" i="83"/>
  <c r="E80" i="83" s="1"/>
  <c r="D78" i="83"/>
  <c r="E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F46" i="83"/>
  <c r="AA46" i="83" s="1"/>
  <c r="Q45" i="83"/>
  <c r="Z45" i="83" s="1"/>
  <c r="J45" i="83"/>
  <c r="AC45" i="83" s="1"/>
  <c r="H45" i="83"/>
  <c r="AB45" i="83" s="1"/>
  <c r="F45" i="83"/>
  <c r="AA45" i="83" s="1"/>
  <c r="Q44" i="83"/>
  <c r="Z44" i="83" s="1"/>
  <c r="J44" i="83"/>
  <c r="AC44" i="83" s="1"/>
  <c r="H44" i="83"/>
  <c r="AB44" i="83" s="1"/>
  <c r="F44" i="83"/>
  <c r="AA44" i="83" s="1"/>
  <c r="Q43" i="83"/>
  <c r="Z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U33" i="83"/>
  <c r="Q33" i="83"/>
  <c r="Z33" i="83" s="1"/>
  <c r="J33" i="83"/>
  <c r="W33" i="83" s="1"/>
  <c r="H33" i="83"/>
  <c r="AB33" i="83" s="1"/>
  <c r="F33" i="83"/>
  <c r="AA33" i="83" s="1"/>
  <c r="Q32" i="83"/>
  <c r="Z32" i="83" s="1"/>
  <c r="J32" i="83"/>
  <c r="W32" i="83" s="1"/>
  <c r="H32" i="83"/>
  <c r="U32" i="83" s="1"/>
  <c r="F32" i="83"/>
  <c r="S32" i="83" s="1"/>
  <c r="Q31" i="83"/>
  <c r="Z31" i="83" s="1"/>
  <c r="J31" i="83"/>
  <c r="AC31" i="83" s="1"/>
  <c r="H31" i="83"/>
  <c r="U31" i="83" s="1"/>
  <c r="F31" i="83"/>
  <c r="S31" i="83" s="1"/>
  <c r="Z30" i="83"/>
  <c r="Q30" i="83"/>
  <c r="J30" i="83"/>
  <c r="W30" i="83" s="1"/>
  <c r="H30" i="83"/>
  <c r="AB30" i="83" s="1"/>
  <c r="F30" i="83"/>
  <c r="S30" i="83" s="1"/>
  <c r="Q29" i="83"/>
  <c r="Z29" i="83" s="1"/>
  <c r="J29" i="83"/>
  <c r="AC29" i="83" s="1"/>
  <c r="H29" i="83"/>
  <c r="AB29" i="83" s="1"/>
  <c r="F29" i="83"/>
  <c r="AA29" i="83" s="1"/>
  <c r="AC28" i="83"/>
  <c r="Q28" i="83"/>
  <c r="Z28" i="83" s="1"/>
  <c r="J28" i="83"/>
  <c r="W28" i="83" s="1"/>
  <c r="H28" i="83"/>
  <c r="U28" i="83" s="1"/>
  <c r="F28" i="83"/>
  <c r="S28" i="83" s="1"/>
  <c r="Q27" i="83"/>
  <c r="Z27" i="83" s="1"/>
  <c r="J27" i="83"/>
  <c r="AC27" i="83" s="1"/>
  <c r="H27" i="83"/>
  <c r="AB27" i="83" s="1"/>
  <c r="F27" i="83"/>
  <c r="AA27"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F10" i="83"/>
  <c r="H10" i="83"/>
  <c r="Q9" i="83"/>
  <c r="Z9" i="83" s="1"/>
  <c r="J9" i="83"/>
  <c r="AC9" i="83" s="1"/>
  <c r="H9" i="83"/>
  <c r="AB9" i="83" s="1"/>
  <c r="F9" i="83"/>
  <c r="AA9" i="83" s="1"/>
  <c r="J8" i="83"/>
  <c r="AC8" i="83" s="1"/>
  <c r="H8" i="83"/>
  <c r="U8" i="83" s="1"/>
  <c r="F8" i="83"/>
  <c r="S8" i="83" s="1"/>
  <c r="D2" i="83"/>
  <c r="F78" i="83" l="1"/>
  <c r="G78" i="83" s="1"/>
  <c r="J15" i="83"/>
  <c r="AC15" i="83" s="1"/>
  <c r="H15" i="83"/>
  <c r="AB15" i="83" s="1"/>
  <c r="F15" i="83"/>
  <c r="AA15" i="83" s="1"/>
  <c r="F82" i="83"/>
  <c r="G82" i="83" s="1"/>
  <c r="F19" i="83"/>
  <c r="AA19" i="83" s="1"/>
  <c r="H19" i="83"/>
  <c r="AB19" i="83" s="1"/>
  <c r="J19" i="83"/>
  <c r="AC19" i="83" s="1"/>
  <c r="F86" i="83"/>
  <c r="G86" i="83" s="1"/>
  <c r="J23" i="83"/>
  <c r="AC23" i="83" s="1"/>
  <c r="H23" i="83"/>
  <c r="AB23" i="83" s="1"/>
  <c r="F23" i="83"/>
  <c r="AA23" i="83" s="1"/>
  <c r="F80" i="83"/>
  <c r="G80" i="83" s="1"/>
  <c r="H17" i="83"/>
  <c r="AB17" i="83" s="1"/>
  <c r="F17" i="83"/>
  <c r="AA17" i="83" s="1"/>
  <c r="J17" i="83"/>
  <c r="AC17" i="83" s="1"/>
  <c r="AA28" i="83"/>
  <c r="AC30" i="83"/>
  <c r="AC33" i="83"/>
  <c r="W8" i="83"/>
  <c r="AA31" i="83"/>
  <c r="H46" i="83"/>
  <c r="AB46" i="83" s="1"/>
  <c r="W29" i="83"/>
  <c r="AB32" i="83"/>
  <c r="AC10" i="83"/>
  <c r="W10" i="83"/>
  <c r="AB10" i="83"/>
  <c r="U10" i="83"/>
  <c r="AA10" i="83"/>
  <c r="S10" i="83"/>
  <c r="AA8" i="83"/>
  <c r="U9" i="83"/>
  <c r="S12" i="83"/>
  <c r="U13" i="83"/>
  <c r="W14" i="83"/>
  <c r="W21" i="83"/>
  <c r="S27" i="83"/>
  <c r="U29" i="83"/>
  <c r="AA30" i="83"/>
  <c r="AC32" i="83"/>
  <c r="AB8" i="83"/>
  <c r="W9" i="83"/>
  <c r="S11" i="83"/>
  <c r="U12" i="83"/>
  <c r="W13" i="83"/>
  <c r="S25" i="83"/>
  <c r="U27" i="83"/>
  <c r="S35" i="83"/>
  <c r="U11" i="83"/>
  <c r="W12" i="83"/>
  <c r="S14" i="83"/>
  <c r="S21" i="83"/>
  <c r="U25" i="83"/>
  <c r="W27" i="83"/>
  <c r="AB28" i="83"/>
  <c r="AB31" i="83"/>
  <c r="AA32" i="83"/>
  <c r="H43" i="83"/>
  <c r="F43" i="83"/>
  <c r="F124" i="83"/>
  <c r="G124" i="83" s="1"/>
  <c r="H124" i="83" s="1"/>
  <c r="I124" i="83" s="1"/>
  <c r="J124" i="83" s="1"/>
  <c r="K124" i="83" s="1"/>
  <c r="L124" i="83" s="1"/>
  <c r="M124" i="83" s="1"/>
  <c r="J43" i="83"/>
  <c r="S9" i="83"/>
  <c r="W11" i="83"/>
  <c r="S13" i="83"/>
  <c r="U14" i="83"/>
  <c r="U21" i="83"/>
  <c r="W25" i="83"/>
  <c r="S29" i="83"/>
  <c r="U30" i="83"/>
  <c r="W31" i="83"/>
  <c r="S33" i="83"/>
  <c r="S36" i="83"/>
  <c r="U38" i="83"/>
  <c r="W39" i="83"/>
  <c r="S41" i="83"/>
  <c r="U42" i="83"/>
  <c r="S45" i="83"/>
  <c r="U46" i="83"/>
  <c r="W47" i="83"/>
  <c r="U36" i="83"/>
  <c r="W38" i="83"/>
  <c r="S40" i="83"/>
  <c r="U41" i="83"/>
  <c r="W42" i="83"/>
  <c r="S44" i="83"/>
  <c r="U45" i="83"/>
  <c r="W46" i="83"/>
  <c r="U35" i="83"/>
  <c r="W36" i="83"/>
  <c r="S39" i="83"/>
  <c r="U40" i="83"/>
  <c r="W41" i="83"/>
  <c r="U44" i="83"/>
  <c r="W45" i="83"/>
  <c r="S47" i="83"/>
  <c r="W35" i="83"/>
  <c r="S38" i="83"/>
  <c r="U39" i="83"/>
  <c r="W40" i="83"/>
  <c r="S42" i="83"/>
  <c r="W44" i="83"/>
  <c r="S46" i="83"/>
  <c r="U47" i="83"/>
  <c r="S23" i="83" l="1"/>
  <c r="U23" i="83"/>
  <c r="W23" i="83"/>
  <c r="W19" i="83"/>
  <c r="S19" i="83"/>
  <c r="W17" i="83"/>
  <c r="U17" i="83"/>
  <c r="W15" i="83"/>
  <c r="S15" i="83"/>
  <c r="U15" i="83"/>
  <c r="U19" i="83"/>
  <c r="S17" i="83"/>
  <c r="AB43" i="83"/>
  <c r="U43" i="83"/>
  <c r="AC43" i="83"/>
  <c r="W43" i="83"/>
  <c r="AA43" i="83"/>
  <c r="S43" i="83"/>
  <c r="I10" i="34" l="1"/>
  <c r="G10" i="34"/>
  <c r="E10" i="34"/>
  <c r="C10" i="34"/>
  <c r="E67" i="34"/>
  <c r="F67" i="34" s="1"/>
  <c r="G67" i="34" s="1"/>
  <c r="D67" i="34"/>
  <c r="J49" i="67"/>
  <c r="N6" i="1" l="1"/>
  <c r="F19" i="6"/>
  <c r="D3" i="4"/>
  <c r="C37" i="83" l="1"/>
  <c r="C37" i="34"/>
  <c r="Y6" i="1"/>
  <c r="I12" i="79"/>
  <c r="J37" i="83" l="1"/>
  <c r="H37" i="83"/>
  <c r="F37"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S37" i="83" l="1"/>
  <c r="AA37" i="83"/>
  <c r="AB37" i="83"/>
  <c r="U37" i="83"/>
  <c r="AC37" i="83"/>
  <c r="W37"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W22" i="79"/>
  <c r="AK22" i="79" s="1"/>
  <c r="AH22" i="79"/>
  <c r="S34" i="79"/>
  <c r="AG34" i="79" s="1"/>
  <c r="S35" i="79"/>
  <c r="AG35" i="79" s="1"/>
  <c r="S33" i="79"/>
  <c r="AG33" i="79" s="1"/>
  <c r="AA31" i="79"/>
  <c r="AD31" i="79" s="1"/>
  <c r="T40" i="79"/>
  <c r="U46" i="79"/>
  <c r="AI46" i="79" s="1"/>
  <c r="AD47" i="79"/>
  <c r="S48" i="79"/>
  <c r="AG48" i="79" s="1"/>
  <c r="U50" i="79"/>
  <c r="AI50" i="79" s="1"/>
  <c r="AD51" i="79"/>
  <c r="AD36" i="79"/>
  <c r="AR40" i="79"/>
  <c r="AR41" i="79" s="1"/>
  <c r="AR42" i="79" s="1"/>
  <c r="AR43" i="79" s="1"/>
  <c r="AR44" i="79" s="1"/>
  <c r="AR45" i="79" s="1"/>
  <c r="AR46" i="79" s="1"/>
  <c r="AR47" i="79" s="1"/>
  <c r="AR48" i="79" s="1"/>
  <c r="AR49" i="79" s="1"/>
  <c r="AR50" i="79" s="1"/>
  <c r="AR51" i="79" s="1"/>
  <c r="AR52" i="79" s="1"/>
  <c r="AD38" i="79"/>
  <c r="AD37" i="79"/>
  <c r="Z3"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Y27" i="71" s="1"/>
  <c r="Z27" i="71" s="1"/>
  <c r="N35" i="71"/>
  <c r="Q34" i="71"/>
  <c r="AB34" i="71" s="1"/>
  <c r="P34" i="71"/>
  <c r="AA34" i="71" s="1"/>
  <c r="O34" i="71"/>
  <c r="N34" i="71"/>
  <c r="X34" i="71" s="1"/>
  <c r="Q33" i="71"/>
  <c r="F34" i="71" s="1"/>
  <c r="P33" i="71"/>
  <c r="E34" i="71" s="1"/>
  <c r="O33" i="71"/>
  <c r="N33" i="71"/>
  <c r="X31"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C30" i="71"/>
  <c r="D30" i="71" s="1"/>
  <c r="C34" i="71"/>
  <c r="D34" i="71" s="1"/>
  <c r="C38" i="71"/>
  <c r="D38" i="71" s="1"/>
  <c r="D50" i="71"/>
  <c r="P28" i="71"/>
  <c r="E28" i="71" s="1"/>
  <c r="U68" i="71"/>
  <c r="Q28" i="71"/>
  <c r="F28" i="71" s="1"/>
  <c r="F27" i="71" s="1"/>
  <c r="F26" i="71" s="1"/>
  <c r="D58" i="71"/>
  <c r="T68" i="71"/>
  <c r="O68" i="71"/>
  <c r="D68" i="71"/>
  <c r="C67" i="71"/>
  <c r="D67" i="71" s="1"/>
  <c r="E71" i="71"/>
  <c r="E70" i="71" s="1"/>
  <c r="D72" i="71"/>
  <c r="C75" i="71"/>
  <c r="D76" i="71"/>
  <c r="E79" i="71"/>
  <c r="E78" i="71"/>
  <c r="D80" i="71"/>
  <c r="C87" i="71"/>
  <c r="C86" i="71" s="1"/>
  <c r="D86" i="71" s="1"/>
  <c r="AA3" i="7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18" i="36"/>
  <c r="U21" i="37"/>
  <c r="J21" i="37"/>
  <c r="W21" i="37" s="1"/>
  <c r="J21" i="34"/>
  <c r="W21" i="34" s="1"/>
  <c r="J21" i="33"/>
  <c r="W21" i="33" s="1"/>
  <c r="H21" i="21"/>
  <c r="U21" i="21" s="1"/>
  <c r="F38" i="69"/>
  <c r="E37" i="69"/>
  <c r="F36" i="69"/>
  <c r="F35" i="69"/>
  <c r="F21" i="69"/>
  <c r="F40" i="69" s="1"/>
  <c r="F20" i="69"/>
  <c r="F39" i="69" s="1"/>
  <c r="E10" i="69"/>
  <c r="E9" i="69"/>
  <c r="AC21" i="37"/>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R29" i="31"/>
  <c r="R30" i="31"/>
  <c r="R31" i="31"/>
  <c r="S31" i="31" s="1"/>
  <c r="R32" i="31"/>
  <c r="R33" i="31"/>
  <c r="R34" i="31"/>
  <c r="R35" i="31"/>
  <c r="S35" i="31" s="1"/>
  <c r="R36" i="31"/>
  <c r="R37" i="31"/>
  <c r="R38" i="31"/>
  <c r="R39" i="31"/>
  <c r="S39" i="31" s="1"/>
  <c r="R40" i="31"/>
  <c r="R41" i="31"/>
  <c r="R42" i="31"/>
  <c r="S42" i="31" s="1"/>
  <c r="R43" i="31"/>
  <c r="S43" i="31" s="1"/>
  <c r="R44" i="31"/>
  <c r="R45" i="31"/>
  <c r="R46" i="31"/>
  <c r="S46" i="31" s="1"/>
  <c r="R47" i="31"/>
  <c r="S47" i="31" s="1"/>
  <c r="R48" i="31"/>
  <c r="R49" i="31"/>
  <c r="R50" i="31"/>
  <c r="R51" i="31"/>
  <c r="S51" i="31" s="1"/>
  <c r="R52" i="31"/>
  <c r="R53" i="31"/>
  <c r="R54" i="31"/>
  <c r="R55" i="31"/>
  <c r="S55" i="31" s="1"/>
  <c r="R56" i="31"/>
  <c r="R57" i="31"/>
  <c r="R58" i="31"/>
  <c r="R59" i="31"/>
  <c r="S59" i="31" s="1"/>
  <c r="R60" i="31"/>
  <c r="R61" i="31"/>
  <c r="R62" i="31"/>
  <c r="S62" i="31" s="1"/>
  <c r="R63" i="31"/>
  <c r="S63" i="31" s="1"/>
  <c r="R64" i="31"/>
  <c r="R65" i="31"/>
  <c r="R66" i="31"/>
  <c r="S66" i="31" s="1"/>
  <c r="R67" i="31"/>
  <c r="S67" i="31" s="1"/>
  <c r="R68" i="31"/>
  <c r="R69" i="31"/>
  <c r="R70" i="31"/>
  <c r="R71" i="31"/>
  <c r="S71" i="31" s="1"/>
  <c r="R72" i="31"/>
  <c r="R73" i="31"/>
  <c r="R74" i="31"/>
  <c r="R75" i="31"/>
  <c r="S75" i="31" s="1"/>
  <c r="R76" i="31"/>
  <c r="R77" i="31"/>
  <c r="R78" i="31"/>
  <c r="S78" i="31" s="1"/>
  <c r="R79" i="31"/>
  <c r="S79" i="31" s="1"/>
  <c r="R80" i="31"/>
  <c r="R81" i="31"/>
  <c r="R82" i="31"/>
  <c r="R83" i="31"/>
  <c r="S83" i="31" s="1"/>
  <c r="R84" i="31"/>
  <c r="R85" i="31"/>
  <c r="R86" i="3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R103" i="31"/>
  <c r="S103" i="31" s="1"/>
  <c r="R104" i="31"/>
  <c r="R105" i="31"/>
  <c r="R106" i="31"/>
  <c r="R107" i="31"/>
  <c r="S107" i="31" s="1"/>
  <c r="R108" i="31"/>
  <c r="R109" i="31"/>
  <c r="R110" i="31"/>
  <c r="S110" i="31" s="1"/>
  <c r="R111" i="31"/>
  <c r="S111" i="31" s="1"/>
  <c r="R112" i="31"/>
  <c r="R113" i="31"/>
  <c r="R114" i="31"/>
  <c r="R115" i="31"/>
  <c r="S115" i="31" s="1"/>
  <c r="R116" i="31"/>
  <c r="R117" i="31"/>
  <c r="R118" i="31"/>
  <c r="R119" i="31"/>
  <c r="S119" i="31" s="1"/>
  <c r="R120" i="31"/>
  <c r="R121" i="31"/>
  <c r="R122" i="31"/>
  <c r="S122" i="31" s="1"/>
  <c r="R123" i="31"/>
  <c r="S123" i="31" s="1"/>
  <c r="R124" i="31"/>
  <c r="R125" i="31"/>
  <c r="R126" i="31"/>
  <c r="R127" i="31"/>
  <c r="S127" i="31" s="1"/>
  <c r="R128" i="31"/>
  <c r="R129" i="31"/>
  <c r="R130" i="31"/>
  <c r="S130" i="31" s="1"/>
  <c r="R131" i="31"/>
  <c r="S131" i="31" s="1"/>
  <c r="R132" i="31"/>
  <c r="R133" i="31"/>
  <c r="R134" i="31"/>
  <c r="S134" i="31" s="1"/>
  <c r="R135" i="31"/>
  <c r="S135" i="31" s="1"/>
  <c r="R136" i="31"/>
  <c r="R137" i="31"/>
  <c r="R138" i="31"/>
  <c r="R139" i="31"/>
  <c r="S139" i="31" s="1"/>
  <c r="R140" i="31"/>
  <c r="R141" i="31"/>
  <c r="R142" i="31"/>
  <c r="R143" i="31"/>
  <c r="S143" i="31" s="1"/>
  <c r="R144" i="31"/>
  <c r="R145" i="31"/>
  <c r="R146" i="31"/>
  <c r="S146" i="31" s="1"/>
  <c r="R147" i="31"/>
  <c r="S147" i="31" s="1"/>
  <c r="R148" i="31"/>
  <c r="R149" i="31"/>
  <c r="R150" i="31"/>
  <c r="S150" i="31" s="1"/>
  <c r="R151" i="31"/>
  <c r="S151" i="31" s="1"/>
  <c r="R152" i="31"/>
  <c r="R153" i="31"/>
  <c r="R154" i="31"/>
  <c r="R155" i="31"/>
  <c r="S155" i="31" s="1"/>
  <c r="R156" i="31"/>
  <c r="R157" i="31"/>
  <c r="R158" i="31"/>
  <c r="R159" i="31"/>
  <c r="S159" i="31" s="1"/>
  <c r="R160" i="31"/>
  <c r="R161" i="31"/>
  <c r="R162" i="31"/>
  <c r="S162" i="31" s="1"/>
  <c r="R163" i="31"/>
  <c r="S163" i="31" s="1"/>
  <c r="R164" i="31"/>
  <c r="R165" i="31"/>
  <c r="R166" i="31"/>
  <c r="S166" i="31" s="1"/>
  <c r="R167" i="31"/>
  <c r="S167" i="31" s="1"/>
  <c r="R168" i="31"/>
  <c r="R169" i="31"/>
  <c r="R170" i="31"/>
  <c r="R171" i="31"/>
  <c r="S171" i="31" s="1"/>
  <c r="R172" i="31"/>
  <c r="R173" i="31"/>
  <c r="R174" i="31"/>
  <c r="R175" i="31"/>
  <c r="S175" i="31" s="1"/>
  <c r="R176" i="31"/>
  <c r="R177" i="31"/>
  <c r="R178" i="31"/>
  <c r="S178" i="31" s="1"/>
  <c r="R179" i="31"/>
  <c r="S179" i="31" s="1"/>
  <c r="R180" i="31"/>
  <c r="R181" i="31"/>
  <c r="R182" i="31"/>
  <c r="S182" i="31" s="1"/>
  <c r="R183" i="31"/>
  <c r="S183" i="31" s="1"/>
  <c r="R184" i="31"/>
  <c r="R185" i="31"/>
  <c r="R186" i="31"/>
  <c r="R187" i="31"/>
  <c r="S187" i="31" s="1"/>
  <c r="R188" i="31"/>
  <c r="R189" i="31"/>
  <c r="R190" i="31"/>
  <c r="R191" i="31"/>
  <c r="S191" i="31" s="1"/>
  <c r="R192" i="31"/>
  <c r="R193" i="31"/>
  <c r="R194" i="31"/>
  <c r="S194" i="31" s="1"/>
  <c r="R195" i="31"/>
  <c r="S195" i="31" s="1"/>
  <c r="R196" i="31"/>
  <c r="R197" i="31"/>
  <c r="R198" i="31"/>
  <c r="S198" i="31" s="1"/>
  <c r="R199" i="31"/>
  <c r="S199" i="31" s="1"/>
  <c r="R200" i="31"/>
  <c r="R201" i="31"/>
  <c r="R202" i="31"/>
  <c r="R203" i="31"/>
  <c r="S203" i="31" s="1"/>
  <c r="R204" i="31"/>
  <c r="R205" i="31"/>
  <c r="R206" i="31"/>
  <c r="R207" i="31"/>
  <c r="S207" i="31" s="1"/>
  <c r="R208" i="31"/>
  <c r="R209" i="31"/>
  <c r="R210" i="31"/>
  <c r="S210" i="31" s="1"/>
  <c r="R211" i="31"/>
  <c r="S211" i="31" s="1"/>
  <c r="R212" i="31"/>
  <c r="R213" i="31"/>
  <c r="R214" i="31"/>
  <c r="S214" i="31" s="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R235" i="31"/>
  <c r="S235" i="31" s="1"/>
  <c r="R236" i="31"/>
  <c r="R237" i="31"/>
  <c r="R238" i="31"/>
  <c r="R239" i="31"/>
  <c r="S239" i="31" s="1"/>
  <c r="R240" i="31"/>
  <c r="R241" i="31"/>
  <c r="R242" i="31"/>
  <c r="S242" i="31" s="1"/>
  <c r="R243" i="31"/>
  <c r="S243" i="31" s="1"/>
  <c r="R244" i="31"/>
  <c r="R245" i="31"/>
  <c r="R246" i="31"/>
  <c r="S246" i="31" s="1"/>
  <c r="R247" i="31"/>
  <c r="S247" i="31" s="1"/>
  <c r="R248" i="31"/>
  <c r="R249" i="31"/>
  <c r="R250" i="31"/>
  <c r="R251" i="31"/>
  <c r="S251" i="31" s="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S426" i="31" s="1"/>
  <c r="R427" i="31"/>
  <c r="S427" i="31" s="1"/>
  <c r="R428" i="31"/>
  <c r="R429" i="31"/>
  <c r="R430" i="3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S471" i="31" s="1"/>
  <c r="R472" i="31"/>
  <c r="R473" i="31"/>
  <c r="R474" i="31"/>
  <c r="R475" i="31"/>
  <c r="S475" i="31" s="1"/>
  <c r="R476" i="31"/>
  <c r="R477" i="31"/>
  <c r="R478" i="31"/>
  <c r="S478" i="31" s="1"/>
  <c r="R479" i="31"/>
  <c r="S479" i="31" s="1"/>
  <c r="R480" i="31"/>
  <c r="R481" i="31"/>
  <c r="R482" i="31"/>
  <c r="S482" i="31" s="1"/>
  <c r="R483" i="31"/>
  <c r="S483" i="31" s="1"/>
  <c r="R484" i="31"/>
  <c r="R485" i="31"/>
  <c r="R486" i="31"/>
  <c r="R487" i="31"/>
  <c r="S487" i="31" s="1"/>
  <c r="R488" i="31"/>
  <c r="R489" i="31"/>
  <c r="R490" i="31"/>
  <c r="R491" i="31"/>
  <c r="S491" i="31" s="1"/>
  <c r="R492" i="31"/>
  <c r="R493" i="31"/>
  <c r="R494" i="31"/>
  <c r="S494" i="31" s="1"/>
  <c r="R495" i="31"/>
  <c r="S495" i="31" s="1"/>
  <c r="R496" i="31"/>
  <c r="R497" i="31"/>
  <c r="R498" i="31"/>
  <c r="S498" i="31" s="1"/>
  <c r="R499" i="31"/>
  <c r="S499" i="31" s="1"/>
  <c r="R500" i="31"/>
  <c r="R501" i="31"/>
  <c r="R502" i="31"/>
  <c r="R503" i="31"/>
  <c r="S503" i="31" s="1"/>
  <c r="R504" i="31"/>
  <c r="R505" i="31"/>
  <c r="R506" i="31"/>
  <c r="S506" i="31" s="1"/>
  <c r="R507" i="31"/>
  <c r="S507" i="31" s="1"/>
  <c r="R508" i="31"/>
  <c r="R509" i="31"/>
  <c r="R510" i="31"/>
  <c r="S510" i="31" s="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0" i="31"/>
  <c r="S249" i="31"/>
  <c r="S248" i="31"/>
  <c r="S245" i="31"/>
  <c r="S244" i="31"/>
  <c r="S241" i="31"/>
  <c r="S240" i="31"/>
  <c r="S238" i="31"/>
  <c r="S237" i="31"/>
  <c r="S236" i="31"/>
  <c r="S234" i="31"/>
  <c r="S233" i="31"/>
  <c r="S232" i="31"/>
  <c r="S229" i="31"/>
  <c r="S228" i="31"/>
  <c r="S225" i="31"/>
  <c r="S224" i="31"/>
  <c r="S429" i="31"/>
  <c r="S428" i="31"/>
  <c r="S425" i="31"/>
  <c r="S222" i="31"/>
  <c r="S221" i="31"/>
  <c r="S220" i="31"/>
  <c r="S218" i="31"/>
  <c r="S217" i="31"/>
  <c r="S216" i="31"/>
  <c r="S213" i="31"/>
  <c r="S212" i="31"/>
  <c r="S209" i="31"/>
  <c r="S208" i="31"/>
  <c r="S206" i="31"/>
  <c r="S205" i="31"/>
  <c r="S204" i="31"/>
  <c r="S202" i="31"/>
  <c r="S201" i="31"/>
  <c r="S200" i="31"/>
  <c r="S197" i="31"/>
  <c r="S196" i="31"/>
  <c r="S193" i="31"/>
  <c r="S192" i="31"/>
  <c r="S190" i="31"/>
  <c r="S189" i="31"/>
  <c r="S188" i="31"/>
  <c r="S186" i="31"/>
  <c r="S185" i="31"/>
  <c r="S184" i="31"/>
  <c r="S181" i="31"/>
  <c r="S180" i="31"/>
  <c r="S177" i="31"/>
  <c r="S176" i="31"/>
  <c r="S174" i="31"/>
  <c r="S173" i="31"/>
  <c r="S172" i="31"/>
  <c r="S170" i="31"/>
  <c r="S169" i="31"/>
  <c r="S168" i="31"/>
  <c r="S165" i="31"/>
  <c r="S164" i="31"/>
  <c r="S161" i="31"/>
  <c r="S160" i="31"/>
  <c r="S158" i="31"/>
  <c r="S157" i="31"/>
  <c r="S156" i="31"/>
  <c r="S154" i="31"/>
  <c r="S153" i="31"/>
  <c r="S152" i="31"/>
  <c r="S149" i="31"/>
  <c r="S148" i="31"/>
  <c r="S145" i="31"/>
  <c r="S144" i="31"/>
  <c r="S142" i="31"/>
  <c r="S141" i="31"/>
  <c r="S140" i="31"/>
  <c r="S138" i="31"/>
  <c r="S137" i="31"/>
  <c r="S136" i="31"/>
  <c r="S133" i="31"/>
  <c r="S132" i="31"/>
  <c r="S129" i="31"/>
  <c r="S128" i="31"/>
  <c r="S126" i="31"/>
  <c r="S125" i="31"/>
  <c r="S124" i="31"/>
  <c r="S497" i="31"/>
  <c r="S496" i="31"/>
  <c r="S493" i="31"/>
  <c r="S492" i="31"/>
  <c r="S490" i="31"/>
  <c r="S489" i="31"/>
  <c r="S488" i="31"/>
  <c r="S486" i="31"/>
  <c r="S485" i="31"/>
  <c r="S484" i="31"/>
  <c r="S481" i="31"/>
  <c r="S480" i="31"/>
  <c r="S477" i="31"/>
  <c r="S476" i="31"/>
  <c r="S474" i="31"/>
  <c r="S473" i="31"/>
  <c r="S472" i="31"/>
  <c r="S470" i="31"/>
  <c r="S469" i="31"/>
  <c r="S468" i="31"/>
  <c r="S444" i="31"/>
  <c r="S442" i="31"/>
  <c r="S441" i="31"/>
  <c r="S440" i="31"/>
  <c r="S437" i="31"/>
  <c r="S436" i="31"/>
  <c r="S433" i="31"/>
  <c r="S432" i="31"/>
  <c r="S430" i="31"/>
  <c r="S121" i="31"/>
  <c r="S120" i="31"/>
  <c r="S118" i="31"/>
  <c r="S117" i="31"/>
  <c r="S116" i="31"/>
  <c r="S114" i="31"/>
  <c r="S113" i="31"/>
  <c r="S112" i="31"/>
  <c r="S504" i="31"/>
  <c r="S502" i="31"/>
  <c r="S500" i="31"/>
  <c r="S466" i="31"/>
  <c r="S465" i="31"/>
  <c r="S464" i="31"/>
  <c r="S461" i="31"/>
  <c r="S460" i="31"/>
  <c r="S457" i="31"/>
  <c r="S456" i="31"/>
  <c r="S454" i="31"/>
  <c r="S453" i="31"/>
  <c r="S452" i="31"/>
  <c r="S450" i="31"/>
  <c r="S54" i="31"/>
  <c r="S53" i="31"/>
  <c r="S52" i="31"/>
  <c r="S50" i="31"/>
  <c r="S49" i="31"/>
  <c r="S48" i="31"/>
  <c r="S45" i="31"/>
  <c r="S44" i="31"/>
  <c r="S41" i="31"/>
  <c r="S40" i="31"/>
  <c r="S38" i="31"/>
  <c r="S37" i="31"/>
  <c r="S36" i="31"/>
  <c r="S34" i="31"/>
  <c r="S33" i="31"/>
  <c r="S32" i="31"/>
  <c r="S77" i="31"/>
  <c r="S76" i="31"/>
  <c r="S74" i="31"/>
  <c r="S73" i="31"/>
  <c r="S72" i="31"/>
  <c r="S70" i="31"/>
  <c r="S69" i="31"/>
  <c r="S68" i="31"/>
  <c r="S65" i="31"/>
  <c r="S64" i="31"/>
  <c r="S61" i="31"/>
  <c r="S60" i="31"/>
  <c r="S58" i="31"/>
  <c r="S57" i="31"/>
  <c r="S56" i="31"/>
  <c r="S97" i="31"/>
  <c r="S96" i="31"/>
  <c r="S93" i="31"/>
  <c r="S92" i="31"/>
  <c r="S89" i="31"/>
  <c r="S88" i="31"/>
  <c r="S86" i="31"/>
  <c r="S85" i="31"/>
  <c r="S84" i="31"/>
  <c r="S82" i="31"/>
  <c r="S81" i="31"/>
  <c r="S80" i="31"/>
  <c r="S30" i="31"/>
  <c r="S29" i="31"/>
  <c r="S100" i="31"/>
  <c r="S101" i="31"/>
  <c r="S102" i="31"/>
  <c r="S104" i="31"/>
  <c r="S105" i="31"/>
  <c r="S106" i="31"/>
  <c r="S108" i="31"/>
  <c r="S109" i="31"/>
  <c r="S445" i="31"/>
  <c r="S446" i="31"/>
  <c r="S448" i="31"/>
  <c r="S449" i="31"/>
  <c r="S508" i="31"/>
  <c r="S509"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6" i="31"/>
  <c r="S517" i="31"/>
  <c r="S518" i="31"/>
  <c r="S520" i="31"/>
  <c r="S521"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B74" i="21"/>
  <c r="J14" i="21" s="1"/>
  <c r="W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H36" i="39"/>
  <c r="AB36" i="39" s="1"/>
  <c r="J35" i="39"/>
  <c r="AC35" i="39" s="1"/>
  <c r="F35" i="39"/>
  <c r="AA35" i="39" s="1"/>
  <c r="W40" i="39"/>
  <c r="W25" i="37"/>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H39" i="33"/>
  <c r="AB39" i="33" s="1"/>
  <c r="U35" i="33"/>
  <c r="W33" i="33"/>
  <c r="W39" i="33"/>
  <c r="S27" i="35"/>
  <c r="F11" i="40"/>
  <c r="AA11" i="40" s="1"/>
  <c r="H11" i="40"/>
  <c r="AB11" i="40" s="1"/>
  <c r="W8" i="40"/>
  <c r="AB39" i="40"/>
  <c r="U9" i="40"/>
  <c r="S34" i="40"/>
  <c r="U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H36" i="34"/>
  <c r="U36" i="34" s="1"/>
  <c r="F37" i="34"/>
  <c r="AA37" i="34" s="1"/>
  <c r="F28" i="34"/>
  <c r="AA28" i="34" s="1"/>
  <c r="F25" i="34"/>
  <c r="S25" i="34" s="1"/>
  <c r="J28" i="34"/>
  <c r="W28" i="34" s="1"/>
  <c r="F41" i="33"/>
  <c r="AA41" i="33" s="1"/>
  <c r="S38" i="33"/>
  <c r="E113" i="33"/>
  <c r="F113" i="33" s="1"/>
  <c r="G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AB42" i="34"/>
  <c r="J40" i="34"/>
  <c r="AC40" i="34" s="1"/>
  <c r="H38" i="34"/>
  <c r="AB38" i="34" s="1"/>
  <c r="J36" i="34"/>
  <c r="W36" i="34" s="1"/>
  <c r="H37" i="34"/>
  <c r="U37" i="34" s="1"/>
  <c r="H25" i="34"/>
  <c r="AB25" i="34" s="1"/>
  <c r="J25" i="34"/>
  <c r="AC25" i="34" s="1"/>
  <c r="J17" i="34"/>
  <c r="W17" i="34" s="1"/>
  <c r="S41"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W44" i="34" s="1"/>
  <c r="F44" i="34"/>
  <c r="S44" i="34" s="1"/>
  <c r="J10" i="35"/>
  <c r="AC10" i="35" s="1"/>
  <c r="H14" i="21"/>
  <c r="U14" i="21" s="1"/>
  <c r="H28" i="21"/>
  <c r="AB28" i="21" s="1"/>
  <c r="F28" i="21"/>
  <c r="AA28" i="21" s="1"/>
  <c r="H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S14" i="37" s="1"/>
  <c r="F27" i="37"/>
  <c r="AA27" i="37" s="1"/>
  <c r="F13" i="39"/>
  <c r="J13" i="39"/>
  <c r="W13" i="39" s="1"/>
  <c r="H13" i="39"/>
  <c r="AB14" i="40"/>
  <c r="J14" i="40"/>
  <c r="W14" i="40" s="1"/>
  <c r="F14" i="40"/>
  <c r="AA14" i="40" s="1"/>
  <c r="J14" i="37"/>
  <c r="J27" i="37"/>
  <c r="AC27" i="37" s="1"/>
  <c r="AA44" i="33"/>
  <c r="AA14" i="33"/>
  <c r="J36" i="37"/>
  <c r="AC36" i="37" s="1"/>
  <c r="J10" i="36"/>
  <c r="AC10" i="36" s="1"/>
  <c r="W31" i="34"/>
  <c r="S11" i="36"/>
  <c r="AB46" i="34"/>
  <c r="AB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c r="BA530" i="3"/>
  <c r="BA528" i="3"/>
  <c r="BA526" i="3"/>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BQ539" i="3"/>
  <c r="BL539" i="3" s="1"/>
  <c r="BQ537" i="3"/>
  <c r="BL537" i="3" s="1"/>
  <c r="BQ535" i="3"/>
  <c r="BL535" i="3" s="1"/>
  <c r="AZ535" i="3" s="1"/>
  <c r="BQ533" i="3"/>
  <c r="BL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H42" i="33"/>
  <c r="AB42" i="33" s="1"/>
  <c r="J43" i="33"/>
  <c r="AC43" i="33" s="1"/>
  <c r="S28" i="31"/>
  <c r="U14" i="40"/>
  <c r="W23" i="35"/>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F61" i="43"/>
  <c r="H64" i="43" s="1"/>
  <c r="G64" i="43" s="1"/>
  <c r="BL549" i="3"/>
  <c r="AZ549" i="3" s="1"/>
  <c r="AZ494" i="3"/>
  <c r="AZ514" i="3"/>
  <c r="AZ522" i="3"/>
  <c r="AZ530"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H44" i="34"/>
  <c r="U44" i="34" s="1"/>
  <c r="AC38" i="39"/>
  <c r="F39" i="39"/>
  <c r="J39" i="39"/>
  <c r="AC39" i="39" s="1"/>
  <c r="E96" i="39"/>
  <c r="F96" i="39" s="1"/>
  <c r="G96" i="39" s="1"/>
  <c r="C40" i="11"/>
  <c r="AZ251" i="3"/>
  <c r="F23" i="39"/>
  <c r="AA23" i="39" s="1"/>
  <c r="H27" i="36"/>
  <c r="U27" i="36" s="1"/>
  <c r="F27" i="36"/>
  <c r="AA27" i="36" s="1"/>
  <c r="H33" i="34"/>
  <c r="U33" i="34" s="1"/>
  <c r="F32" i="37"/>
  <c r="AA32" i="37" s="1"/>
  <c r="G96" i="37"/>
  <c r="H96" i="37"/>
  <c r="I96" i="37" s="1"/>
  <c r="J96" i="37" s="1"/>
  <c r="K96" i="37" s="1"/>
  <c r="L96" i="37" s="1"/>
  <c r="M96" i="37" s="1"/>
  <c r="F20" i="36"/>
  <c r="AA20" i="36" s="1"/>
  <c r="J33" i="34"/>
  <c r="H23" i="39"/>
  <c r="U23" i="39" s="1"/>
  <c r="K9" i="1"/>
  <c r="M9" i="1" s="1"/>
  <c r="G29" i="6"/>
  <c r="AC26" i="33"/>
  <c r="W26" i="33"/>
  <c r="AB34" i="36"/>
  <c r="U34" i="36"/>
  <c r="AC12" i="39"/>
  <c r="W12" i="39"/>
  <c r="AC39" i="40"/>
  <c r="W39" i="40"/>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C42" i="34"/>
  <c r="U39" i="34"/>
  <c r="AA45" i="34"/>
  <c r="AA25" i="34"/>
  <c r="U28"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U25" i="33" s="1"/>
  <c r="F25" i="33"/>
  <c r="AA25" i="33" s="1"/>
  <c r="J23" i="33"/>
  <c r="AC23" i="33" s="1"/>
  <c r="F85" i="33"/>
  <c r="H23" i="33"/>
  <c r="AB23" i="33" s="1"/>
  <c r="F81" i="33"/>
  <c r="G81" i="33" s="1"/>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12" i="33"/>
  <c r="AA12" i="33"/>
  <c r="J32" i="39"/>
  <c r="W32" i="39" s="1"/>
  <c r="H32" i="39"/>
  <c r="AB32" i="39" s="1"/>
  <c r="AA32" i="39"/>
  <c r="S32" i="39"/>
  <c r="U21" i="39"/>
  <c r="AA21" i="39"/>
  <c r="S21" i="39"/>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W32" i="33"/>
  <c r="U27" i="33"/>
  <c r="J27" i="33"/>
  <c r="AC27" i="33" s="1"/>
  <c r="AB25" i="33"/>
  <c r="S25" i="33"/>
  <c r="G87" i="33"/>
  <c r="H87" i="33"/>
  <c r="I87" i="33" s="1"/>
  <c r="J87" i="33" s="1"/>
  <c r="K87" i="33" s="1"/>
  <c r="L87" i="33" s="1"/>
  <c r="M87" i="33" s="1"/>
  <c r="J25" i="33"/>
  <c r="AC25" i="33" s="1"/>
  <c r="F23" i="33"/>
  <c r="G85" i="33"/>
  <c r="H19" i="33"/>
  <c r="U19" i="33" s="1"/>
  <c r="H17" i="33"/>
  <c r="U17" i="33" s="1"/>
  <c r="F17" i="33"/>
  <c r="S17" i="33" s="1"/>
  <c r="W17" i="33"/>
  <c r="AB15" i="21"/>
  <c r="J23" i="21"/>
  <c r="AC23" i="21" s="1"/>
  <c r="F85" i="21"/>
  <c r="G85" i="21" s="1"/>
  <c r="H23" i="21"/>
  <c r="S13" i="21"/>
  <c r="AP7" i="1"/>
  <c r="AB45" i="21"/>
  <c r="W9" i="21"/>
  <c r="AC9" i="21"/>
  <c r="U32" i="39"/>
  <c r="W23" i="37"/>
  <c r="J63" i="37"/>
  <c r="K63" i="37" s="1"/>
  <c r="L63" i="37" s="1"/>
  <c r="M63" i="37" s="1"/>
  <c r="J11" i="37"/>
  <c r="AC11" i="37" s="1"/>
  <c r="H70" i="34"/>
  <c r="I70" i="34" s="1"/>
  <c r="J70" i="34" s="1"/>
  <c r="K70" i="34" s="1"/>
  <c r="L70" i="34" s="1"/>
  <c r="M70" i="34"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F37" i="15"/>
  <c r="F26" i="67"/>
  <c r="F7" i="73"/>
  <c r="B8" i="76"/>
  <c r="C76" i="15"/>
  <c r="M9" i="15"/>
  <c r="E8" i="76"/>
  <c r="F3" i="73"/>
  <c r="F26" i="15"/>
  <c r="E9" i="76"/>
  <c r="AO13" i="1"/>
  <c r="M26" i="15"/>
  <c r="M23" i="67"/>
  <c r="E13" i="76"/>
  <c r="F43" i="15"/>
  <c r="J15" i="67"/>
  <c r="F6" i="73"/>
  <c r="E7" i="76"/>
  <c r="F8" i="67"/>
  <c r="L47" i="15"/>
  <c r="B10" i="76"/>
  <c r="M9" i="67"/>
  <c r="M26" i="67"/>
  <c r="L48" i="15"/>
  <c r="F13" i="15"/>
  <c r="C76" i="67"/>
  <c r="F38" i="67"/>
  <c r="B13" i="76"/>
  <c r="E10" i="76"/>
  <c r="F8" i="15"/>
  <c r="J15" i="15"/>
  <c r="F37" i="67"/>
  <c r="E2" i="69"/>
  <c r="E12" i="76"/>
  <c r="B12" i="76"/>
  <c r="F20" i="31"/>
  <c r="F13" i="67"/>
  <c r="M8" i="15"/>
  <c r="B11" i="76"/>
  <c r="E11" i="76"/>
  <c r="E2" i="68"/>
  <c r="F5" i="73"/>
  <c r="M24" i="67"/>
  <c r="F7" i="15"/>
  <c r="F16" i="67"/>
  <c r="D6" i="73"/>
  <c r="F40" i="15"/>
  <c r="B9" i="76"/>
  <c r="M28" i="67"/>
  <c r="F42" i="15"/>
  <c r="B7" i="76"/>
  <c r="F36" i="67"/>
  <c r="F40" i="67"/>
  <c r="M8" i="67"/>
  <c r="F16" i="15"/>
  <c r="F4" i="73"/>
  <c r="W8" i="34" l="1"/>
  <c r="AB8" i="34"/>
  <c r="F6" i="1"/>
  <c r="K6" i="1"/>
  <c r="A2" i="9"/>
  <c r="W23" i="21"/>
  <c r="AA17" i="33"/>
  <c r="U32" i="21"/>
  <c r="S32" i="21"/>
  <c r="W27" i="33"/>
  <c r="S37" i="21"/>
  <c r="U23" i="33"/>
  <c r="AC17" i="37"/>
  <c r="S23" i="39"/>
  <c r="S32" i="37"/>
  <c r="AZ369" i="3"/>
  <c r="AZ304" i="3"/>
  <c r="AZ394" i="3"/>
  <c r="AZ341" i="3"/>
  <c r="M64" i="43"/>
  <c r="N64" i="43" s="1"/>
  <c r="K64" i="43"/>
  <c r="J64" i="43" s="1"/>
  <c r="AC12" i="37"/>
  <c r="AZ515" i="3"/>
  <c r="AZ569" i="3"/>
  <c r="AZ526" i="3"/>
  <c r="AB27" i="40"/>
  <c r="AZ373" i="3"/>
  <c r="AZ362" i="3"/>
  <c r="AZ357" i="3"/>
  <c r="AZ390" i="3"/>
  <c r="AZ351" i="3"/>
  <c r="AZ497" i="3"/>
  <c r="AZ505" i="3"/>
  <c r="AZ533" i="3"/>
  <c r="AZ541" i="3"/>
  <c r="AZ558" i="3"/>
  <c r="AZ566" i="3"/>
  <c r="AZ582" i="3"/>
  <c r="AZ540" i="3"/>
  <c r="W12" i="40"/>
  <c r="AC12" i="40"/>
  <c r="AZ561" i="3"/>
  <c r="S38" i="40"/>
  <c r="AA38" i="40"/>
  <c r="AZ342" i="3"/>
  <c r="AZ305" i="3"/>
  <c r="S45" i="33"/>
  <c r="AA45" i="33"/>
  <c r="U30" i="21"/>
  <c r="AB30" i="21"/>
  <c r="AZ509" i="3"/>
  <c r="AZ503" i="3"/>
  <c r="AZ575" i="3"/>
  <c r="AZ564" i="3"/>
  <c r="AZ580" i="3"/>
  <c r="AB46" i="33"/>
  <c r="B79" i="43"/>
  <c r="F44" i="39"/>
  <c r="J38" i="40"/>
  <c r="BL400" i="3"/>
  <c r="G403" i="3"/>
  <c r="G408" i="3"/>
  <c r="G409" i="3"/>
  <c r="BL412" i="3"/>
  <c r="G413" i="3"/>
  <c r="G419" i="3"/>
  <c r="BA419" i="3"/>
  <c r="BA422" i="3"/>
  <c r="BA424" i="3"/>
  <c r="BL427" i="3"/>
  <c r="G429" i="3"/>
  <c r="G430" i="3"/>
  <c r="BL433" i="3"/>
  <c r="BL434" i="3"/>
  <c r="G436" i="3"/>
  <c r="G437" i="3"/>
  <c r="BA444" i="3"/>
  <c r="AZ444" i="3" s="1"/>
  <c r="BL444" i="3"/>
  <c r="G446" i="3"/>
  <c r="G447" i="3"/>
  <c r="BA466" i="3"/>
  <c r="AZ560" i="3"/>
  <c r="F30" i="21"/>
  <c r="F23" i="35"/>
  <c r="H12" i="35"/>
  <c r="H23" i="35"/>
  <c r="J23" i="36"/>
  <c r="BL399" i="3"/>
  <c r="G400" i="3"/>
  <c r="BA402" i="3"/>
  <c r="AZ402" i="3" s="1"/>
  <c r="G407" i="3"/>
  <c r="BL408" i="3"/>
  <c r="BA413" i="3"/>
  <c r="BL416" i="3"/>
  <c r="G417" i="3"/>
  <c r="BL417" i="3"/>
  <c r="BL418" i="3"/>
  <c r="BL420" i="3"/>
  <c r="G422" i="3"/>
  <c r="BA431" i="3"/>
  <c r="BL431" i="3"/>
  <c r="G433" i="3"/>
  <c r="BL440" i="3"/>
  <c r="G444" i="3"/>
  <c r="AZ400" i="3"/>
  <c r="AZ406" i="3"/>
  <c r="G459" i="3"/>
  <c r="BA464" i="3"/>
  <c r="AZ499" i="3"/>
  <c r="AZ521" i="3"/>
  <c r="AZ525" i="3"/>
  <c r="AZ577" i="3"/>
  <c r="AZ504" i="3"/>
  <c r="AZ520" i="3"/>
  <c r="AZ528" i="3"/>
  <c r="AZ544" i="3"/>
  <c r="AZ554" i="3"/>
  <c r="AZ584" i="3"/>
  <c r="F14" i="21"/>
  <c r="F17" i="34"/>
  <c r="AA17" i="34" s="1"/>
  <c r="H17" i="34"/>
  <c r="U17" i="34" s="1"/>
  <c r="S40" i="39"/>
  <c r="H39" i="37"/>
  <c r="U33" i="33"/>
  <c r="U9" i="39"/>
  <c r="F23" i="36"/>
  <c r="A15" i="62"/>
  <c r="B61" i="72" s="1"/>
  <c r="G399" i="3"/>
  <c r="BL409" i="3"/>
  <c r="BL413" i="3"/>
  <c r="G416" i="3"/>
  <c r="BA420" i="3"/>
  <c r="BL423" i="3"/>
  <c r="BL438" i="3"/>
  <c r="BL439" i="3"/>
  <c r="BA443" i="3"/>
  <c r="BL447" i="3"/>
  <c r="BL455" i="3"/>
  <c r="BA451" i="3"/>
  <c r="G463" i="3"/>
  <c r="BA463" i="3"/>
  <c r="BL467" i="3"/>
  <c r="BL468" i="3"/>
  <c r="BL470" i="3"/>
  <c r="BA485" i="3"/>
  <c r="BL488" i="3"/>
  <c r="BL314" i="3"/>
  <c r="AZ314" i="3" s="1"/>
  <c r="BA386" i="3"/>
  <c r="AZ386" i="3" s="1"/>
  <c r="G392" i="3"/>
  <c r="BL395" i="3"/>
  <c r="G397" i="3"/>
  <c r="BL211" i="3"/>
  <c r="BA214" i="3"/>
  <c r="BA216" i="3"/>
  <c r="AZ216" i="3" s="1"/>
  <c r="G218" i="3"/>
  <c r="BA220" i="3"/>
  <c r="BL222" i="3"/>
  <c r="BL223" i="3"/>
  <c r="G224" i="3"/>
  <c r="G226" i="3"/>
  <c r="BA233" i="3"/>
  <c r="BL235" i="3"/>
  <c r="AZ235" i="3" s="1"/>
  <c r="BL236" i="3"/>
  <c r="G237" i="3"/>
  <c r="BL242" i="3"/>
  <c r="BL243" i="3"/>
  <c r="G244" i="3"/>
  <c r="G249" i="3"/>
  <c r="BA250" i="3"/>
  <c r="G253" i="3"/>
  <c r="BA260" i="3"/>
  <c r="G266" i="3"/>
  <c r="BL269" i="3"/>
  <c r="G271" i="3"/>
  <c r="BA278" i="3"/>
  <c r="AZ278" i="3" s="1"/>
  <c r="BL280" i="3"/>
  <c r="BL289" i="3"/>
  <c r="G290" i="3"/>
  <c r="G291" i="3"/>
  <c r="G302" i="3"/>
  <c r="BA302" i="3"/>
  <c r="BA116" i="3"/>
  <c r="AZ116" i="3" s="1"/>
  <c r="BA121" i="3"/>
  <c r="AZ121" i="3" s="1"/>
  <c r="BL121" i="3"/>
  <c r="BA125" i="3"/>
  <c r="BL127" i="3"/>
  <c r="AZ127" i="3" s="1"/>
  <c r="G128" i="3"/>
  <c r="BA129" i="3"/>
  <c r="G449" i="3"/>
  <c r="BL449" i="3"/>
  <c r="BL450" i="3"/>
  <c r="BL452" i="3"/>
  <c r="G454" i="3"/>
  <c r="G455" i="3"/>
  <c r="BL469" i="3"/>
  <c r="AZ469" i="3" s="1"/>
  <c r="G470" i="3"/>
  <c r="BA473" i="3"/>
  <c r="G477" i="3"/>
  <c r="BL487" i="3"/>
  <c r="G492" i="3"/>
  <c r="BA303" i="3"/>
  <c r="AZ303" i="3" s="1"/>
  <c r="BA307" i="3"/>
  <c r="AZ307" i="3" s="1"/>
  <c r="BA319" i="3"/>
  <c r="AZ319" i="3" s="1"/>
  <c r="BA332" i="3"/>
  <c r="AZ332" i="3" s="1"/>
  <c r="BL332" i="3"/>
  <c r="G339" i="3"/>
  <c r="G343" i="3"/>
  <c r="G347" i="3"/>
  <c r="BL359" i="3"/>
  <c r="AZ359" i="3" s="1"/>
  <c r="G364" i="3"/>
  <c r="BA367" i="3"/>
  <c r="AZ367" i="3" s="1"/>
  <c r="BA370" i="3"/>
  <c r="AZ370" i="3" s="1"/>
  <c r="BA392" i="3"/>
  <c r="AZ392" i="3" s="1"/>
  <c r="G216" i="3"/>
  <c r="BA218" i="3"/>
  <c r="AZ218" i="3" s="1"/>
  <c r="BL218" i="3"/>
  <c r="BL220" i="3"/>
  <c r="BL221" i="3"/>
  <c r="G222" i="3"/>
  <c r="BA225" i="3"/>
  <c r="BA227" i="3"/>
  <c r="AZ227" i="3" s="1"/>
  <c r="G229" i="3"/>
  <c r="BA231" i="3"/>
  <c r="BL233" i="3"/>
  <c r="G235" i="3"/>
  <c r="BA249" i="3"/>
  <c r="BL249" i="3"/>
  <c r="BL252" i="3"/>
  <c r="BA253" i="3"/>
  <c r="G258" i="3"/>
  <c r="BL262" i="3"/>
  <c r="BL263" i="3"/>
  <c r="G264" i="3"/>
  <c r="BL273" i="3"/>
  <c r="G274" i="3"/>
  <c r="BA275" i="3"/>
  <c r="G279" i="3"/>
  <c r="G283" i="3"/>
  <c r="BA288" i="3"/>
  <c r="G289" i="3"/>
  <c r="BA293" i="3"/>
  <c r="BL293" i="3"/>
  <c r="BL294" i="3"/>
  <c r="BA297" i="3"/>
  <c r="AZ297" i="3" s="1"/>
  <c r="BL297" i="3"/>
  <c r="BA301" i="3"/>
  <c r="BL122" i="3"/>
  <c r="G123" i="3"/>
  <c r="BA124" i="3"/>
  <c r="AZ124" i="3" s="1"/>
  <c r="G127" i="3"/>
  <c r="G135" i="3"/>
  <c r="BL139" i="3"/>
  <c r="AZ139" i="3" s="1"/>
  <c r="G140" i="3"/>
  <c r="BL141" i="3"/>
  <c r="BL143" i="3"/>
  <c r="AZ143" i="3" s="1"/>
  <c r="BL154" i="3"/>
  <c r="G156" i="3"/>
  <c r="D59" i="71"/>
  <c r="C60" i="71"/>
  <c r="BL473" i="3"/>
  <c r="BL474" i="3"/>
  <c r="G475" i="3"/>
  <c r="BL479" i="3"/>
  <c r="G481" i="3"/>
  <c r="BA482" i="3"/>
  <c r="BA484" i="3"/>
  <c r="AZ484" i="3" s="1"/>
  <c r="BA487" i="3"/>
  <c r="AZ487" i="3" s="1"/>
  <c r="BL490" i="3"/>
  <c r="G491" i="3"/>
  <c r="BL308" i="3"/>
  <c r="AZ308" i="3" s="1"/>
  <c r="BL316" i="3"/>
  <c r="G329" i="3"/>
  <c r="BL208" i="3"/>
  <c r="G210" i="3"/>
  <c r="BA212" i="3"/>
  <c r="BA217" i="3"/>
  <c r="BL219" i="3"/>
  <c r="G220" i="3"/>
  <c r="G227" i="3"/>
  <c r="BA229" i="3"/>
  <c r="AZ229" i="3" s="1"/>
  <c r="BL229" i="3"/>
  <c r="BL231" i="3"/>
  <c r="G233" i="3"/>
  <c r="G241" i="3"/>
  <c r="BA248" i="3"/>
  <c r="G251" i="3"/>
  <c r="G255" i="3"/>
  <c r="G256" i="3"/>
  <c r="BL260" i="3"/>
  <c r="G262" i="3"/>
  <c r="BL267" i="3"/>
  <c r="G268" i="3"/>
  <c r="BA270" i="3"/>
  <c r="G273" i="3"/>
  <c r="BA286" i="3"/>
  <c r="AZ286" i="3" s="1"/>
  <c r="BL286" i="3"/>
  <c r="G126" i="3"/>
  <c r="BA133" i="3"/>
  <c r="G134" i="3"/>
  <c r="BL135" i="3"/>
  <c r="AZ135" i="3" s="1"/>
  <c r="G143" i="3"/>
  <c r="G150" i="3"/>
  <c r="G154" i="3"/>
  <c r="G164" i="3"/>
  <c r="BL133" i="3"/>
  <c r="G136" i="3"/>
  <c r="BA145" i="3"/>
  <c r="G146" i="3"/>
  <c r="G159" i="3"/>
  <c r="BL163" i="3"/>
  <c r="AZ163" i="3" s="1"/>
  <c r="BL169" i="3"/>
  <c r="G170" i="3"/>
  <c r="BA177" i="3"/>
  <c r="BL179" i="3"/>
  <c r="AZ179" i="3" s="1"/>
  <c r="G180" i="3"/>
  <c r="BL183" i="3"/>
  <c r="AZ183" i="3" s="1"/>
  <c r="BA186" i="3"/>
  <c r="AZ186" i="3" s="1"/>
  <c r="BA190" i="3"/>
  <c r="BL198" i="3"/>
  <c r="G199" i="3"/>
  <c r="BL201" i="3"/>
  <c r="BL203" i="3"/>
  <c r="AZ203" i="3" s="1"/>
  <c r="BA204" i="3"/>
  <c r="AZ204" i="3" s="1"/>
  <c r="BA18" i="3"/>
  <c r="G21" i="3"/>
  <c r="BL21" i="3"/>
  <c r="G23" i="3"/>
  <c r="G26" i="3"/>
  <c r="G27" i="3"/>
  <c r="BA36" i="3"/>
  <c r="BL38" i="3"/>
  <c r="BA39" i="3"/>
  <c r="G42" i="3"/>
  <c r="BA43" i="3"/>
  <c r="BA47" i="3"/>
  <c r="AZ47" i="3" s="1"/>
  <c r="BL52" i="3"/>
  <c r="BA53" i="3"/>
  <c r="BA54" i="3"/>
  <c r="G56" i="3"/>
  <c r="BL64" i="3"/>
  <c r="G65" i="3"/>
  <c r="BL76" i="3"/>
  <c r="BA78" i="3"/>
  <c r="BL82" i="3"/>
  <c r="BL83" i="3"/>
  <c r="G86" i="3"/>
  <c r="BA89" i="3"/>
  <c r="G98" i="3"/>
  <c r="G102" i="3"/>
  <c r="G103" i="3"/>
  <c r="BA103" i="3"/>
  <c r="AZ103" i="3" s="1"/>
  <c r="G110" i="3"/>
  <c r="W29" i="39"/>
  <c r="C29" i="39"/>
  <c r="C63" i="71"/>
  <c r="E67" i="71"/>
  <c r="Y26" i="71"/>
  <c r="Z26" i="71" s="1"/>
  <c r="AB36" i="71"/>
  <c r="AA37" i="71"/>
  <c r="Y38" i="71"/>
  <c r="Z38" i="71" s="1"/>
  <c r="E47" i="71"/>
  <c r="E48" i="71" s="1"/>
  <c r="U48" i="71" s="1"/>
  <c r="C23" i="71"/>
  <c r="BL161" i="3"/>
  <c r="G163" i="3"/>
  <c r="BL173" i="3"/>
  <c r="BL177" i="3"/>
  <c r="G179" i="3"/>
  <c r="G183" i="3"/>
  <c r="BA189" i="3"/>
  <c r="G192" i="3"/>
  <c r="G206" i="3"/>
  <c r="BA207" i="3"/>
  <c r="G20" i="3"/>
  <c r="BL24" i="3"/>
  <c r="BA30" i="3"/>
  <c r="G41" i="3"/>
  <c r="BL44" i="3"/>
  <c r="G45" i="3"/>
  <c r="G51" i="3"/>
  <c r="BA52" i="3"/>
  <c r="BL62" i="3"/>
  <c r="BL63" i="3"/>
  <c r="G70" i="3"/>
  <c r="BL74" i="3"/>
  <c r="G75" i="3"/>
  <c r="BL75" i="3"/>
  <c r="BL79" i="3"/>
  <c r="BL81" i="3"/>
  <c r="BA82" i="3"/>
  <c r="AZ82" i="3" s="1"/>
  <c r="BL100" i="3"/>
  <c r="BA106" i="3"/>
  <c r="BL108" i="3"/>
  <c r="AC18" i="35"/>
  <c r="B57" i="43"/>
  <c r="C7" i="21"/>
  <c r="C58" i="21" s="1"/>
  <c r="D58" i="21" s="1"/>
  <c r="C7" i="83"/>
  <c r="Q68" i="71"/>
  <c r="F35" i="71"/>
  <c r="F36" i="71" s="1"/>
  <c r="V36" i="71" s="1"/>
  <c r="F38" i="71"/>
  <c r="F39" i="71" s="1"/>
  <c r="AA38" i="71"/>
  <c r="B51" i="71"/>
  <c r="B52" i="71" s="1"/>
  <c r="S52" i="71" s="1"/>
  <c r="S68" i="71"/>
  <c r="V68" i="71"/>
  <c r="F71" i="71"/>
  <c r="F70" i="71" s="1"/>
  <c r="B22" i="71"/>
  <c r="B21" i="71" s="1"/>
  <c r="B20" i="71" s="1"/>
  <c r="BA156" i="3"/>
  <c r="AZ156" i="3" s="1"/>
  <c r="BL157" i="3"/>
  <c r="AZ157" i="3" s="1"/>
  <c r="BL159" i="3"/>
  <c r="AZ159" i="3" s="1"/>
  <c r="BL170" i="3"/>
  <c r="BL181" i="3"/>
  <c r="BA201" i="3"/>
  <c r="AZ201" i="3" s="1"/>
  <c r="G205" i="3"/>
  <c r="BA25" i="3"/>
  <c r="BL34" i="3"/>
  <c r="BA40" i="3"/>
  <c r="BA55" i="3"/>
  <c r="BA62" i="3"/>
  <c r="AZ62" i="3" s="1"/>
  <c r="BA65" i="3"/>
  <c r="BL65" i="3"/>
  <c r="BL66" i="3"/>
  <c r="BL86" i="3"/>
  <c r="G88" i="3"/>
  <c r="BL91" i="3"/>
  <c r="BA94" i="3"/>
  <c r="BA97" i="3"/>
  <c r="BL103" i="3"/>
  <c r="BA104" i="3"/>
  <c r="BL110" i="3"/>
  <c r="BL111" i="3"/>
  <c r="AC21" i="33"/>
  <c r="P27" i="6"/>
  <c r="Y29" i="71"/>
  <c r="Z29" i="71" s="1"/>
  <c r="C31" i="71"/>
  <c r="X25" i="71"/>
  <c r="AA35" i="71"/>
  <c r="Y35" i="71"/>
  <c r="Z35" i="71" s="1"/>
  <c r="X36" i="71"/>
  <c r="B63" i="71"/>
  <c r="B64" i="71" s="1"/>
  <c r="S64" i="71" s="1"/>
  <c r="F86" i="34"/>
  <c r="G86" i="34" s="1"/>
  <c r="J23" i="34"/>
  <c r="F23" i="34"/>
  <c r="S23" i="34" s="1"/>
  <c r="H23" i="34"/>
  <c r="U23" i="34" s="1"/>
  <c r="F82" i="34"/>
  <c r="G82" i="34" s="1"/>
  <c r="H19" i="34"/>
  <c r="F19" i="34"/>
  <c r="J19" i="34"/>
  <c r="AC17" i="34"/>
  <c r="F78" i="34"/>
  <c r="G78" i="34" s="1"/>
  <c r="H15" i="34"/>
  <c r="AB15" i="34" s="1"/>
  <c r="J15" i="34"/>
  <c r="F15" i="34"/>
  <c r="AA15" i="34" s="1"/>
  <c r="AC44" i="34"/>
  <c r="F124" i="34"/>
  <c r="G124" i="34" s="1"/>
  <c r="H124" i="34" s="1"/>
  <c r="I124" i="34" s="1"/>
  <c r="J124" i="34" s="1"/>
  <c r="K124" i="34" s="1"/>
  <c r="L124" i="34" s="1"/>
  <c r="M124" i="34" s="1"/>
  <c r="H43" i="34"/>
  <c r="F43" i="34"/>
  <c r="AA43" i="34" s="1"/>
  <c r="S37" i="34"/>
  <c r="AA44" i="34"/>
  <c r="AB35" i="34"/>
  <c r="S35" i="34"/>
  <c r="W27" i="34"/>
  <c r="U21" i="34"/>
  <c r="AB41" i="34"/>
  <c r="W41" i="34"/>
  <c r="W40" i="34"/>
  <c r="AC39" i="34"/>
  <c r="S36" i="34"/>
  <c r="AB36" i="34"/>
  <c r="AC36" i="34"/>
  <c r="AB33" i="34"/>
  <c r="AA33" i="34"/>
  <c r="U27" i="34"/>
  <c r="B41" i="1"/>
  <c r="F48" i="9" s="1"/>
  <c r="O52" i="9" s="1"/>
  <c r="D93" i="9"/>
  <c r="C21" i="68"/>
  <c r="E19" i="11"/>
  <c r="D23" i="15"/>
  <c r="D22" i="15"/>
  <c r="M47" i="9"/>
  <c r="C7" i="35"/>
  <c r="C48" i="35" s="1"/>
  <c r="D48" i="35" s="1"/>
  <c r="C7" i="34"/>
  <c r="C7" i="37"/>
  <c r="C52" i="37" s="1"/>
  <c r="D52" i="37" s="1"/>
  <c r="C7" i="40"/>
  <c r="C63" i="40" s="1"/>
  <c r="C65" i="40" s="1"/>
  <c r="C7" i="39"/>
  <c r="C67" i="39" s="1"/>
  <c r="C69" i="39" s="1"/>
  <c r="U36" i="33"/>
  <c r="AB36" i="33"/>
  <c r="AC15" i="21"/>
  <c r="W15" i="21"/>
  <c r="S19" i="33"/>
  <c r="AA19" i="33"/>
  <c r="S23" i="37"/>
  <c r="AA23" i="37"/>
  <c r="AC33" i="34"/>
  <c r="W33" i="34"/>
  <c r="AB19" i="33"/>
  <c r="AC32" i="39"/>
  <c r="AA23" i="21"/>
  <c r="S23" i="21"/>
  <c r="AA36" i="33"/>
  <c r="S36" i="33"/>
  <c r="AA30" i="40"/>
  <c r="S30" i="40"/>
  <c r="W25" i="33"/>
  <c r="AB9" i="21"/>
  <c r="D121" i="9"/>
  <c r="D7" i="52" s="1"/>
  <c r="D6" i="52"/>
  <c r="S39" i="39"/>
  <c r="AA39" i="39"/>
  <c r="S40" i="34"/>
  <c r="AA40" i="34"/>
  <c r="AB26" i="37"/>
  <c r="U26" i="37"/>
  <c r="W27" i="40"/>
  <c r="U32" i="37"/>
  <c r="AZ14" i="3"/>
  <c r="AZ345" i="3"/>
  <c r="AZ372" i="3"/>
  <c r="AZ347" i="3"/>
  <c r="AZ337" i="3"/>
  <c r="AZ376" i="3"/>
  <c r="AZ309" i="3"/>
  <c r="AA11" i="39"/>
  <c r="AZ523" i="3"/>
  <c r="AZ547" i="3"/>
  <c r="AZ571" i="3"/>
  <c r="AZ579" i="3"/>
  <c r="J27" i="21"/>
  <c r="F27" i="21"/>
  <c r="J12" i="34"/>
  <c r="H12" i="34"/>
  <c r="F12" i="34"/>
  <c r="S12" i="34" s="1"/>
  <c r="H25" i="37"/>
  <c r="F25" i="37"/>
  <c r="U8" i="39"/>
  <c r="AB8" i="39"/>
  <c r="AZ539" i="3"/>
  <c r="AZ529" i="3"/>
  <c r="AZ537" i="3"/>
  <c r="AZ518" i="3"/>
  <c r="AZ546" i="3"/>
  <c r="AZ585" i="3"/>
  <c r="AC11" i="35"/>
  <c r="BL585" i="3"/>
  <c r="B72" i="43"/>
  <c r="C15" i="39"/>
  <c r="B75" i="43"/>
  <c r="H33" i="36"/>
  <c r="J33" i="36"/>
  <c r="AC33" i="36" s="1"/>
  <c r="AB31" i="36"/>
  <c r="U31" i="36"/>
  <c r="S9" i="40"/>
  <c r="AA9" i="40"/>
  <c r="AC20" i="36"/>
  <c r="AC11" i="39"/>
  <c r="F29" i="6"/>
  <c r="AZ391" i="3"/>
  <c r="AZ318" i="3"/>
  <c r="AZ364" i="3"/>
  <c r="AZ329" i="3"/>
  <c r="AZ306" i="3"/>
  <c r="AZ513" i="3"/>
  <c r="AZ502" i="3"/>
  <c r="F26" i="33"/>
  <c r="H26" i="33"/>
  <c r="J43" i="39"/>
  <c r="H43" i="39"/>
  <c r="AA25" i="21"/>
  <c r="AZ519" i="3"/>
  <c r="AZ531" i="3"/>
  <c r="AZ573" i="3"/>
  <c r="AZ583" i="3"/>
  <c r="AZ568" i="3"/>
  <c r="AZ576" i="3"/>
  <c r="AA14" i="34"/>
  <c r="AA14" i="37"/>
  <c r="F9" i="34"/>
  <c r="AA9" i="34" s="1"/>
  <c r="J9" i="34"/>
  <c r="AB34" i="40"/>
  <c r="U34" i="40"/>
  <c r="AZ419" i="3"/>
  <c r="BL398" i="3"/>
  <c r="G402" i="3"/>
  <c r="BL403" i="3"/>
  <c r="G406" i="3"/>
  <c r="BA408" i="3"/>
  <c r="AZ408" i="3" s="1"/>
  <c r="BA409" i="3"/>
  <c r="AZ409" i="3" s="1"/>
  <c r="BA411" i="3"/>
  <c r="AZ411" i="3" s="1"/>
  <c r="BL414" i="3"/>
  <c r="BL415" i="3"/>
  <c r="BA417" i="3"/>
  <c r="AZ417" i="3" s="1"/>
  <c r="BL421" i="3"/>
  <c r="BL422" i="3"/>
  <c r="AZ422" i="3" s="1"/>
  <c r="BL425" i="3"/>
  <c r="BL426" i="3"/>
  <c r="BA428" i="3"/>
  <c r="BA429" i="3"/>
  <c r="BA430" i="3"/>
  <c r="AZ430" i="3" s="1"/>
  <c r="BA432" i="3"/>
  <c r="BA434" i="3"/>
  <c r="BA436" i="3"/>
  <c r="AZ436" i="3" s="1"/>
  <c r="BA438" i="3"/>
  <c r="G441" i="3"/>
  <c r="BL441" i="3"/>
  <c r="BL442" i="3"/>
  <c r="AZ442" i="3" s="1"/>
  <c r="BA445" i="3"/>
  <c r="BA447" i="3"/>
  <c r="AZ447" i="3" s="1"/>
  <c r="G448" i="3"/>
  <c r="BL448" i="3"/>
  <c r="AZ448" i="3" s="1"/>
  <c r="G450" i="3"/>
  <c r="AZ451" i="3"/>
  <c r="BA452" i="3"/>
  <c r="BA458" i="3"/>
  <c r="AZ458" i="3" s="1"/>
  <c r="G466"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BL437" i="3"/>
  <c r="AZ437" i="3" s="1"/>
  <c r="G439" i="3"/>
  <c r="BA441" i="3"/>
  <c r="BA456" i="3"/>
  <c r="BA462" i="3"/>
  <c r="AZ462" i="3" s="1"/>
  <c r="BL465" i="3"/>
  <c r="G585" i="3"/>
  <c r="BL587" i="3"/>
  <c r="AZ587" i="3" s="1"/>
  <c r="BL586" i="3"/>
  <c r="AZ586" i="3" s="1"/>
  <c r="G574" i="3"/>
  <c r="BL16" i="3"/>
  <c r="AZ16" i="3" s="1"/>
  <c r="BA401" i="3"/>
  <c r="BA403" i="3"/>
  <c r="BA404" i="3"/>
  <c r="BA405" i="3"/>
  <c r="AZ405" i="3" s="1"/>
  <c r="BL410" i="3"/>
  <c r="G412" i="3"/>
  <c r="G418" i="3"/>
  <c r="W31" i="40"/>
  <c r="S31" i="35"/>
  <c r="F39" i="37"/>
  <c r="S39" i="37" s="1"/>
  <c r="J44" i="39"/>
  <c r="G587" i="3"/>
  <c r="J12" i="35"/>
  <c r="BA551" i="3"/>
  <c r="AZ551" i="3" s="1"/>
  <c r="BA550" i="3"/>
  <c r="BL548" i="3"/>
  <c r="AZ548" i="3" s="1"/>
  <c r="G423" i="3"/>
  <c r="BL424" i="3"/>
  <c r="G427" i="3"/>
  <c r="BL428" i="3"/>
  <c r="BL429" i="3"/>
  <c r="BL432" i="3"/>
  <c r="BL435" i="3"/>
  <c r="BL436" i="3"/>
  <c r="BA439" i="3"/>
  <c r="BA440" i="3"/>
  <c r="AZ440" i="3" s="1"/>
  <c r="AZ443" i="3"/>
  <c r="BL445" i="3"/>
  <c r="BL446" i="3"/>
  <c r="G442" i="3"/>
  <c r="G443" i="3"/>
  <c r="BA446" i="3"/>
  <c r="BA450" i="3"/>
  <c r="BA453" i="3"/>
  <c r="BA455" i="3"/>
  <c r="AZ455" i="3" s="1"/>
  <c r="BL457" i="3"/>
  <c r="BL460" i="3"/>
  <c r="BL461" i="3"/>
  <c r="BL463" i="3"/>
  <c r="AZ463" i="3" s="1"/>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AZ277" i="3" s="1"/>
  <c r="BL277" i="3"/>
  <c r="BA280" i="3"/>
  <c r="AZ280" i="3" s="1"/>
  <c r="BA283" i="3"/>
  <c r="BA284" i="3"/>
  <c r="AZ284" i="3" s="1"/>
  <c r="BL290" i="3"/>
  <c r="BL291" i="3"/>
  <c r="AZ291" i="3" s="1"/>
  <c r="AZ125" i="3"/>
  <c r="BA454" i="3"/>
  <c r="BA457" i="3"/>
  <c r="BA459" i="3"/>
  <c r="BA460" i="3"/>
  <c r="AZ460" i="3" s="1"/>
  <c r="BA461" i="3"/>
  <c r="AZ461" i="3" s="1"/>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A276" i="3"/>
  <c r="BA296" i="3"/>
  <c r="BA298" i="3"/>
  <c r="AZ298" i="3" s="1"/>
  <c r="AZ476" i="3"/>
  <c r="AZ480" i="3"/>
  <c r="BA274" i="3"/>
  <c r="BL274" i="3"/>
  <c r="BA281" i="3"/>
  <c r="BL283" i="3"/>
  <c r="BL284" i="3"/>
  <c r="G288" i="3"/>
  <c r="BL292" i="3"/>
  <c r="BA294" i="3"/>
  <c r="AZ294" i="3" s="1"/>
  <c r="BL295" i="3"/>
  <c r="G299" i="3"/>
  <c r="BL300" i="3"/>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AZ273" i="3" s="1"/>
  <c r="BA279" i="3"/>
  <c r="G116" i="3"/>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AZ28" i="3" s="1"/>
  <c r="BA31" i="3"/>
  <c r="BA32" i="3"/>
  <c r="G38" i="3"/>
  <c r="BA38" i="3"/>
  <c r="BA41" i="3"/>
  <c r="BA42" i="3"/>
  <c r="G46" i="3"/>
  <c r="G47" i="3"/>
  <c r="BL48" i="3"/>
  <c r="AZ48" i="3" s="1"/>
  <c r="BL54" i="3"/>
  <c r="BL55" i="3"/>
  <c r="AZ55" i="3" s="1"/>
  <c r="G57" i="3"/>
  <c r="G58" i="3"/>
  <c r="BA59" i="3"/>
  <c r="G61" i="3"/>
  <c r="BL61" i="3"/>
  <c r="G64" i="3"/>
  <c r="BA64" i="3"/>
  <c r="AZ64" i="3" s="1"/>
  <c r="BA68" i="3"/>
  <c r="BL70" i="3"/>
  <c r="BL71" i="3"/>
  <c r="C44" i="71"/>
  <c r="D43" i="71"/>
  <c r="C52" i="71"/>
  <c r="D51" i="7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G204" i="3"/>
  <c r="BL206" i="3"/>
  <c r="BA19" i="3"/>
  <c r="G22" i="3"/>
  <c r="G24" i="3"/>
  <c r="G25" i="3"/>
  <c r="BA27" i="3"/>
  <c r="G30" i="3"/>
  <c r="BL30" i="3"/>
  <c r="BL31" i="3"/>
  <c r="G35" i="3"/>
  <c r="G36" i="3"/>
  <c r="G40" i="3"/>
  <c r="BL40" i="3"/>
  <c r="BL41" i="3"/>
  <c r="BL45" i="3"/>
  <c r="BA48" i="3"/>
  <c r="BA49" i="3"/>
  <c r="BA51" i="3"/>
  <c r="BL56" i="3"/>
  <c r="BA58" i="3"/>
  <c r="BL59" i="3"/>
  <c r="BL60" i="3"/>
  <c r="AZ60" i="3" s="1"/>
  <c r="BA61" i="3"/>
  <c r="BL69" i="3"/>
  <c r="BA72" i="3"/>
  <c r="AZ72" i="3" s="1"/>
  <c r="BA73" i="3"/>
  <c r="AZ73" i="3" s="1"/>
  <c r="BA80" i="3"/>
  <c r="BL84" i="3"/>
  <c r="BA90" i="3"/>
  <c r="BL94" i="3"/>
  <c r="AZ94" i="3" s="1"/>
  <c r="C47" i="71"/>
  <c r="D47" i="71" s="1"/>
  <c r="D46" i="71"/>
  <c r="V24" i="71"/>
  <c r="E23" i="71"/>
  <c r="E22" i="71" s="1"/>
  <c r="E21" i="71" s="1"/>
  <c r="E20" i="71" s="1"/>
  <c r="E19" i="71" s="1"/>
  <c r="E18" i="71" s="1"/>
  <c r="E17" i="71" s="1"/>
  <c r="E16" i="71" s="1"/>
  <c r="G29" i="3"/>
  <c r="BL29" i="3"/>
  <c r="AZ29" i="3" s="1"/>
  <c r="BA37" i="3"/>
  <c r="G39" i="3"/>
  <c r="BL39" i="3"/>
  <c r="AZ39" i="3" s="1"/>
  <c r="G43" i="3"/>
  <c r="G44" i="3"/>
  <c r="BA45" i="3"/>
  <c r="AZ45" i="3" s="1"/>
  <c r="BA46" i="3"/>
  <c r="BL49" i="3"/>
  <c r="BL50" i="3"/>
  <c r="AZ50" i="3" s="1"/>
  <c r="BL51" i="3"/>
  <c r="G53" i="3"/>
  <c r="AZ70" i="3"/>
  <c r="D31" i="71"/>
  <c r="C32" i="71"/>
  <c r="C55" i="71"/>
  <c r="D54" i="71"/>
  <c r="N67" i="71"/>
  <c r="B66" i="71"/>
  <c r="F66" i="71"/>
  <c r="Q67" i="71"/>
  <c r="BL301" i="3"/>
  <c r="AZ301" i="3" s="1"/>
  <c r="BL302" i="3"/>
  <c r="AZ302" i="3" s="1"/>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AZ25" i="3"/>
  <c r="AZ52" i="3"/>
  <c r="G67" i="3"/>
  <c r="BL68" i="3"/>
  <c r="BA98" i="3"/>
  <c r="BA69" i="3"/>
  <c r="AZ69" i="3" s="1"/>
  <c r="G72" i="3"/>
  <c r="BL73" i="3"/>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G69" i="43"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AZ78" i="3" s="1"/>
  <c r="BA83" i="3"/>
  <c r="AZ83" i="3" s="1"/>
  <c r="G91" i="3"/>
  <c r="BL95" i="3"/>
  <c r="BL98" i="3"/>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E29" i="6"/>
  <c r="K15" i="1" s="1"/>
  <c r="G30" i="6"/>
  <c r="G31" i="6"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D61" i="43"/>
  <c r="P61" i="15"/>
  <c r="C94" i="9"/>
  <c r="C92" i="9"/>
  <c r="C77" i="9"/>
  <c r="C74" i="9" s="1"/>
  <c r="C21" i="69"/>
  <c r="J84" i="43"/>
  <c r="J85" i="43"/>
  <c r="J86" i="43"/>
  <c r="J87" i="43"/>
  <c r="J88" i="43"/>
  <c r="J89" i="43"/>
  <c r="J90" i="43"/>
  <c r="D83" i="43"/>
  <c r="E83" i="43" s="1"/>
  <c r="B81" i="43" s="1"/>
  <c r="D64" i="43"/>
  <c r="D62" i="43"/>
  <c r="D67"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F50" i="15"/>
  <c r="F51" i="15"/>
  <c r="F71" i="15"/>
  <c r="F66" i="67"/>
  <c r="L59" i="15"/>
  <c r="N59" i="15"/>
  <c r="L58" i="15"/>
  <c r="M59" i="15"/>
  <c r="Q71" i="67"/>
  <c r="C27" i="67"/>
  <c r="C27" i="15"/>
  <c r="F65" i="15"/>
  <c r="B13" i="70"/>
  <c r="F68" i="67"/>
  <c r="F64" i="67"/>
  <c r="F68" i="15"/>
  <c r="C36" i="68"/>
  <c r="D9" i="69"/>
  <c r="D9" i="68"/>
  <c r="M29" i="15"/>
  <c r="C16" i="15"/>
  <c r="F9" i="15"/>
  <c r="F6" i="15"/>
  <c r="D5" i="73"/>
  <c r="D7" i="73"/>
  <c r="M29" i="67"/>
  <c r="M24" i="15"/>
  <c r="F42" i="67"/>
  <c r="M22" i="15"/>
  <c r="D4" i="73"/>
  <c r="L47" i="67"/>
  <c r="F38" i="15"/>
  <c r="F43" i="67"/>
  <c r="F36" i="15"/>
  <c r="M6" i="67"/>
  <c r="M28" i="15"/>
  <c r="F7" i="67"/>
  <c r="D3" i="73"/>
  <c r="M23" i="15"/>
  <c r="M6" i="15"/>
  <c r="M22" i="67"/>
  <c r="L48" i="67"/>
  <c r="AB23" i="34" l="1"/>
  <c r="S17" i="34"/>
  <c r="AB17" i="34"/>
  <c r="S15" i="34"/>
  <c r="D68" i="9"/>
  <c r="M18" i="67"/>
  <c r="F53" i="9"/>
  <c r="L56" i="67"/>
  <c r="J57" i="67"/>
  <c r="J55" i="67" s="1"/>
  <c r="J58" i="67" s="1"/>
  <c r="Q50" i="67" s="1"/>
  <c r="I54" i="67"/>
  <c r="J53" i="67"/>
  <c r="F1" i="67" s="1"/>
  <c r="F50" i="67"/>
  <c r="C49" i="67" s="1"/>
  <c r="M7" i="67"/>
  <c r="M17" i="67" s="1"/>
  <c r="E59" i="40"/>
  <c r="AP6" i="1"/>
  <c r="C36" i="69" s="1"/>
  <c r="M59" i="67"/>
  <c r="N59" i="67"/>
  <c r="L59" i="67"/>
  <c r="Q61" i="67" s="1"/>
  <c r="L58" i="67"/>
  <c r="Q60" i="67" s="1"/>
  <c r="F71" i="67"/>
  <c r="F64" i="15"/>
  <c r="F66" i="15"/>
  <c r="F31" i="15"/>
  <c r="AZ51" i="3"/>
  <c r="C64" i="71"/>
  <c r="D63" i="71"/>
  <c r="D60" i="71"/>
  <c r="T60" i="71"/>
  <c r="AB39" i="37"/>
  <c r="U39" i="37"/>
  <c r="S14" i="21"/>
  <c r="AA14" i="21"/>
  <c r="AA23" i="35"/>
  <c r="S23" i="35"/>
  <c r="M68" i="43"/>
  <c r="N68" i="43" s="1"/>
  <c r="K68" i="43"/>
  <c r="J68" i="43" s="1"/>
  <c r="D68" i="43" s="1"/>
  <c r="K61" i="43"/>
  <c r="J61" i="43" s="1"/>
  <c r="M61" i="43"/>
  <c r="N61" i="43" s="1"/>
  <c r="M66" i="43"/>
  <c r="N66" i="43" s="1"/>
  <c r="K66" i="43"/>
  <c r="K63" i="43"/>
  <c r="M63" i="43"/>
  <c r="N63" i="43" s="1"/>
  <c r="E28" i="6"/>
  <c r="K14" i="1" s="1"/>
  <c r="K16" i="1" s="1"/>
  <c r="AZ98" i="3"/>
  <c r="AZ300" i="3"/>
  <c r="AZ292" i="3"/>
  <c r="AZ213" i="3"/>
  <c r="V20" i="71"/>
  <c r="AZ91" i="3"/>
  <c r="AZ130" i="3"/>
  <c r="AZ38" i="3"/>
  <c r="AZ271" i="3"/>
  <c r="AZ459" i="3"/>
  <c r="AZ283" i="3"/>
  <c r="AZ435" i="3"/>
  <c r="F30" i="68"/>
  <c r="M18" i="15"/>
  <c r="F31" i="12"/>
  <c r="C31" i="12" s="1"/>
  <c r="AZ65" i="3"/>
  <c r="C22" i="71"/>
  <c r="D23" i="71"/>
  <c r="AZ133" i="3"/>
  <c r="AZ249" i="3"/>
  <c r="AA23" i="36"/>
  <c r="S23" i="36"/>
  <c r="AC23" i="36"/>
  <c r="W23" i="36"/>
  <c r="S30" i="21"/>
  <c r="AA30" i="21"/>
  <c r="AC38" i="40"/>
  <c r="W38" i="40"/>
  <c r="J7" i="36"/>
  <c r="K67" i="43"/>
  <c r="J67" i="43" s="1"/>
  <c r="M67" i="43"/>
  <c r="N67" i="43" s="1"/>
  <c r="AZ85" i="3"/>
  <c r="AZ174" i="3"/>
  <c r="AZ264" i="3"/>
  <c r="AZ354" i="3"/>
  <c r="K69" i="43"/>
  <c r="J69" i="43" s="1"/>
  <c r="M69" i="43"/>
  <c r="N69" i="43" s="1"/>
  <c r="AZ169" i="3"/>
  <c r="E7" i="34"/>
  <c r="I7" i="34"/>
  <c r="J7" i="34" s="1"/>
  <c r="W7" i="34" s="1"/>
  <c r="G7" i="34"/>
  <c r="F52" i="9"/>
  <c r="F28" i="67"/>
  <c r="C28" i="67" s="1"/>
  <c r="F30" i="69"/>
  <c r="B19" i="71"/>
  <c r="B18" i="71" s="1"/>
  <c r="B17" i="71" s="1"/>
  <c r="B16" i="71" s="1"/>
  <c r="S20" i="71"/>
  <c r="AZ177" i="3"/>
  <c r="AZ473" i="3"/>
  <c r="AZ233" i="3"/>
  <c r="U23" i="35"/>
  <c r="AB23" i="35"/>
  <c r="AA44" i="39"/>
  <c r="S44" i="39"/>
  <c r="K65" i="43"/>
  <c r="J65" i="43" s="1"/>
  <c r="M65" i="43"/>
  <c r="M62" i="43"/>
  <c r="N62" i="43" s="1"/>
  <c r="K62" i="43"/>
  <c r="J62" i="43" s="1"/>
  <c r="AZ396" i="3"/>
  <c r="AZ232" i="3"/>
  <c r="AZ333" i="3"/>
  <c r="AZ71" i="3"/>
  <c r="AZ198" i="3"/>
  <c r="F32" i="15"/>
  <c r="F60" i="15" s="1"/>
  <c r="F28" i="15"/>
  <c r="C28" i="15" s="1"/>
  <c r="C59" i="83"/>
  <c r="D59" i="83" s="1"/>
  <c r="E59" i="83" s="1"/>
  <c r="F59" i="83" s="1"/>
  <c r="G59" i="83" s="1"/>
  <c r="H59" i="83" s="1"/>
  <c r="I59" i="83" s="1"/>
  <c r="J59" i="83" s="1"/>
  <c r="K59" i="83" s="1"/>
  <c r="L59" i="83" s="1"/>
  <c r="M59" i="83" s="1"/>
  <c r="N59" i="83" s="1"/>
  <c r="O59" i="83" s="1"/>
  <c r="I7" i="83"/>
  <c r="G7" i="83"/>
  <c r="H7" i="83" s="1"/>
  <c r="E7" i="83"/>
  <c r="P67" i="71"/>
  <c r="E66" i="71"/>
  <c r="AZ413" i="3"/>
  <c r="U12" i="35"/>
  <c r="AB12" i="35"/>
  <c r="J43" i="34"/>
  <c r="AC43" i="34" s="1"/>
  <c r="AA23" i="34"/>
  <c r="W23" i="34"/>
  <c r="AC23" i="34"/>
  <c r="AC19" i="34"/>
  <c r="W19" i="34"/>
  <c r="AA19" i="34"/>
  <c r="S19" i="34"/>
  <c r="AB19" i="34"/>
  <c r="U19" i="34"/>
  <c r="U15" i="34"/>
  <c r="W15" i="34"/>
  <c r="AC15" i="34"/>
  <c r="AB43" i="34"/>
  <c r="U43" i="34"/>
  <c r="S43" i="34"/>
  <c r="F30" i="11"/>
  <c r="F32" i="67"/>
  <c r="F60" i="67" s="1"/>
  <c r="F54" i="9"/>
  <c r="Q16" i="1"/>
  <c r="F27" i="69" s="1"/>
  <c r="C47" i="69" s="1"/>
  <c r="D45" i="69" s="1"/>
  <c r="H16" i="1"/>
  <c r="G16" i="1"/>
  <c r="F10" i="39" s="1"/>
  <c r="S10" i="39" s="1"/>
  <c r="C6" i="15"/>
  <c r="AZ84" i="3"/>
  <c r="T28" i="71"/>
  <c r="D28" i="71"/>
  <c r="U28" i="71" s="1"/>
  <c r="C27" i="71"/>
  <c r="D79" i="71"/>
  <c r="C78" i="71"/>
  <c r="D78" i="71" s="1"/>
  <c r="N65" i="71"/>
  <c r="N66" i="71"/>
  <c r="T32" i="71"/>
  <c r="D32" i="71"/>
  <c r="AZ61" i="3"/>
  <c r="AZ137" i="3"/>
  <c r="D44" i="71"/>
  <c r="T44" i="71"/>
  <c r="AZ59" i="3"/>
  <c r="AZ272" i="3"/>
  <c r="AZ256" i="3"/>
  <c r="AZ491" i="3"/>
  <c r="AZ457" i="3"/>
  <c r="AZ471" i="3"/>
  <c r="AZ550" i="3"/>
  <c r="AC44" i="39"/>
  <c r="W44" i="39"/>
  <c r="AZ403" i="3"/>
  <c r="AZ441" i="3"/>
  <c r="AZ415" i="3"/>
  <c r="AZ398" i="3"/>
  <c r="AZ432" i="3"/>
  <c r="U43" i="39"/>
  <c r="AB43" i="39"/>
  <c r="AB33" i="36"/>
  <c r="U33" i="36"/>
  <c r="AB12" i="34"/>
  <c r="U12" i="34"/>
  <c r="G5" i="3"/>
  <c r="B3" i="3" s="1"/>
  <c r="E510" i="3" s="1"/>
  <c r="D83" i="71"/>
  <c r="C82" i="71"/>
  <c r="D82" i="71" s="1"/>
  <c r="O65" i="71"/>
  <c r="D66" i="71"/>
  <c r="O66" i="71"/>
  <c r="C36" i="71"/>
  <c r="D35" i="71"/>
  <c r="AZ19" i="3"/>
  <c r="AZ41" i="3"/>
  <c r="AZ31" i="3"/>
  <c r="AZ20" i="3"/>
  <c r="AZ483" i="3"/>
  <c r="AZ454" i="3"/>
  <c r="AZ401" i="3"/>
  <c r="AZ414" i="3"/>
  <c r="AC9" i="34"/>
  <c r="W9" i="34"/>
  <c r="AC43" i="39"/>
  <c r="W43" i="39"/>
  <c r="AA25" i="37"/>
  <c r="S25" i="37"/>
  <c r="W12" i="34"/>
  <c r="AC12" i="34"/>
  <c r="C40" i="71"/>
  <c r="D39" i="71"/>
  <c r="AZ49" i="3"/>
  <c r="T52" i="71"/>
  <c r="D52" i="71"/>
  <c r="W12" i="35"/>
  <c r="AC12" i="35"/>
  <c r="AZ429" i="3"/>
  <c r="AB26" i="33"/>
  <c r="U26" i="33"/>
  <c r="U25" i="37"/>
  <c r="AB25" i="37"/>
  <c r="AA27" i="21"/>
  <c r="S27" i="21"/>
  <c r="J6" i="15"/>
  <c r="C70" i="71"/>
  <c r="D70" i="71" s="1"/>
  <c r="D71" i="71"/>
  <c r="C56" i="71"/>
  <c r="D55" i="71"/>
  <c r="AZ58" i="3"/>
  <c r="AZ182" i="3"/>
  <c r="AZ27" i="3"/>
  <c r="AZ178" i="3"/>
  <c r="AZ118" i="3"/>
  <c r="AZ241" i="3"/>
  <c r="AZ210" i="3"/>
  <c r="AZ274" i="3"/>
  <c r="AZ453" i="3"/>
  <c r="AZ404" i="3"/>
  <c r="AZ425" i="3"/>
  <c r="AZ428" i="3"/>
  <c r="S26" i="33"/>
  <c r="AA26" i="33"/>
  <c r="W27" i="21"/>
  <c r="AC27" i="21"/>
  <c r="J7" i="37"/>
  <c r="W7" i="37" s="1"/>
  <c r="K1" i="73"/>
  <c r="E241" i="3"/>
  <c r="E233" i="3"/>
  <c r="E34" i="3"/>
  <c r="E451" i="3"/>
  <c r="E342" i="3"/>
  <c r="E427"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E67" i="39"/>
  <c r="E69" i="39"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60" i="15"/>
  <c r="Q73" i="15"/>
  <c r="Q74" i="15"/>
  <c r="Q61" i="15"/>
  <c r="AE11" i="1"/>
  <c r="AE9" i="1"/>
  <c r="F27" i="68"/>
  <c r="AE7" i="1"/>
  <c r="AE8" i="1"/>
  <c r="AE12" i="1"/>
  <c r="AE10" i="1"/>
  <c r="G1" i="73"/>
  <c r="AE6" i="1"/>
  <c r="C16" i="67"/>
  <c r="J6" i="67" l="1"/>
  <c r="J18" i="67" s="1"/>
  <c r="E463" i="3"/>
  <c r="E393" i="3"/>
  <c r="E412" i="3"/>
  <c r="E405" i="3"/>
  <c r="E96" i="3"/>
  <c r="E492" i="3"/>
  <c r="E479" i="3"/>
  <c r="J6" i="3"/>
  <c r="E188" i="3"/>
  <c r="E115" i="3"/>
  <c r="E140" i="3"/>
  <c r="E332" i="3"/>
  <c r="E103" i="3"/>
  <c r="E255" i="3"/>
  <c r="E440" i="3"/>
  <c r="E158" i="3"/>
  <c r="E452" i="3"/>
  <c r="E113" i="3"/>
  <c r="E309" i="3"/>
  <c r="E76" i="3"/>
  <c r="R6" i="3"/>
  <c r="Q52" i="67"/>
  <c r="AA10" i="39"/>
  <c r="H10" i="39"/>
  <c r="U10" i="39" s="1"/>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370" i="3"/>
  <c r="E324" i="3"/>
  <c r="E428" i="3"/>
  <c r="E104" i="3"/>
  <c r="E13" i="3"/>
  <c r="E408" i="3"/>
  <c r="E534" i="3"/>
  <c r="E205" i="3"/>
  <c r="E102" i="3"/>
  <c r="E522" i="3"/>
  <c r="E18" i="3"/>
  <c r="E281" i="3"/>
  <c r="E81" i="3"/>
  <c r="E144" i="3"/>
  <c r="E310" i="3"/>
  <c r="E64" i="3"/>
  <c r="E544" i="3"/>
  <c r="E192" i="3"/>
  <c r="E435" i="3"/>
  <c r="E449" i="3"/>
  <c r="E499"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83" i="3"/>
  <c r="E232" i="3"/>
  <c r="E220" i="3"/>
  <c r="E243" i="3"/>
  <c r="E26" i="3"/>
  <c r="E497" i="3"/>
  <c r="E469" i="3"/>
  <c r="E525" i="3"/>
  <c r="E22" i="3"/>
  <c r="E251" i="3"/>
  <c r="E383" i="3"/>
  <c r="E75" i="3"/>
  <c r="E21" i="3"/>
  <c r="E63" i="3"/>
  <c r="E33" i="3"/>
  <c r="E249" i="3"/>
  <c r="E425" i="3"/>
  <c r="E389" i="3"/>
  <c r="E95" i="3"/>
  <c r="E517" i="3"/>
  <c r="E541" i="3"/>
  <c r="E21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326" i="3"/>
  <c r="E49" i="3"/>
  <c r="E78" i="3"/>
  <c r="E225" i="3"/>
  <c r="E420" i="3"/>
  <c r="E360" i="3"/>
  <c r="E456" i="3"/>
  <c r="E173" i="3"/>
  <c r="E287" i="3"/>
  <c r="E206" i="3"/>
  <c r="E235" i="3"/>
  <c r="AL6" i="3"/>
  <c r="E513" i="3"/>
  <c r="E381" i="3"/>
  <c r="E23" i="3"/>
  <c r="E267" i="3"/>
  <c r="E484" i="3"/>
  <c r="E292" i="3"/>
  <c r="E56" i="3"/>
  <c r="E554" i="3"/>
  <c r="E442" i="3"/>
  <c r="E536" i="3"/>
  <c r="H6" i="3"/>
  <c r="AC7" i="37"/>
  <c r="J10" i="39"/>
  <c r="W10" i="39" s="1"/>
  <c r="J7" i="83"/>
  <c r="AC7" i="83" s="1"/>
  <c r="AB7" i="36"/>
  <c r="T36" i="36" s="1"/>
  <c r="G36" i="36" s="1"/>
  <c r="G40" i="36" s="1"/>
  <c r="H40" i="36" s="1"/>
  <c r="F10" i="40"/>
  <c r="S10" i="40" s="1"/>
  <c r="Q74" i="67"/>
  <c r="Q73" i="67"/>
  <c r="W7" i="83"/>
  <c r="J63" i="43"/>
  <c r="D63" i="43"/>
  <c r="D64" i="71"/>
  <c r="T64" i="71"/>
  <c r="C21" i="71"/>
  <c r="D22" i="71"/>
  <c r="F48" i="68"/>
  <c r="C48" i="68"/>
  <c r="C30" i="68"/>
  <c r="J66" i="43"/>
  <c r="D66" i="43"/>
  <c r="P65" i="71"/>
  <c r="P66" i="71"/>
  <c r="E329" i="3"/>
  <c r="E80" i="3"/>
  <c r="E35" i="3"/>
  <c r="E190" i="3"/>
  <c r="E356" i="3"/>
  <c r="E41" i="3"/>
  <c r="E470" i="3"/>
  <c r="E556" i="3"/>
  <c r="E512" i="3"/>
  <c r="T6" i="3"/>
  <c r="E197" i="3"/>
  <c r="E308" i="3"/>
  <c r="AF6" i="3"/>
  <c r="E86" i="3"/>
  <c r="E129" i="3"/>
  <c r="E42" i="3"/>
  <c r="E198" i="3"/>
  <c r="E264" i="3"/>
  <c r="E355" i="3"/>
  <c r="E67" i="3"/>
  <c r="E300" i="3"/>
  <c r="E46" i="3"/>
  <c r="E409" i="3"/>
  <c r="E363" i="3"/>
  <c r="E152" i="3"/>
  <c r="E417" i="3"/>
  <c r="I3" i="6"/>
  <c r="E466" i="3"/>
  <c r="E575" i="3"/>
  <c r="F7" i="83"/>
  <c r="F48" i="69"/>
  <c r="C48" i="69"/>
  <c r="C30" i="69"/>
  <c r="J18" i="15"/>
  <c r="U7" i="83"/>
  <c r="AB7" i="83"/>
  <c r="N65" i="43"/>
  <c r="D65" i="43"/>
  <c r="W43" i="34"/>
  <c r="C48" i="11"/>
  <c r="C30" i="11"/>
  <c r="F45" i="69"/>
  <c r="C29" i="69"/>
  <c r="D27" i="69" s="1"/>
  <c r="E3" i="6"/>
  <c r="H10" i="40"/>
  <c r="AB10" i="40" s="1"/>
  <c r="J10" i="40"/>
  <c r="AC10" i="40" s="1"/>
  <c r="J5" i="15"/>
  <c r="J24" i="15" s="1"/>
  <c r="E174" i="3"/>
  <c r="E482" i="3"/>
  <c r="E391" i="3"/>
  <c r="E494" i="3"/>
  <c r="E283" i="3"/>
  <c r="E68" i="3"/>
  <c r="E184" i="3"/>
  <c r="E84" i="3"/>
  <c r="E371" i="3"/>
  <c r="E160" i="3"/>
  <c r="E467" i="3"/>
  <c r="E59" i="3"/>
  <c r="E349" i="3"/>
  <c r="E258" i="3"/>
  <c r="E37" i="3"/>
  <c r="E491" i="3"/>
  <c r="AP6" i="3"/>
  <c r="AC6" i="3" s="1"/>
  <c r="E430" i="3"/>
  <c r="E502" i="3"/>
  <c r="E286" i="3"/>
  <c r="E539" i="3"/>
  <c r="D36" i="71"/>
  <c r="T36" i="71"/>
  <c r="E199" i="3"/>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6" i="37"/>
  <c r="H46" i="37" s="1"/>
  <c r="G47" i="37"/>
  <c r="H47" i="37" s="1"/>
  <c r="I46" i="37"/>
  <c r="J46" i="37" s="1"/>
  <c r="G48" i="35"/>
  <c r="U7" i="33"/>
  <c r="AB7" i="33"/>
  <c r="T48" i="33" s="1"/>
  <c r="G48" i="33" s="1"/>
  <c r="C53" i="67"/>
  <c r="C48" i="67" s="1"/>
  <c r="C53" i="15"/>
  <c r="C48" i="15" s="1"/>
  <c r="C66" i="15" s="1"/>
  <c r="C10" i="15"/>
  <c r="C5" i="15" s="1"/>
  <c r="C38" i="15" s="1"/>
  <c r="M27" i="67"/>
  <c r="F41" i="15"/>
  <c r="M27" i="15"/>
  <c r="F41" i="67"/>
  <c r="J5" i="67" l="1"/>
  <c r="J24" i="67" s="1"/>
  <c r="E6" i="3"/>
  <c r="G41" i="36"/>
  <c r="H41" i="36" s="1"/>
  <c r="E61" i="43"/>
  <c r="B59" i="43" s="1"/>
  <c r="C28" i="43" s="1"/>
  <c r="D21" i="71"/>
  <c r="C20" i="71"/>
  <c r="AA7" i="83"/>
  <c r="S7" i="83"/>
  <c r="B14" i="74"/>
  <c r="B1" i="74" s="1"/>
  <c r="C34" i="83"/>
  <c r="C34" i="34"/>
  <c r="F69" i="67"/>
  <c r="F25" i="12"/>
  <c r="C26" i="12" s="1"/>
  <c r="D25" i="12" s="1"/>
  <c r="U10" i="40"/>
  <c r="F22" i="68"/>
  <c r="D116" i="43"/>
  <c r="F22" i="11"/>
  <c r="C23" i="11" s="1"/>
  <c r="F24" i="67"/>
  <c r="C24" i="67" s="1"/>
  <c r="F24" i="15"/>
  <c r="C24" i="15" s="1"/>
  <c r="F22" i="69"/>
  <c r="F41" i="69"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F34" i="83" l="1"/>
  <c r="H34" i="83"/>
  <c r="J34" i="83"/>
  <c r="T11" i="43"/>
  <c r="V11" i="43" s="1"/>
  <c r="T14" i="43"/>
  <c r="V14" i="43" s="1"/>
  <c r="T4" i="43"/>
  <c r="V4" i="43" s="1"/>
  <c r="T5" i="43"/>
  <c r="V5" i="43" s="1"/>
  <c r="C41" i="43"/>
  <c r="C39" i="4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19" i="71"/>
  <c r="T20" i="71"/>
  <c r="D20" i="71"/>
  <c r="U20" i="71" s="1"/>
  <c r="C6" i="69"/>
  <c r="C7" i="69" s="1"/>
  <c r="F34" i="34"/>
  <c r="J34" i="34"/>
  <c r="H34" i="34"/>
  <c r="C44" i="11"/>
  <c r="D41" i="11" s="1"/>
  <c r="C26" i="68"/>
  <c r="D22" i="68" s="1"/>
  <c r="C44" i="68"/>
  <c r="D41" i="68" s="1"/>
  <c r="F41" i="68"/>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C34" i="34" l="1"/>
  <c r="V49" i="34" s="1"/>
  <c r="I49" i="34" s="1"/>
  <c r="W34" i="34"/>
  <c r="E42" i="43"/>
  <c r="G42" i="43"/>
  <c r="I42" i="43" s="1"/>
  <c r="AA34" i="34"/>
  <c r="R49" i="34" s="1"/>
  <c r="S34" i="34"/>
  <c r="C18" i="71"/>
  <c r="D19" i="71"/>
  <c r="E40" i="43"/>
  <c r="G40" i="43"/>
  <c r="I40" i="43" s="1"/>
  <c r="AC34" i="83"/>
  <c r="V49" i="83" s="1"/>
  <c r="I49" i="83" s="1"/>
  <c r="W34" i="83"/>
  <c r="E38" i="43"/>
  <c r="G38" i="43"/>
  <c r="I38" i="43" s="1"/>
  <c r="E33" i="43"/>
  <c r="C34" i="43"/>
  <c r="E34" i="43" s="1"/>
  <c r="G39" i="43"/>
  <c r="I39" i="43" s="1"/>
  <c r="E39" i="43"/>
  <c r="U34" i="83"/>
  <c r="AB34" i="83"/>
  <c r="T49" i="83" s="1"/>
  <c r="G49" i="83" s="1"/>
  <c r="AB34" i="34"/>
  <c r="T49" i="34" s="1"/>
  <c r="G49" i="34" s="1"/>
  <c r="G53" i="34" s="1"/>
  <c r="H53" i="34" s="1"/>
  <c r="U34" i="34"/>
  <c r="G37" i="43"/>
  <c r="I37" i="43" s="1"/>
  <c r="E37" i="43"/>
  <c r="G41" i="43"/>
  <c r="I41" i="43" s="1"/>
  <c r="E41" i="43"/>
  <c r="AA34" i="83"/>
  <c r="R49" i="83" s="1"/>
  <c r="S34" i="83"/>
  <c r="C8" i="69"/>
  <c r="C5" i="69" s="1"/>
  <c r="C23" i="69" s="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I53" i="83"/>
  <c r="J53" i="83" s="1"/>
  <c r="C17" i="71"/>
  <c r="D18" i="71"/>
  <c r="G53" i="83"/>
  <c r="H53" i="83" s="1"/>
  <c r="G54" i="83"/>
  <c r="H54" i="83" s="1"/>
  <c r="E49" i="83"/>
  <c r="R50" i="83"/>
  <c r="E49" i="34"/>
  <c r="I54" i="34" s="1"/>
  <c r="J54" i="34" s="1"/>
  <c r="R50" i="34"/>
  <c r="G54" i="34"/>
  <c r="H54" i="34" s="1"/>
  <c r="I53" i="34"/>
  <c r="J53" i="34" s="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E54" i="83"/>
  <c r="F54" i="83" s="1"/>
  <c r="E53" i="83"/>
  <c r="F53" i="83" s="1"/>
  <c r="C16" i="71"/>
  <c r="D17" i="71"/>
  <c r="C49" i="34"/>
  <c r="C50" i="34"/>
  <c r="V19" i="1" s="1"/>
  <c r="I54" i="83"/>
  <c r="J54" i="83" s="1"/>
  <c r="E54" i="34"/>
  <c r="F54" i="34" s="1"/>
  <c r="E53" i="34"/>
  <c r="F53" i="34" s="1"/>
  <c r="C50" i="83"/>
  <c r="V20" i="1" s="1"/>
  <c r="U6" i="1" s="1"/>
  <c r="C49" i="83"/>
  <c r="B2" i="43"/>
  <c r="C20" i="68"/>
  <c r="C28" i="68" s="1"/>
  <c r="C27" i="68" s="1"/>
  <c r="C22" i="12"/>
  <c r="C30" i="12" s="1"/>
  <c r="C28"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B6" i="76"/>
  <c r="M21" i="67"/>
  <c r="F35" i="15"/>
  <c r="M21" i="15"/>
  <c r="B2" i="76" l="1"/>
  <c r="B3" i="76" s="1"/>
  <c r="T16" i="71"/>
  <c r="D16" i="71"/>
  <c r="C15" i="71"/>
  <c r="V21" i="1"/>
  <c r="B3" i="83"/>
  <c r="B2" i="83"/>
  <c r="B3" i="43"/>
  <c r="C27" i="12"/>
  <c r="C25" i="12" s="1"/>
  <c r="C32" i="12" s="1"/>
  <c r="B2" i="12" s="1"/>
  <c r="B3" i="12" s="1"/>
  <c r="C25" i="68"/>
  <c r="C22" i="68" s="1"/>
  <c r="C31" i="68" s="1"/>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0" i="67" s="1"/>
  <c r="C5" i="67" s="1"/>
  <c r="C38" i="67" s="1"/>
  <c r="F31" i="67"/>
  <c r="C14" i="71"/>
  <c r="D15" i="71"/>
  <c r="U16" i="71"/>
  <c r="M23" i="43"/>
  <c r="C52" i="68"/>
  <c r="B2" i="68" s="1"/>
  <c r="B3" i="68"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7" l="1"/>
  <c r="C30" i="67" s="1"/>
  <c r="C39" i="67" s="1"/>
  <c r="Q69" i="67" s="1"/>
  <c r="Q68" i="67" s="1"/>
  <c r="C13" i="71"/>
  <c r="D14" i="71"/>
  <c r="C57" i="68"/>
  <c r="C56" i="68"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0" i="67" l="1"/>
  <c r="C79" i="67" s="1"/>
  <c r="C40" i="67"/>
  <c r="C45" i="67" s="1"/>
  <c r="C46" i="67" s="1"/>
  <c r="C12" i="71"/>
  <c r="D13" i="71"/>
  <c r="L57" i="67"/>
  <c r="L60" i="67" s="1"/>
  <c r="L46" i="67" s="1"/>
  <c r="B2" i="33"/>
  <c r="B3" i="33" s="1"/>
  <c r="C80" i="15"/>
  <c r="C79" i="15" s="1"/>
  <c r="C40" i="15"/>
  <c r="C46" i="15" s="1"/>
  <c r="H7" i="39"/>
  <c r="J7" i="39"/>
  <c r="S7" i="39"/>
  <c r="AA7" i="39"/>
  <c r="R47" i="39" s="1"/>
  <c r="O63" i="40"/>
  <c r="O65" i="40" s="1"/>
  <c r="N65" i="40"/>
  <c r="D2" i="36"/>
  <c r="L51" i="15"/>
  <c r="D2" i="34"/>
  <c r="L51" i="67"/>
  <c r="D2" i="37"/>
  <c r="D2" i="35"/>
  <c r="Q67" i="67" l="1"/>
  <c r="C43" i="67"/>
  <c r="Q47" i="67"/>
  <c r="Q53" i="67" s="1"/>
  <c r="C83" i="67"/>
  <c r="C82" i="67" s="1"/>
  <c r="D2" i="67"/>
  <c r="B2" i="67" s="1"/>
  <c r="Q56" i="67"/>
  <c r="Q65" i="67"/>
  <c r="C11" i="71"/>
  <c r="T12" i="71"/>
  <c r="D12" i="71"/>
  <c r="U12" i="71" s="1"/>
  <c r="Q57" i="67"/>
  <c r="Q66"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7" i="1"/>
  <c r="AO9" i="1"/>
  <c r="AO11" i="1"/>
  <c r="AO10" i="1"/>
  <c r="AO8" i="1"/>
  <c r="D19" i="9"/>
  <c r="AO6" i="1"/>
  <c r="B3" i="67" l="1"/>
  <c r="Q75" i="67"/>
  <c r="D21" i="9"/>
  <c r="D102" i="9"/>
  <c r="Q62" i="67"/>
  <c r="D11" i="71"/>
  <c r="C10" i="71"/>
  <c r="C102" i="9"/>
  <c r="C21" i="9"/>
  <c r="D22" i="9"/>
  <c r="G19" i="9"/>
  <c r="D14" i="74" s="1"/>
  <c r="B3" i="34"/>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D20" i="9"/>
  <c r="D103" i="9" l="1"/>
  <c r="D10" i="71"/>
  <c r="C9" i="71"/>
  <c r="G21" i="9"/>
  <c r="G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E14" i="74"/>
  <c r="C32" i="9"/>
  <c r="C35" i="9" s="1"/>
  <c r="C34" i="9" s="1"/>
  <c r="C8" i="71"/>
  <c r="D9" i="71"/>
  <c r="C42" i="40"/>
  <c r="C43" i="40"/>
  <c r="E47" i="40"/>
  <c r="F47" i="40" s="1"/>
  <c r="E46" i="40"/>
  <c r="F46" i="40" s="1"/>
  <c r="I47" i="40"/>
  <c r="J47" i="40" s="1"/>
  <c r="R25" i="31"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E15" i="74"/>
  <c r="D7" i="71"/>
  <c r="C6" i="71"/>
  <c r="F14" i="74"/>
  <c r="S22" i="31" l="1"/>
  <c r="R22" i="31" s="1"/>
  <c r="B5" i="74"/>
  <c r="D5" i="74" s="1"/>
  <c r="B6" i="74"/>
  <c r="D6" i="74" s="1"/>
  <c r="F15" i="74"/>
  <c r="D6" i="71"/>
  <c r="C5" i="71"/>
  <c r="D5" i="71" s="1"/>
  <c r="M24" i="43" s="1"/>
  <c r="G118" i="9"/>
  <c r="G4" i="52" s="1"/>
  <c r="B52" i="72" s="1"/>
  <c r="I118" i="9"/>
  <c r="C105" i="9" s="1"/>
  <c r="B20" i="31" l="1"/>
  <c r="B21" i="31" s="1"/>
  <c r="H118" i="9"/>
  <c r="I4" i="52"/>
  <c r="E118" i="9"/>
  <c r="H102" i="9"/>
  <c r="F118" i="9"/>
  <c r="F119" i="9" l="1"/>
  <c r="F5" i="52" s="1"/>
  <c r="B53" i="72" s="1"/>
  <c r="F4" i="52"/>
  <c r="B51" i="72" s="1"/>
  <c r="C5" i="74"/>
  <c r="D7" i="53"/>
  <c r="B21" i="72" s="1"/>
  <c r="E4" i="52"/>
  <c r="B48" i="72" s="1"/>
  <c r="D118" i="9"/>
  <c r="H119" i="9"/>
  <c r="H5" i="52" s="1"/>
  <c r="H101" i="9"/>
  <c r="C104" i="9"/>
  <c r="H4" i="52"/>
  <c r="H107" i="9" l="1"/>
  <c r="D5" i="53"/>
  <c r="M48" i="9"/>
  <c r="D45" i="9"/>
  <c r="D4" i="52"/>
  <c r="B47" i="72" s="1"/>
  <c r="D119" i="9"/>
  <c r="D5" i="52" s="1"/>
  <c r="B49" i="72" s="1"/>
  <c r="P54" i="9" l="1"/>
  <c r="D55" i="9"/>
  <c r="M53" i="9" s="1"/>
  <c r="P53" i="9" s="1"/>
  <c r="D52" i="9"/>
  <c r="D53" i="9"/>
  <c r="C93" i="9"/>
  <c r="C86" i="9" s="1"/>
  <c r="C72" i="9"/>
  <c r="C78" i="9"/>
  <c r="C73" i="9" s="1"/>
  <c r="C64" i="9"/>
  <c r="C63" i="9" s="1"/>
  <c r="C67" i="9" s="1"/>
  <c r="C68" i="9" s="1"/>
  <c r="C85" i="9"/>
  <c r="D6" i="53"/>
  <c r="B22" i="72" s="1"/>
  <c r="B20" i="72"/>
  <c r="D122" i="9"/>
  <c r="H108" i="9"/>
  <c r="M49" i="9"/>
  <c r="D13" i="53"/>
  <c r="D59" i="9" l="1"/>
  <c r="M55" i="9" s="1"/>
  <c r="P55" i="9" s="1"/>
  <c r="C95" i="9"/>
  <c r="C96" i="9" s="1"/>
  <c r="E96" i="9" s="1"/>
  <c r="E97" i="9" s="1"/>
  <c r="C79" i="9"/>
  <c r="C80" i="9" s="1"/>
  <c r="E80" i="9" s="1"/>
  <c r="E81" i="9" s="1"/>
  <c r="C6" i="74"/>
  <c r="D15" i="53"/>
  <c r="B31" i="72" s="1"/>
  <c r="D123" i="9"/>
  <c r="D9" i="52" s="1"/>
  <c r="D8" i="52"/>
  <c r="D54" i="9"/>
  <c r="D48" i="9" s="1"/>
  <c r="M52" i="9" s="1"/>
  <c r="P52" i="9" s="1"/>
  <c r="L65" i="9"/>
  <c r="M65" i="9" s="1"/>
  <c r="L66" i="9"/>
  <c r="M66" i="9" s="1"/>
  <c r="L67" i="9"/>
  <c r="M67" i="9" s="1"/>
  <c r="L68" i="9"/>
  <c r="M68" i="9" s="1"/>
  <c r="L64" i="9"/>
  <c r="M64" i="9" s="1"/>
  <c r="L63" i="9"/>
  <c r="M63" i="9" s="1"/>
  <c r="B30" i="72"/>
  <c r="D14" i="53"/>
  <c r="B32" i="72" s="1"/>
  <c r="P56" i="9" l="1"/>
  <c r="C97" i="9"/>
  <c r="C81" i="9"/>
  <c r="M69" i="9"/>
  <c r="N69" i="9" s="1"/>
  <c r="P59" i="9" l="1"/>
  <c r="D58" i="9"/>
  <c r="D56" i="9" s="1"/>
  <c r="M54" i="9" s="1"/>
  <c r="N57" i="9" s="1"/>
  <c r="N59" i="9" s="1"/>
  <c r="B8" i="74" l="1"/>
  <c r="P61" i="9"/>
  <c r="N60" i="9"/>
  <c r="N61" i="9"/>
  <c r="N58"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<sst xmlns="http://schemas.openxmlformats.org/spreadsheetml/2006/main" count="8297" uniqueCount="3493">
  <si>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</si>
  <si>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</si>
  <si>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</si>
  <si>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</si>
  <si>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</si>
  <si>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</si>
  <si>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</si>
  <si>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</si>
  <si>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</si>
  <si>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</si>
  <si>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</si>
  <si>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</si>
  <si>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</si>
  <si>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</si>
  <si>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</si>
  <si>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</si>
  <si>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</si>
  <si>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</si>
  <si>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</si>
  <si>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</si>
  <si>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</si>
  <si>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</si>
  <si>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</si>
  <si>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</si>
  <si>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</si>
  <si>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</si>
  <si>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</si>
  <si>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</si>
  <si>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</si>
  <si>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</si>
  <si>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</si>
  <si>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</si>
  <si>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</si>
  <si>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</si>
  <si>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</si>
  <si>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</si>
  <si>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</si>
  <si>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</si>
  <si>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</si>
  <si>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</si>
  <si>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</si>
  <si>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</si>
  <si>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</si>
  <si>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</si>
  <si>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</si>
  <si>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</si>
  <si>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</si>
  <si>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</si>
  <si>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</si>
  <si>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</si>
  <si>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</si>
  <si>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</si>
  <si>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</si>
  <si>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</si>
  <si>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</si>
  <si>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</si>
  <si>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</si>
  <si>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</si>
  <si>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</si>
  <si>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</si>
  <si>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</si>
  <si>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</si>
  <si>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</si>
  <si>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</si>
  <si>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</si>
  <si>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</si>
  <si>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</si>
  <si>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</si>
  <si>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</si>
  <si>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</si>
  <si>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</si>
  <si>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</si>
  <si>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</si>
  <si>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</si>
  <si>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</si>
  <si>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</si>
  <si>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</si>
  <si>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</si>
  <si>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</si>
  <si>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</si>
  <si>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</si>
  <si>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</si>
  <si>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</si>
  <si>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</si>
  <si>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</si>
  <si>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</si>
  <si>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</si>
  <si>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</si>
  <si>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</si>
  <si>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</si>
  <si>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</si>
  <si>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</si>
  <si>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</si>
  <si>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</si>
  <si>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</si>
  <si>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</si>
  <si>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</si>
  <si>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</si>
  <si>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</si>
  <si>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</si>
  <si>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</si>
  <si>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</si>
  <si>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</si>
  <si>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</si>
  <si>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</si>
  <si>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</si>
  <si>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</si>
  <si>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</si>
  <si>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</si>
  <si>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</si>
  <si>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</si>
  <si>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</si>
  <si>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</si>
  <si>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</si>
  <si>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</si>
  <si>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</si>
  <si>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</si>
  <si>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</si>
  <si>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</si>
  <si>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</si>
  <si>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</si>
  <si>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</si>
  <si>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</si>
  <si>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</si>
  <si>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</si>
  <si>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</si>
  <si>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</si>
  <si>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</si>
  <si>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</si>
  <si>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</si>
  <si>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</si>
  <si>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</si>
  <si>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</si>
  <si>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</si>
  <si>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</si>
  <si>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</si>
  <si>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</si>
  <si>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</si>
  <si>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</si>
  <si>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</si>
  <si>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</si>
  <si>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</si>
  <si>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</si>
  <si>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</si>
  <si>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</si>
  <si>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</si>
  <si>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</si>
  <si>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</si>
  <si>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</si>
  <si>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</si>
  <si>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</si>
  <si>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</si>
  <si>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</si>
  <si>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</si>
  <si>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</si>
  <si>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</si>
  <si>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</si>
  <si>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</si>
  <si>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</si>
  <si>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</si>
  <si>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</si>
  <si>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</si>
  <si>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</si>
  <si>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</si>
  <si>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</si>
  <si>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</si>
  <si>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</si>
  <si>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</si>
  <si>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</si>
  <si>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</si>
  <si>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</si>
  <si>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</si>
  <si>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</si>
  <si>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</si>
  <si>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</si>
  <si>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</si>
  <si>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</si>
  <si>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</si>
  <si>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</si>
  <si>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</si>
  <si>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</si>
  <si>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</si>
  <si>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</si>
  <si>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</si>
  <si>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</si>
  <si>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</si>
  <si>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</si>
  <si>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</si>
  <si>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</si>
  <si>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</si>
  <si>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</si>
  <si>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</si>
  <si>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</si>
  <si>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</si>
  <si>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</si>
  <si>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</si>
  <si>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</si>
  <si>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</si>
  <si>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</si>
  <si>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</si>
  <si>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</si>
  <si>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</si>
  <si>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</si>
  <si>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</si>
  <si>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</si>
  <si>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</si>
  <si>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</si>
  <si>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</si>
  <si>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</si>
  <si>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</si>
  <si>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</si>
  <si>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</si>
  <si>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</si>
  <si>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</si>
  <si>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</si>
  <si>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</si>
  <si>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</si>
  <si>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</si>
  <si>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</si>
  <si>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</si>
  <si>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</si>
  <si>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</si>
  <si>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</si>
  <si>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</si>
  <si>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</si>
  <si>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</si>
  <si>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</si>
  <si>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</si>
  <si>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</si>
  <si>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</si>
  <si>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</si>
  <si>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</si>
  <si>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</si>
  <si>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</si>
  <si>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</si>
  <si>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</si>
  <si>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</si>
  <si>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</si>
  <si>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</si>
  <si>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</si>
  <si>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</si>
  <si>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</si>
  <si>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</si>
  <si>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</si>
  <si>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</si>
  <si>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</si>
  <si>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</si>
  <si>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</si>
  <si>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</si>
  <si>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</si>
  <si>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</si>
  <si>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</si>
  <si>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</si>
  <si>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</si>
  <si>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</si>
  <si>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</si>
  <si>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</si>
  <si>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</si>
  <si>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</si>
  <si>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</si>
  <si>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</si>
  <si>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</si>
  <si>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</si>
  <si>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</si>
  <si>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</si>
  <si>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</si>
  <si>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</si>
  <si>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</si>
  <si>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</si>
  <si>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</si>
  <si>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</si>
  <si>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</si>
  <si>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</si>
  <si>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</si>
  <si>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</si>
  <si>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</si>
  <si>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</si>
  <si>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</si>
  <si>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</si>
  <si>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</si>
  <si>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</si>
  <si>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</si>
  <si>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</si>
  <si>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</si>
  <si>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</si>
  <si>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</si>
  <si>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</si>
  <si>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</si>
  <si>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</si>
  <si>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</si>
  <si>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</si>
  <si>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</si>
  <si>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</si>
  <si>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</si>
  <si>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</si>
  <si>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</si>
  <si>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</si>
  <si>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</si>
  <si>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</si>
  <si>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</si>
  <si>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</si>
  <si>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</si>
  <si>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</si>
  <si>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</si>
  <si>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</si>
  <si>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</si>
  <si>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</si>
  <si>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</si>
  <si>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</si>
  <si>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</si>
  <si>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</si>
  <si>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</si>
  <si>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</si>
  <si>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</si>
  <si>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</si>
  <si>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</si>
  <si>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</si>
  <si>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</si>
  <si>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</si>
  <si>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</si>
  <si>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</si>
  <si>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</si>
  <si>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</si>
  <si>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</si>
  <si>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</si>
  <si>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</si>
  <si>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</si>
  <si>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</si>
  <si>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</si>
  <si>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</si>
  <si>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</si>
  <si>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</si>
  <si>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</si>
  <si>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</si>
  <si>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</si>
  <si>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</si>
  <si>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</si>
  <si>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</si>
  <si>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</si>
  <si>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</si>
  <si>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</si>
  <si>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</si>
  <si>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</si>
  <si>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</si>
  <si>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</si>
  <si>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</si>
  <si>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</si>
  <si>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</si>
  <si>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</si>
  <si>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</si>
  <si>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</si>
  <si>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</si>
  <si>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</si>
  <si>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</si>
  <si>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</si>
  <si>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</si>
  <si>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</si>
  <si>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</si>
  <si>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</si>
  <si>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</si>
  <si>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</si>
  <si>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</si>
  <si>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</si>
  <si>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</si>
  <si>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</si>
  <si>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</si>
  <si>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</si>
  <si>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</si>
  <si>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</si>
  <si>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</si>
  <si>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</si>
  <si>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</si>
  <si>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</si>
  <si>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</si>
  <si>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</si>
  <si>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</si>
  <si>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</si>
  <si>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</si>
  <si>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</si>
  <si>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</si>
  <si>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</si>
  <si>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</si>
  <si>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</si>
  <si>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</si>
  <si>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</si>
  <si>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</si>
  <si>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</si>
  <si>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</si>
  <si>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</si>
  <si>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</si>
  <si>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</si>
  <si>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</si>
  <si>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</si>
  <si>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</si>
  <si>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</si>
  <si>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</si>
  <si>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</si>
  <si>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</si>
  <si>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</si>
  <si>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</si>
  <si>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</si>
  <si>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</si>
  <si>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</si>
  <si>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</si>
  <si>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</si>
  <si>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</si>
  <si>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</si>
  <si>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</si>
  <si>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</si>
  <si>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</si>
  <si>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</si>
  <si>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</si>
  <si>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</si>
  <si>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</si>
  <si>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</si>
  <si>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</si>
  <si>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</si>
  <si>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</si>
  <si>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</si>
  <si>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</si>
  <si>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</si>
  <si>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</si>
  <si>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</si>
  <si>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</si>
  <si>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</si>
  <si>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</si>
  <si>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</si>
  <si>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</si>
  <si>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</si>
  <si>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</si>
  <si>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</si>
  <si>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</si>
  <si>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</si>
  <si>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</si>
  <si>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</si>
  <si>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</si>
  <si>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</si>
  <si>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</si>
  <si>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</si>
  <si>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</si>
  <si>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</si>
  <si>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</si>
  <si>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</si>
  <si>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</si>
  <si>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</si>
  <si>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</si>
  <si>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</si>
  <si>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</si>
  <si>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</si>
  <si>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</si>
  <si>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</si>
  <si>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</si>
  <si>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</si>
  <si>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</si>
  <si>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</si>
  <si>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</si>
  <si>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</si>
  <si>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</si>
  <si>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</si>
  <si>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</si>
  <si>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</si>
  <si>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</si>
  <si>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</si>
  <si>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</si>
  <si>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</si>
  <si>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</si>
  <si>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</si>
  <si>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</si>
  <si>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</si>
  <si>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</si>
  <si>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</si>
  <si>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</si>
  <si>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</si>
  <si>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</si>
  <si>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</si>
  <si>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</si>
  <si>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</si>
  <si>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</si>
  <si>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</si>
  <si>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</si>
  <si>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</si>
  <si>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</si>
  <si>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</si>
  <si>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</si>
  <si>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</si>
  <si>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</si>
  <si>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</si>
  <si>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</si>
  <si>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</si>
  <si>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</si>
  <si>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</si>
  <si>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</si>
  <si>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</si>
  <si>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</si>
  <si>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</si>
  <si>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</si>
  <si>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</si>
  <si>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</si>
  <si>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</si>
  <si>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</si>
  <si>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</si>
  <si>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</si>
  <si>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</si>
  <si>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</si>
  <si>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</si>
  <si>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</si>
  <si>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</si>
  <si>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</si>
  <si>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</si>
  <si>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</si>
  <si>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</si>
  <si>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</si>
  <si>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</si>
  <si>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</si>
  <si>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</si>
  <si>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</si>
  <si>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</si>
  <si>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</si>
  <si>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</si>
  <si>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</si>
  <si>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</si>
  <si>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</si>
  <si>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</si>
  <si>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</si>
  <si>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</si>
  <si>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</si>
  <si>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</si>
  <si>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</si>
  <si>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</si>
  <si>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</si>
  <si>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</si>
  <si>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</si>
  <si>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</si>
  <si>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</si>
  <si>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</si>
  <si>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</si>
  <si>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</si>
  <si>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</si>
  <si>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</si>
  <si>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</si>
  <si>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</si>
  <si>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</si>
  <si>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</si>
  <si>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</si>
  <si>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</si>
  <si>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</si>
  <si>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</si>
  <si>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</si>
  <si>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</si>
  <si>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</si>
  <si>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</si>
  <si>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</si>
  <si>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</si>
  <si>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</si>
  <si>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</si>
  <si>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</si>
  <si>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</si>
  <si>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</si>
  <si>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</si>
  <si>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</si>
  <si>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</si>
  <si>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</si>
  <si>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</si>
  <si>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</si>
  <si>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</si>
  <si>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</si>
  <si>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</si>
  <si>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</si>
  <si>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</si>
  <si>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</si>
  <si>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</si>
  <si>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</si>
  <si>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</si>
  <si>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</si>
  <si>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</si>
  <si>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</si>
  <si>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</si>
  <si>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</si>
  <si>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</si>
  <si>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</si>
  <si>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</si>
  <si>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</si>
  <si>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</si>
  <si>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</si>
  <si>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</si>
  <si>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</si>
  <si>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</si>
  <si>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</si>
  <si>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</si>
  <si>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</si>
  <si>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</si>
  <si>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</si>
  <si>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</si>
  <si>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</si>
  <si>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</si>
  <si>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</si>
  <si>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</si>
  <si>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</si>
  <si>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</si>
  <si>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</si>
  <si>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</si>
  <si>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</si>
  <si>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</si>
  <si>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</si>
  <si>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</si>
  <si>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</si>
  <si>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</si>
  <si>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</si>
  <si>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</si>
  <si>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</si>
  <si>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</si>
  <si>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</si>
  <si>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</si>
  <si>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</si>
  <si>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</si>
  <si>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</si>
  <si>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</si>
  <si>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</si>
  <si>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</si>
  <si>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</si>
  <si>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</si>
  <si>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</si>
  <si>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</si>
  <si>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</si>
  <si>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</si>
  <si>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</si>
  <si>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</si>
  <si>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</si>
  <si>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</si>
  <si>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</si>
  <si>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</si>
  <si>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</si>
  <si>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</si>
  <si>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</si>
  <si>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</si>
  <si>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</si>
  <si>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</si>
  <si>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</si>
  <si>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</si>
  <si>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</si>
  <si>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</si>
  <si>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</si>
  <si>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</si>
  <si>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</si>
  <si>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</si>
  <si>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</si>
  <si>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</si>
  <si>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</si>
  <si>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</si>
  <si>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</si>
  <si>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</si>
  <si>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</si>
  <si>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</si>
  <si>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</si>
  <si>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</si>
  <si>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</si>
  <si>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</si>
  <si>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</si>
  <si>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</si>
  <si>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</si>
  <si>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</si>
  <si>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</si>
  <si>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</si>
  <si>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</si>
  <si>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</si>
  <si>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</si>
  <si>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</si>
  <si>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</si>
  <si>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</si>
  <si>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</si>
  <si>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</si>
  <si>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</si>
  <si>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</si>
  <si>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</si>
  <si>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</si>
  <si>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</si>
  <si>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</si>
  <si>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</si>
  <si>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</si>
  <si>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</si>
  <si>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</si>
  <si>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</si>
  <si>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</si>
  <si>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</si>
  <si>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</si>
  <si>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</si>
  <si>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</si>
  <si>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</si>
  <si>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</si>
  <si>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</si>
  <si>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</si>
  <si>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</si>
  <si>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</si>
  <si>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</si>
  <si>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</si>
  <si>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</si>
  <si>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</si>
  <si>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</si>
  <si>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</si>
  <si>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</si>
  <si>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</si>
  <si>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</si>
  <si>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</si>
  <si>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</si>
  <si>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</si>
  <si>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</si>
  <si>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</si>
  <si>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</si>
  <si>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</si>
  <si>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</si>
  <si>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</si>
  <si>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</si>
  <si>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</si>
  <si>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</si>
  <si>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</si>
  <si>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</si>
  <si>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</si>
  <si>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</si>
  <si>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</si>
  <si>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</si>
  <si>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</si>
  <si>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</si>
  <si>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</si>
  <si>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</si>
  <si>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</si>
  <si>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</si>
  <si>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</si>
  <si>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</si>
  <si>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</si>
  <si>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</si>
  <si>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</si>
  <si>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</si>
  <si>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</si>
  <si>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</si>
  <si>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</si>
  <si>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</si>
  <si>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</si>
  <si>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</si>
  <si>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</si>
  <si>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</si>
  <si>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</si>
  <si>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</si>
  <si>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</si>
  <si>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</si>
  <si>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</si>
  <si>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</si>
  <si>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</si>
  <si>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</si>
  <si>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</si>
  <si>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</si>
  <si>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</si>
  <si>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</si>
  <si>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</si>
  <si>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</si>
  <si>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</si>
  <si>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</si>
  <si>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</si>
  <si>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</si>
  <si>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</si>
  <si>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</si>
  <si>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</si>
  <si>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</si>
  <si>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</si>
  <si>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</si>
  <si>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</si>
  <si>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</si>
  <si>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</si>
  <si>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</si>
  <si>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</si>
  <si>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</si>
  <si>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</si>
  <si>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</si>
  <si>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</si>
  <si>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</si>
  <si>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</si>
  <si>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</si>
  <si>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</si>
  <si>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</si>
  <si>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</si>
  <si>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</si>
  <si>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</si>
  <si>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</si>
  <si>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</si>
  <si>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</si>
  <si>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</si>
  <si>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</si>
  <si>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</si>
  <si>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</si>
  <si>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</si>
  <si>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</si>
  <si>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</si>
  <si>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</si>
  <si>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</si>
  <si>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</si>
  <si>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</si>
  <si>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</si>
  <si>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</si>
  <si>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</si>
  <si>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</si>
  <si>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</si>
  <si>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</si>
  <si>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</si>
  <si>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</si>
  <si>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</si>
  <si>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</si>
  <si>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</si>
  <si>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</si>
  <si>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</si>
  <si>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</si>
  <si>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</si>
  <si>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</si>
  <si>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</si>
  <si>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</si>
  <si>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</si>
  <si>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</si>
  <si>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</si>
  <si>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</si>
  <si>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</si>
  <si>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</si>
  <si>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</si>
  <si>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</si>
  <si>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</si>
  <si>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</si>
  <si>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</si>
  <si>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</si>
  <si>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</si>
  <si>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</si>
  <si>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</si>
  <si>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</si>
  <si>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</si>
  <si>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</si>
  <si>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</si>
  <si>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</si>
  <si>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</si>
  <si>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</si>
  <si>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</si>
  <si>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</si>
  <si>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</si>
  <si>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</si>
  <si>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</si>
  <si>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</si>
  <si>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</si>
  <si>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</si>
  <si>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</si>
  <si>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</si>
  <si>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</si>
  <si>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</si>
  <si>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</si>
  <si>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</si>
  <si>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</si>
  <si>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</si>
  <si>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</si>
  <si>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</si>
  <si>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</si>
  <si>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</si>
  <si>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</si>
  <si>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</si>
  <si>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</si>
  <si>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</si>
  <si>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</si>
  <si>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</si>
  <si>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</si>
  <si>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</si>
  <si>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</si>
  <si>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</si>
  <si>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</si>
  <si>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</si>
  <si>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</si>
  <si>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</si>
  <si>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</si>
  <si>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</si>
  <si>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</si>
  <si>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</si>
  <si>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</si>
  <si>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</si>
  <si>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</si>
  <si>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</si>
  <si>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</si>
  <si>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</si>
  <si>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</si>
  <si>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</si>
  <si>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</si>
  <si>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</si>
  <si>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</si>
  <si>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</si>
  <si>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</si>
  <si>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</si>
  <si>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</si>
  <si>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</si>
  <si>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</si>
  <si>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</si>
  <si>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</si>
  <si>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</si>
  <si>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</si>
  <si>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</si>
  <si>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</si>
  <si>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</si>
  <si>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</si>
  <si>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</si>
  <si>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</si>
  <si>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</si>
  <si>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</si>
  <si>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</si>
  <si>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</si>
  <si>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</si>
  <si>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</si>
  <si>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</si>
  <si>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</si>
  <si>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</si>
  <si>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</si>
  <si>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</si>
  <si>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</si>
  <si>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</si>
  <si>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</si>
  <si>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</si>
  <si>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</si>
  <si>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</si>
  <si>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</si>
  <si>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</si>
  <si>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</si>
  <si>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</si>
  <si>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</si>
  <si>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</si>
  <si>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</si>
  <si>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</si>
  <si>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</si>
  <si>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</si>
  <si>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</si>
  <si>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</si>
  <si>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</si>
  <si>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</si>
  <si>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</si>
  <si>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</si>
  <si>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</si>
  <si>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</si>
  <si>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</si>
  <si>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</si>
  <si>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</si>
  <si>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</si>
  <si>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</si>
  <si>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</si>
  <si>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</si>
  <si>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</si>
  <si>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</si>
  <si>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</si>
  <si>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</si>
  <si>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</si>
  <si>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</si>
  <si>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</si>
  <si>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</si>
  <si>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</si>
  <si>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</si>
  <si>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</si>
  <si>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</si>
  <si>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</si>
  <si>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</si>
  <si>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</si>
  <si>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</si>
  <si>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</si>
  <si>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</si>
  <si>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</si>
  <si>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</si>
  <si>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</si>
  <si>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</si>
  <si>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</si>
  <si>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</si>
  <si>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</si>
  <si>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</si>
  <si>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</si>
  <si>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</si>
  <si>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</si>
  <si>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</si>
  <si>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</si>
  <si>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</si>
  <si>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</si>
  <si>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</si>
  <si>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</si>
  <si>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</si>
  <si>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</si>
  <si>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</si>
  <si>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</si>
  <si>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</si>
  <si>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</si>
  <si>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</si>
  <si>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</si>
  <si>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</si>
  <si>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</si>
  <si>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</si>
  <si>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</si>
  <si>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</si>
  <si>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</si>
  <si>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</si>
  <si>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</si>
  <si>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</si>
  <si>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</si>
  <si>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</si>
  <si>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</si>
  <si>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</si>
  <si>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</si>
  <si>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</si>
  <si>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</si>
  <si>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</si>
  <si>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</si>
  <si>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</si>
  <si>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</si>
  <si>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</si>
  <si>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</si>
  <si>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</si>
  <si>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</si>
  <si>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</si>
  <si>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</si>
  <si>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</si>
  <si>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</si>
  <si>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</si>
  <si>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</si>
  <si>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</si>
  <si>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</si>
  <si>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</si>
  <si>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</si>
  <si>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</si>
  <si>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</si>
  <si>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</si>
  <si>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</si>
  <si>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</si>
  <si>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</si>
  <si>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</si>
  <si>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</si>
  <si>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</si>
  <si>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</si>
  <si>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</si>
  <si>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</si>
  <si>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</si>
  <si>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</si>
  <si>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</si>
  <si>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</si>
  <si>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</si>
  <si>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</si>
  <si>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</si>
  <si>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</si>
  <si>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</si>
  <si>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</si>
  <si>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</si>
  <si>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</si>
  <si>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</si>
  <si>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</si>
  <si>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</si>
  <si>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</si>
  <si>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</si>
  <si>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</si>
  <si>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</si>
  <si>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</si>
  <si>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</si>
  <si>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</si>
  <si>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</si>
  <si>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</si>
  <si>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</si>
  <si>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</si>
  <si>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</si>
  <si>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</si>
  <si>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</si>
  <si>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</si>
  <si>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</si>
  <si>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</si>
  <si>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</si>
  <si>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</si>
  <si>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</si>
  <si>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</si>
  <si>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</si>
  <si>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</si>
  <si>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</si>
  <si>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</si>
  <si>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</si>
  <si>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</si>
  <si>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</si>
  <si>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</si>
  <si>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</si>
  <si>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</si>
  <si>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</si>
  <si>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</si>
  <si>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</si>
  <si>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</si>
  <si>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</si>
  <si>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</si>
  <si>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</si>
  <si>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</si>
  <si>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</si>
  <si>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</si>
  <si>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</si>
  <si>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</si>
  <si>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</si>
  <si>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</si>
  <si>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</si>
  <si>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</si>
  <si>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</si>
  <si>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</si>
  <si>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</si>
  <si>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</si>
  <si>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</si>
  <si>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</si>
  <si>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</si>
  <si>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</si>
  <si>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</si>
  <si>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</si>
  <si>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</si>
  <si>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</si>
  <si>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</si>
  <si>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</si>
  <si>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</si>
  <si>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</si>
  <si>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</si>
  <si>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</si>
  <si>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</si>
  <si>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</si>
  <si>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</si>
  <si>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</si>
  <si>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</si>
  <si>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</si>
  <si>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</si>
  <si>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</si>
  <si>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</si>
  <si>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</si>
  <si>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</si>
  <si>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</si>
  <si>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</si>
  <si>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</si>
  <si>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</si>
  <si>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</si>
  <si>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</si>
  <si>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</si>
  <si>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</si>
  <si>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</si>
  <si>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</si>
  <si>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</si>
  <si>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</si>
  <si>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</si>
  <si>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</si>
  <si>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</si>
  <si>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</si>
  <si>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</si>
  <si>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</si>
  <si>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</si>
  <si>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</si>
  <si>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</si>
  <si>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</si>
  <si>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</si>
  <si>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</si>
  <si>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</si>
  <si>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</si>
  <si>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</si>
  <si>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</si>
  <si>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</si>
  <si>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</si>
  <si>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</si>
  <si>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</si>
  <si>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</si>
  <si>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</si>
  <si>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</si>
  <si>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</si>
  <si>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</si>
  <si>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</si>
  <si>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</si>
  <si>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</si>
  <si>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</si>
  <si>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</si>
  <si>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</si>
  <si>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</si>
  <si>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</si>
  <si>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</si>
  <si>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</si>
  <si>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</si>
  <si>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</si>
  <si>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</si>
  <si>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</si>
  <si>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</si>
  <si>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</si>
  <si>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</si>
  <si>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</si>
  <si>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</si>
  <si>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</si>
  <si>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</si>
  <si>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</si>
  <si>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</si>
  <si>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</si>
  <si>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</si>
  <si>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</si>
  <si>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</si>
  <si>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</si>
  <si>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</si>
  <si>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</si>
  <si>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</si>
  <si>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</si>
  <si>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</si>
  <si>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</si>
  <si>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</si>
  <si>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</si>
  <si>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</si>
  <si>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</si>
  <si>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</si>
  <si>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</si>
  <si>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</si>
  <si>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</si>
  <si>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</si>
  <si>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</si>
  <si>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</si>
  <si>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</si>
  <si>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</si>
  <si>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</si>
  <si>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</si>
  <si>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</si>
  <si>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</si>
  <si>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</si>
  <si>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</si>
  <si>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</si>
  <si>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</si>
  <si>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</si>
  <si>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</si>
  <si>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</si>
  <si>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</si>
  <si>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</si>
  <si>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</si>
  <si>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</si>
  <si>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</si>
  <si>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</si>
  <si>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</si>
  <si>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</si>
  <si>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</si>
  <si>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</si>
  <si>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</si>
  <si>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</si>
  <si>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</si>
  <si>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</si>
  <si>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</si>
  <si>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</si>
  <si>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</si>
  <si>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</si>
  <si>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</si>
  <si>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</si>
  <si>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</si>
  <si>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</si>
  <si>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</si>
  <si>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</si>
  <si>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</si>
  <si>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</si>
  <si>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</si>
  <si>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</si>
  <si>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</si>
  <si>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</si>
  <si>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</si>
  <si>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</si>
  <si>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</si>
  <si>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</si>
  <si>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</si>
  <si>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</si>
  <si>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</si>
  <si>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</si>
  <si>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</si>
  <si>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</si>
  <si>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</si>
  <si>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</si>
  <si>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</si>
  <si>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</si>
  <si>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</si>
  <si>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</si>
  <si>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</si>
  <si>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</si>
  <si>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</si>
  <si>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</si>
  <si>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</si>
  <si>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</si>
  <si>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</si>
  <si>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</si>
  <si>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</si>
  <si>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</si>
  <si>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</si>
  <si>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</si>
  <si>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</si>
  <si>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</si>
  <si>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</si>
  <si>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</si>
  <si>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</si>
  <si>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</si>
  <si>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</si>
  <si>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</si>
  <si>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</si>
  <si>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</si>
  <si>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</si>
  <si>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</si>
  <si>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</si>
  <si>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</si>
  <si>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</si>
  <si>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</si>
  <si>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</si>
  <si>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</si>
  <si>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</si>
  <si>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</si>
  <si>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</si>
  <si>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</si>
  <si>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</si>
  <si>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</si>
  <si>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</si>
  <si>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</si>
  <si>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</si>
  <si>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</si>
  <si>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</si>
  <si>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</si>
  <si>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</si>
  <si>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</si>
  <si>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</si>
  <si>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</si>
  <si>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</si>
  <si>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</si>
  <si>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</si>
  <si>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</si>
  <si>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</si>
  <si>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</si>
  <si>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</si>
  <si>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</si>
  <si>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</si>
  <si>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</si>
  <si>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</si>
  <si>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</si>
  <si>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</si>
  <si>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</si>
  <si>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</si>
  <si>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</si>
  <si>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</si>
  <si>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</si>
  <si>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</si>
  <si>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</si>
  <si>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</si>
  <si>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</si>
  <si>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</si>
  <si>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</si>
  <si>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</si>
  <si>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</si>
  <si>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</si>
  <si>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</si>
  <si>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</si>
  <si>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</si>
  <si>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</si>
  <si>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</si>
  <si>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</si>
  <si>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</si>
  <si>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</si>
  <si>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</si>
  <si>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</si>
  <si>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</si>
  <si>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</si>
  <si>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</si>
  <si>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</si>
  <si>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</si>
  <si>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</si>
  <si>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</si>
  <si>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</si>
  <si>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</si>
  <si>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</si>
  <si>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</si>
  <si>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</si>
  <si>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</si>
  <si>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</si>
  <si>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</si>
  <si>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</si>
  <si>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</si>
  <si>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</si>
  <si>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</si>
  <si>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</si>
  <si>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</si>
  <si>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</si>
  <si>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</si>
  <si>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</si>
  <si>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</si>
  <si>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</si>
  <si>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</si>
  <si>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</si>
  <si>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</si>
  <si>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</si>
  <si>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</si>
  <si>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</si>
  <si>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</si>
  <si>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</si>
  <si>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</si>
  <si>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</si>
  <si>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</si>
  <si>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</si>
  <si>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</si>
  <si>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</si>
  <si>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</si>
  <si>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</si>
  <si>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</si>
  <si>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</si>
  <si>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</si>
  <si>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</si>
  <si>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</si>
  <si>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</si>
  <si>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</si>
  <si>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</si>
  <si>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</si>
  <si>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</si>
  <si>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</si>
  <si>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</si>
  <si>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</si>
  <si>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</si>
  <si>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</si>
  <si>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</si>
  <si>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</si>
  <si>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</si>
  <si>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</si>
  <si>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</si>
  <si>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</si>
  <si>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</si>
  <si>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</si>
  <si>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</si>
  <si>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</si>
  <si>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</si>
  <si>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</si>
  <si>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</si>
  <si>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</si>
  <si>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</si>
  <si>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</si>
  <si>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</si>
  <si>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</si>
  <si>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</si>
  <si>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</si>
  <si>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</si>
  <si>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</si>
  <si>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</si>
  <si>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</si>
  <si>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</si>
  <si>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</si>
  <si>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</si>
  <si>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</si>
  <si>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</si>
  <si>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</si>
  <si>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</si>
  <si>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</si>
  <si>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</si>
  <si>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</si>
  <si>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</si>
  <si>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</si>
  <si>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</si>
  <si>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</si>
  <si>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</si>
  <si>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</si>
  <si>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</si>
  <si>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</si>
  <si>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</si>
  <si>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</si>
  <si>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</si>
  <si>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</si>
  <si>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</si>
  <si>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</si>
  <si>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</si>
  <si>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</si>
  <si>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</si>
  <si>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</si>
  <si>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</si>
  <si>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</si>
  <si>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</si>
  <si>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</si>
  <si>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</si>
  <si>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</si>
  <si>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</si>
  <si>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</si>
  <si>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</si>
  <si>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</si>
  <si>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</si>
  <si>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</si>
  <si>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</si>
  <si>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</si>
  <si>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</si>
  <si>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</si>
  <si>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</si>
  <si>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</si>
  <si>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</si>
  <si>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</si>
  <si>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</si>
  <si>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</si>
  <si>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</si>
  <si>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</si>
  <si>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</si>
  <si>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</si>
  <si>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</si>
  <si>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</si>
  <si>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</si>
  <si>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</si>
  <si>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</si>
  <si>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</si>
  <si>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</si>
  <si>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</si>
  <si>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</si>
  <si>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</si>
  <si>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</si>
  <si>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</si>
  <si>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</si>
  <si>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</si>
  <si>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</si>
  <si>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</si>
  <si>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</si>
  <si>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</si>
  <si>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</si>
  <si>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</si>
  <si>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</si>
  <si>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</si>
  <si>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</si>
  <si>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</si>
  <si>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</si>
  <si>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</si>
  <si>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</si>
  <si>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</si>
  <si>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</si>
  <si>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</si>
  <si>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</si>
  <si>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</si>
  <si>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</si>
  <si>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</si>
  <si>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</si>
  <si>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</si>
  <si>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</si>
  <si>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</si>
  <si>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</si>
  <si>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</si>
  <si>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</si>
  <si>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</si>
  <si>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</si>
  <si>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</si>
  <si>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</si>
  <si>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</si>
  <si>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</si>
  <si>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</si>
  <si>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</si>
  <si>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</si>
  <si>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</si>
  <si>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</si>
  <si>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</si>
  <si>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</si>
  <si>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</si>
  <si>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</si>
  <si>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</si>
  <si>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</si>
  <si>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</si>
  <si>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</si>
  <si>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</si>
  <si>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</si>
  <si>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</si>
  <si>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</si>
  <si>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</si>
  <si>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</si>
  <si>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</si>
  <si>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</si>
  <si>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</si>
  <si>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</si>
  <si>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</si>
  <si>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</si>
  <si>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</si>
  <si>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</si>
  <si>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</si>
  <si>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</si>
  <si>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</si>
  <si>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</si>
  <si>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</si>
  <si>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</si>
  <si>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</si>
  <si>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</si>
  <si>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</si>
  <si>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</si>
  <si>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</si>
  <si>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</si>
  <si>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</si>
  <si>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</si>
  <si>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</si>
  <si>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</si>
  <si>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</si>
  <si>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</si>
  <si>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</si>
  <si>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</si>
  <si>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</si>
  <si>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</si>
  <si>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</si>
  <si>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</si>
  <si>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</si>
  <si>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</si>
  <si>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</si>
  <si>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</si>
  <si>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</si>
  <si>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</si>
  <si>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</si>
  <si>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</si>
  <si>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</si>
  <si>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</si>
  <si>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</si>
  <si>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</si>
  <si>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</si>
  <si>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</si>
  <si>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</si>
  <si>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</si>
  <si>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</si>
  <si>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</si>
  <si>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</si>
  <si>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</si>
  <si>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</si>
  <si>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</si>
  <si>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</si>
  <si>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</si>
  <si>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</si>
  <si>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</si>
  <si>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</si>
  <si>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</si>
  <si>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</si>
  <si>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</si>
  <si>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</si>
  <si>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</si>
  <si>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</si>
  <si>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</si>
  <si>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</si>
  <si>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</si>
  <si>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</si>
  <si>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</si>
  <si>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</si>
  <si>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</si>
  <si>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</si>
  <si>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</si>
  <si>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</si>
  <si>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</si>
  <si>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</si>
  <si>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</si>
  <si>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</si>
  <si>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</si>
  <si>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</si>
  <si>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</si>
  <si>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</si>
  <si>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</si>
  <si>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</si>
  <si>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</si>
  <si>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</si>
  <si>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</si>
  <si>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</si>
  <si>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</si>
  <si>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</si>
  <si>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</si>
  <si>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</si>
  <si>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</si>
  <si>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</si>
  <si>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</si>
  <si>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</si>
  <si>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</si>
  <si>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</si>
  <si>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</si>
  <si>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</si>
  <si>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</si>
  <si>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</si>
  <si>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</si>
  <si>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</si>
  <si>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</si>
  <si>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</si>
  <si>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</si>
  <si>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</si>
  <si>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</si>
  <si>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</si>
  <si>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</si>
  <si>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</si>
  <si>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</si>
  <si>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</si>
  <si>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</si>
  <si>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</si>
  <si>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</si>
  <si>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</si>
  <si>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</si>
  <si>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</si>
  <si>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</si>
  <si>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</si>
  <si>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</si>
  <si>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</si>
  <si>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</si>
  <si>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</si>
  <si>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</si>
  <si>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</si>
  <si>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</si>
  <si>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</si>
  <si>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</si>
  <si>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</si>
  <si>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</si>
  <si>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</si>
  <si>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</si>
  <si>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</si>
  <si>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</si>
  <si>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</si>
  <si>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</si>
  <si>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</si>
  <si>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</si>
  <si>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</si>
  <si>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</si>
  <si>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</si>
  <si>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</si>
  <si>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</si>
  <si>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</si>
  <si>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</si>
  <si>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</si>
  <si>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</si>
  <si>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</si>
  <si>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</si>
  <si>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</si>
  <si>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</si>
  <si>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</si>
  <si>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</si>
  <si>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</si>
  <si>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</si>
  <si>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</si>
  <si>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</si>
  <si>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</si>
  <si>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</si>
  <si>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</si>
  <si>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</si>
  <si>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</si>
  <si>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</si>
  <si>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</si>
  <si>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</si>
  <si>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</si>
  <si>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</si>
  <si>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</si>
  <si>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</si>
  <si>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</si>
  <si>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</si>
  <si>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</si>
  <si>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</si>
  <si>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</si>
  <si>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</si>
  <si>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</si>
  <si>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</si>
  <si>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</si>
  <si>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</si>
  <si>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</si>
  <si>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</si>
  <si>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</si>
  <si>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</si>
  <si>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</si>
  <si>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</si>
  <si>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</si>
  <si>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</si>
  <si>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</si>
  <si>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</si>
  <si>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</si>
  <si>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</si>
  <si>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</si>
  <si>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</si>
  <si>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</si>
  <si>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</si>
  <si>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</si>
  <si>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</si>
  <si>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</si>
  <si>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</si>
  <si>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</si>
  <si>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</si>
  <si>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</si>
  <si>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</si>
  <si>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</si>
  <si>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</si>
  <si>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</si>
  <si>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</si>
  <si>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</si>
  <si>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</si>
  <si>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</si>
  <si>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</si>
  <si>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</si>
  <si>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</si>
  <si>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</si>
  <si>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</si>
  <si>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</si>
  <si>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</si>
  <si>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</si>
  <si>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</si>
  <si>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</si>
  <si>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</si>
  <si>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</si>
  <si>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</si>
  <si>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</si>
  <si>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</si>
  <si>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</si>
  <si>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</si>
  <si>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</si>
  <si>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</si>
  <si>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</si>
  <si>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</si>
  <si>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</si>
  <si>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</si>
  <si>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</si>
  <si>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</si>
  <si>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</si>
  <si>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</si>
  <si>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</si>
  <si>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</si>
  <si>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</si>
  <si>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</si>
  <si>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</si>
  <si>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</si>
  <si>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</si>
  <si>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</si>
  <si>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</si>
  <si>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</si>
  <si>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</si>
  <si>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</si>
  <si>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</si>
  <si>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</si>
  <si>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</si>
  <si>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</si>
  <si>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</si>
  <si>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</si>
  <si>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</si>
  <si>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</si>
  <si>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</si>
  <si>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</si>
  <si>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</si>
  <si>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</si>
  <si>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</si>
  <si>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</si>
  <si>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</si>
  <si>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</si>
  <si>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</si>
  <si>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</si>
  <si>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</si>
  <si>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</si>
  <si>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</si>
  <si>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</si>
  <si>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</si>
  <si>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</si>
  <si>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</si>
  <si>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</si>
  <si>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</si>
  <si>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</si>
  <si>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</si>
  <si>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</si>
  <si>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</si>
  <si>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</si>
  <si>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</si>
  <si>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</si>
  <si>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</si>
  <si>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</si>
  <si>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</si>
  <si>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</si>
  <si>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</si>
  <si>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</si>
  <si>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</si>
  <si>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</si>
  <si>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</si>
  <si>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</si>
  <si>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</si>
  <si>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</si>
  <si>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</si>
  <si>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</si>
  <si>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</si>
  <si>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</si>
  <si>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</si>
  <si>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</si>
  <si>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</si>
  <si>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</si>
  <si>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</si>
  <si>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</si>
  <si>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</si>
  <si>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</si>
  <si>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</si>
  <si>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</si>
  <si>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</si>
  <si>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</si>
  <si>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</si>
  <si>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</si>
  <si>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</si>
  <si>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</si>
  <si>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</si>
  <si>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</si>
  <si>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</si>
  <si>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</si>
  <si>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</si>
  <si>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</si>
  <si>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</si>
  <si>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</si>
  <si>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</si>
  <si>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</si>
  <si>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</si>
  <si>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</si>
  <si>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</si>
  <si>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</si>
  <si>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</si>
  <si>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</si>
  <si>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</si>
  <si>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</si>
  <si>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</si>
  <si>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</si>
  <si>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</si>
  <si>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</si>
  <si>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</si>
  <si>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</si>
  <si>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</si>
  <si>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</si>
  <si>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</si>
  <si>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</si>
  <si>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</si>
  <si>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</si>
  <si>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</si>
  <si>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</si>
  <si>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</si>
  <si>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</si>
  <si>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</si>
  <si>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</si>
  <si>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</si>
  <si>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</si>
  <si>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</si>
  <si>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</si>
  <si>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</si>
  <si>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</si>
  <si>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</si>
  <si>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</si>
  <si>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</si>
  <si>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</si>
  <si>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</si>
  <si>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</si>
  <si>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</si>
  <si>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</si>
  <si>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</si>
  <si>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</si>
  <si>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</si>
  <si>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</si>
  <si>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</si>
  <si>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</si>
  <si>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</si>
  <si>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</si>
  <si>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</si>
  <si>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</si>
  <si>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</si>
  <si>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</si>
  <si>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</si>
  <si>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</si>
  <si>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</si>
  <si>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</si>
  <si>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</si>
  <si>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</si>
  <si>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</si>
  <si>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</si>
  <si>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</si>
  <si>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</si>
  <si>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</si>
  <si>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</si>
  <si>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</si>
  <si>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</si>
  <si>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</si>
  <si>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</si>
  <si>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</si>
  <si>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</si>
  <si>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</si>
  <si>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</si>
  <si>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</si>
  <si>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</si>
  <si>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</si>
  <si>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</si>
  <si>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</si>
  <si>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</si>
  <si>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</si>
  <si>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</si>
  <si>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</si>
  <si>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</si>
  <si>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</si>
  <si>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</si>
  <si>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</si>
  <si>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</si>
  <si>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</si>
  <si>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</si>
  <si>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</si>
  <si>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</si>
  <si>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</si>
  <si>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</si>
  <si>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</si>
  <si>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</si>
  <si>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</si>
  <si>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</si>
  <si>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</si>
  <si>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</si>
  <si>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</si>
  <si>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</si>
  <si>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</si>
  <si>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</si>
  <si>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</si>
  <si>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</si>
  <si>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</si>
  <si>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</si>
  <si>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</si>
  <si>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</si>
  <si>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</si>
  <si>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</si>
  <si>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</si>
  <si>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</si>
  <si>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</si>
  <si>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</si>
  <si>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</si>
  <si>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</si>
  <si>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</si>
  <si>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</si>
  <si>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</si>
  <si>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</si>
  <si>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</si>
  <si>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</si>
  <si>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</si>
  <si>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</si>
  <si>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</si>
  <si>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</si>
  <si>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</si>
  <si>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</si>
  <si>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</si>
  <si>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</si>
  <si>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</si>
  <si>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</si>
  <si>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</si>
  <si>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</si>
  <si>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</si>
  <si>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</si>
  <si>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</si>
  <si>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</si>
  <si>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</si>
  <si>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</si>
  <si>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</si>
  <si>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</si>
  <si>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</si>
  <si>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</si>
  <si>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</si>
  <si>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</si>
  <si>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</si>
  <si>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</si>
  <si>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</si>
  <si>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</si>
  <si>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</si>
  <si>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</si>
  <si>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</si>
  <si>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</si>
  <si>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</si>
  <si>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</si>
  <si>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</si>
  <si>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</si>
  <si>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</si>
  <si>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</si>
  <si>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</si>
  <si>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</si>
  <si>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</si>
  <si>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</si>
  <si>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</si>
  <si>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</si>
  <si>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</si>
  <si>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</si>
  <si>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</si>
  <si>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</si>
  <si>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</si>
  <si>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</si>
  <si>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</si>
  <si>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</si>
  <si>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</si>
  <si>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</si>
  <si>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</si>
  <si>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</si>
  <si>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</si>
  <si>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</si>
  <si>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</si>
  <si>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</si>
  <si>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</si>
  <si>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</si>
  <si>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</si>
  <si>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</si>
  <si>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</si>
  <si>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</si>
  <si>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</si>
  <si>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</si>
  <si>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</si>
  <si>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</si>
  <si>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</si>
  <si>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</si>
  <si>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</si>
  <si>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</si>
  <si>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</si>
  <si>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</si>
  <si>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</si>
  <si>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</si>
  <si>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</si>
  <si>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</si>
  <si>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</si>
  <si>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</si>
  <si>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</si>
  <si>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</si>
  <si>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</si>
  <si>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</si>
  <si>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</si>
  <si>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</si>
  <si>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</si>
  <si>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</si>
  <si>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</si>
  <si>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</si>
  <si>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</si>
  <si>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</si>
  <si>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</si>
  <si>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</si>
  <si>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</si>
  <si>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</si>
  <si>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</si>
  <si>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</si>
  <si>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</si>
  <si>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</si>
  <si>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</si>
  <si>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</si>
  <si>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</si>
  <si>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</si>
  <si>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</si>
  <si>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</si>
  <si>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</si>
  <si>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</si>
  <si>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</si>
  <si>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</si>
  <si>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</si>
  <si>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</si>
  <si>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</si>
  <si>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</si>
  <si>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</si>
  <si>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</si>
  <si>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</si>
  <si>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</si>
  <si>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</si>
  <si>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</si>
  <si>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</si>
  <si>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</si>
  <si>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</si>
  <si>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</si>
  <si>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</si>
  <si>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</si>
  <si>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</si>
  <si>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</si>
  <si>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</si>
  <si>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</si>
  <si>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</si>
  <si>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</si>
  <si>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</si>
  <si>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</si>
  <si>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</si>
  <si>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</si>
  <si>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</si>
  <si>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</si>
  <si>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</si>
  <si>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</si>
  <si>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</si>
  <si>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</si>
  <si>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</si>
  <si>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</si>
  <si>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</si>
  <si>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</si>
  <si>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</si>
  <si>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</si>
  <si>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</si>
  <si>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</si>
  <si>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</si>
  <si>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</si>
  <si>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</si>
  <si>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</si>
  <si>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</si>
  <si>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</si>
  <si>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</si>
  <si>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</si>
  <si>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</si>
  <si>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</si>
  <si>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</si>
  <si>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</si>
  <si>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</si>
  <si>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</si>
  <si>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</si>
  <si>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</si>
  <si>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</si>
  <si>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</si>
  <si>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</si>
  <si>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</si>
  <si>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</si>
  <si>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</si>
  <si>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</si>
  <si>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</si>
  <si>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</si>
  <si>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</si>
  <si>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</si>
  <si>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</si>
  <si>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</si>
  <si>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</si>
  <si>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</si>
  <si>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</si>
  <si>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</si>
  <si>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</si>
  <si>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</si>
  <si>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</si>
  <si>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</si>
  <si>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</si>
  <si>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</si>
  <si>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</si>
  <si>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</si>
  <si>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</si>
  <si>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</si>
  <si>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</si>
  <si>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</si>
  <si>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</si>
  <si>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</si>
  <si>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</si>
  <si>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</si>
  <si>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</si>
  <si>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</si>
  <si>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</si>
  <si>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</si>
  <si>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</si>
  <si>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</si>
  <si>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</si>
  <si>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</si>
  <si>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</si>
  <si>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</si>
  <si>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</si>
  <si>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</si>
  <si>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</si>
  <si>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</si>
  <si>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</si>
  <si>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</si>
  <si>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</si>
  <si>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</si>
  <si>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</si>
  <si>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</si>
  <si>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</si>
  <si>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</si>
  <si>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</si>
  <si>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</si>
  <si>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</si>
  <si>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</si>
  <si>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</si>
  <si>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</si>
  <si>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</si>
  <si>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</si>
  <si>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</si>
  <si>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</si>
  <si>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</si>
  <si>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</si>
  <si>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</si>
  <si>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</si>
  <si>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</si>
  <si>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</si>
  <si>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</si>
  <si>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</si>
  <si>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</si>
  <si>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</si>
  <si>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</si>
  <si>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</si>
  <si>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</si>
  <si>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</si>
  <si>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</si>
  <si>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</si>
  <si>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</si>
  <si>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</si>
  <si>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</si>
  <si>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</si>
  <si>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</si>
  <si>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</si>
  <si>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</si>
  <si>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</si>
  <si>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</si>
  <si>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</si>
  <si>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</si>
  <si>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</si>
  <si>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</si>
  <si>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</si>
  <si>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</si>
  <si>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</si>
  <si>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</si>
  <si>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</si>
  <si>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</si>
  <si>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</si>
  <si>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</si>
  <si>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</si>
  <si>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</si>
  <si>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</si>
  <si>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</si>
  <si>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</si>
  <si>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</si>
  <si>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</si>
  <si>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</si>
  <si>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</si>
  <si>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</si>
  <si>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</si>
  <si>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</si>
  <si>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</si>
  <si>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</si>
  <si>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</si>
  <si>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</si>
  <si>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</si>
  <si>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</si>
  <si>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</si>
  <si>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</si>
  <si>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</si>
  <si>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</si>
  <si>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</si>
  <si>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</si>
  <si>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</si>
  <si>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</si>
  <si>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</si>
  <si>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</si>
  <si>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</si>
  <si>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</si>
  <si>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</si>
  <si>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</si>
  <si>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</si>
  <si>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</si>
  <si>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</si>
  <si>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</si>
  <si>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</si>
  <si>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</si>
  <si>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</si>
  <si>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</si>
  <si>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</si>
  <si>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</si>
  <si>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</si>
  <si>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</si>
  <si>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</si>
  <si>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</si>
  <si>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</si>
  <si>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</si>
  <si>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</si>
  <si>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</si>
  <si>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</si>
  <si>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</si>
  <si>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</si>
  <si>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</si>
  <si>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</si>
  <si>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</si>
  <si>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</si>
  <si>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</si>
  <si>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</si>
  <si>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</si>
  <si>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</si>
  <si>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</si>
  <si>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</si>
  <si>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</si>
  <si>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</si>
  <si>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</si>
  <si>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</si>
  <si>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</si>
  <si>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</si>
  <si>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</si>
  <si>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</si>
  <si>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</si>
  <si>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</si>
  <si>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</si>
  <si>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</si>
  <si>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</si>
  <si>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</si>
  <si>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</si>
  <si>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</si>
  <si>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</si>
  <si>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</si>
  <si>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</si>
  <si>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</si>
  <si>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</si>
  <si>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</si>
  <si>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</si>
  <si>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</si>
  <si>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</si>
  <si>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</si>
  <si>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</si>
  <si>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</si>
  <si>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</si>
  <si>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</si>
  <si>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</si>
  <si>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</si>
  <si>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</si>
  <si>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</si>
  <si>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</si>
  <si>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</si>
  <si>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</si>
  <si>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</si>
  <si>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</si>
  <si>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</si>
  <si>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</si>
  <si>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</si>
  <si>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</si>
  <si>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</si>
  <si>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</si>
  <si>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</si>
  <si>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</si>
  <si>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</si>
  <si>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</si>
  <si>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</si>
  <si>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</si>
  <si>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</si>
  <si>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</si>
  <si>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</si>
  <si>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</si>
  <si>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</si>
  <si>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</si>
  <si>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</si>
  <si>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</si>
  <si>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</si>
  <si>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</si>
  <si>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</si>
  <si>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</si>
  <si>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</si>
  <si>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</si>
  <si>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</si>
  <si>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</si>
  <si>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</si>
  <si>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</si>
  <si>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</si>
  <si>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</si>
  <si>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</si>
  <si>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</si>
  <si>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</si>
  <si>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</si>
  <si>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</si>
  <si>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</si>
  <si>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</si>
  <si>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</si>
  <si>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</si>
  <si>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</si>
  <si>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</si>
  <si>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</si>
  <si>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</si>
  <si>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</si>
  <si>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</si>
  <si>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</si>
  <si>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</si>
  <si>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</si>
  <si>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</si>
  <si>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</si>
  <si>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</si>
  <si>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</si>
  <si>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</si>
  <si>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</si>
  <si>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</si>
  <si>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</si>
  <si>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</si>
  <si>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</si>
  <si>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</si>
  <si>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</si>
  <si>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</si>
  <si>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</si>
  <si>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</si>
  <si>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</si>
  <si>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</si>
  <si>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</si>
  <si>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</si>
  <si>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</si>
  <si>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</si>
  <si>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</si>
  <si>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</si>
  <si>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</si>
  <si>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</si>
  <si>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</si>
  <si>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</si>
  <si>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</si>
  <si>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</si>
  <si>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</si>
  <si>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</si>
  <si>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</si>
  <si>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</si>
  <si>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</si>
  <si>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</si>
  <si>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</si>
  <si>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</si>
  <si>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</si>
  <si>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</si>
  <si>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</si>
  <si>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</si>
  <si>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</si>
  <si>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</si>
  <si>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</si>
  <si>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</si>
  <si>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</si>
  <si>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</si>
  <si>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</si>
  <si>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</si>
  <si>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</si>
  <si>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</si>
  <si>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</si>
  <si>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</si>
  <si>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</si>
  <si>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</si>
  <si>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</si>
  <si>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</si>
  <si>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</si>
  <si>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</si>
  <si>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</si>
  <si>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</si>
  <si>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</si>
  <si>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</si>
  <si>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</si>
  <si>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</si>
  <si>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</si>
  <si>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</si>
  <si>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</si>
  <si>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</si>
  <si>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</si>
  <si>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</si>
  <si>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</si>
  <si>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</si>
  <si>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</si>
  <si>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</si>
  <si>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</si>
  <si>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</si>
  <si>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</si>
  <si>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</si>
  <si>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</si>
  <si>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</si>
  <si>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</si>
  <si>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</si>
  <si>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</si>
  <si>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</si>
  <si>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</si>
  <si>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</si>
  <si>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</si>
  <si>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</si>
  <si>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</si>
  <si>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</si>
  <si>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</si>
  <si>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</si>
  <si>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</si>
  <si>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</si>
  <si>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</si>
  <si>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</si>
  <si>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</si>
  <si>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</si>
  <si>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</si>
  <si>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</si>
  <si>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</si>
  <si>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</si>
  <si>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</si>
  <si>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</si>
  <si>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</si>
  <si>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</si>
  <si>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</si>
  <si>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</si>
  <si>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</si>
  <si>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</si>
  <si>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</si>
  <si>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</si>
  <si>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</si>
  <si>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</si>
  <si>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</si>
  <si>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</si>
  <si>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</si>
  <si>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</si>
  <si>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</si>
  <si>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</si>
  <si>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</si>
  <si>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</si>
  <si>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</si>
  <si>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</si>
  <si>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</si>
  <si>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</si>
  <si>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</si>
  <si>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</si>
  <si>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</si>
  <si>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</si>
  <si>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</si>
  <si>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</si>
  <si>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</si>
  <si>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</si>
  <si>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</si>
  <si>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</si>
  <si>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</si>
  <si>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</si>
  <si>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</si>
  <si>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</si>
  <si>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</si>
  <si>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</si>
  <si>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</si>
  <si>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</si>
  <si>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</si>
  <si>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</si>
  <si>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</si>
  <si>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</si>
  <si>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</si>
  <si>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</si>
  <si>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</si>
  <si>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</si>
  <si>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</si>
  <si>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</si>
  <si>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</si>
  <si>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</si>
  <si>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</si>
  <si>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</si>
  <si>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</si>
  <si>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</si>
  <si>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</si>
  <si>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</si>
  <si>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</si>
  <si>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</si>
  <si>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</si>
  <si>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</si>
  <si>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</si>
  <si>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</si>
  <si>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</si>
  <si>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</si>
  <si>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</si>
  <si>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</si>
  <si>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</si>
  <si>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</si>
  <si>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</si>
  <si>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</si>
  <si>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</si>
  <si>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</si>
  <si>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</si>
  <si>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</si>
  <si>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</si>
  <si>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</si>
  <si>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</si>
  <si>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</si>
  <si>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</si>
  <si>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</si>
  <si>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</si>
  <si>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</si>
  <si>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</si>
  <si>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</si>
  <si>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</si>
  <si>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</si>
  <si>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</si>
  <si>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</si>
  <si>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</si>
  <si>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</si>
  <si>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</si>
  <si>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</si>
  <si>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</si>
  <si>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</si>
  <si>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</si>
  <si>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</si>
  <si>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</si>
  <si>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</si>
  <si>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</si>
  <si>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</si>
  <si>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</si>
  <si>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</si>
  <si>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</si>
  <si>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</si>
  <si>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</si>
  <si>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</si>
  <si>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</si>
  <si>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</si>
  <si>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</si>
  <si>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</si>
  <si>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</si>
  <si>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</si>
  <si>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</si>
  <si>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</si>
  <si>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</si>
  <si>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</si>
  <si>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</si>
  <si>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</si>
  <si>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</si>
  <si>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</si>
  <si>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</si>
  <si>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</si>
  <si>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</si>
  <si>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</si>
  <si>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</si>
  <si>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</si>
  <si>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</si>
  <si>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</si>
  <si>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</si>
  <si>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</si>
  <si>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</si>
  <si>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</si>
  <si>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</si>
  <si>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</si>
  <si>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</si>
  <si>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</si>
  <si>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</si>
  <si>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</si>
  <si>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</si>
  <si>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</si>
  <si>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</si>
  <si>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</si>
  <si>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</si>
  <si>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</si>
  <si>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</si>
  <si>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</si>
  <si>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</si>
  <si>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</si>
  <si>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</si>
  <si>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</si>
  <si>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</si>
  <si>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</si>
  <si>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</si>
  <si>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</si>
  <si>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</si>
  <si>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</si>
  <si>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</si>
  <si>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</si>
  <si>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</si>
  <si>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</si>
  <si>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</si>
  <si>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</si>
  <si>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</si>
  <si>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</si>
  <si>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</si>
  <si>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</si>
  <si>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</si>
  <si>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</si>
  <si>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</si>
  <si>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</si>
  <si>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</si>
  <si>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</si>
  <si>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</si>
  <si>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</si>
  <si>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</si>
  <si>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</si>
  <si>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</si>
  <si>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</si>
  <si>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</si>
  <si>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</si>
  <si>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</si>
  <si>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</si>
  <si>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</si>
  <si>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</si>
  <si>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</si>
  <si>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</si>
  <si>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</si>
  <si>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</si>
  <si>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</si>
  <si>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</si>
  <si>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</si>
  <si>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</si>
  <si>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</si>
  <si>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</si>
  <si>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</si>
  <si>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</si>
  <si>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</si>
  <si>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</si>
  <si>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</si>
  <si>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</si>
  <si>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</si>
  <si>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</si>
  <si>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</si>
  <si>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</si>
  <si>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</si>
  <si>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</si>
  <si>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</si>
  <si>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</si>
  <si>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</si>
  <si>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</si>
  <si>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</si>
  <si>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</si>
  <si>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</si>
  <si>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</si>
  <si>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</si>
  <si>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</si>
  <si>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</si>
  <si>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</si>
  <si>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</si>
  <si>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</si>
  <si>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</si>
  <si>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</si>
  <si>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</si>
  <si>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</si>
  <si>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</si>
  <si>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</si>
  <si>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</si>
  <si>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</si>
  <si>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</si>
  <si>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</si>
  <si>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</si>
  <si>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</si>
  <si>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</si>
  <si>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</si>
  <si>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</si>
  <si>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</si>
  <si>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</si>
  <si>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</si>
  <si>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</si>
  <si>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</si>
  <si>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</si>
  <si>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</si>
  <si>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</si>
  <si>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</si>
  <si>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</si>
  <si>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</si>
  <si>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</si>
  <si>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</si>
  <si>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</si>
  <si>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</si>
  <si>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</si>
  <si>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</si>
  <si>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</si>
  <si>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</si>
  <si>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</si>
  <si>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</si>
  <si>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</si>
  <si>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</si>
  <si>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</si>
  <si>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</si>
  <si>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</si>
  <si>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</si>
  <si>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</si>
  <si>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</si>
  <si>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</si>
  <si>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</si>
  <si>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</si>
  <si>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</si>
  <si>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</si>
  <si>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</si>
  <si>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</si>
  <si>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</si>
  <si>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</si>
  <si>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</si>
  <si>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</si>
  <si>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</si>
  <si>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</si>
  <si>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</si>
  <si>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</si>
  <si>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</si>
  <si>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</si>
  <si>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</si>
  <si>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</si>
  <si>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</si>
  <si>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</si>
  <si>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</si>
  <si>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</si>
  <si>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</si>
  <si>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</si>
  <si>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</si>
  <si>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</si>
  <si>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</si>
  <si>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</si>
  <si>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</si>
  <si>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</si>
  <si>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</si>
  <si>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</si>
  <si>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</si>
  <si>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</si>
  <si>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</si>
  <si>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</si>
  <si>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</si>
  <si>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</si>
  <si>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</si>
  <si>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</si>
  <si>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</si>
  <si>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</si>
  <si>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</si>
  <si>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</si>
  <si>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</si>
  <si>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</si>
  <si>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</si>
  <si>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</si>
  <si>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</si>
  <si>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</si>
  <si>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</si>
  <si>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</si>
  <si>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</si>
  <si>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</si>
  <si>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</si>
  <si>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</si>
  <si>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</si>
  <si>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</si>
  <si>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</si>
  <si>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</si>
  <si>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</si>
  <si>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</si>
  <si>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</si>
  <si>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</si>
  <si>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</si>
  <si>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</si>
  <si>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</si>
  <si>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</si>
  <si>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</si>
  <si>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</si>
  <si>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</si>
  <si>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</si>
  <si>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</si>
  <si>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</si>
  <si>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</si>
  <si>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</si>
  <si>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</si>
  <si>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</si>
  <si>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</si>
  <si>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</si>
  <si>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</si>
  <si>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</si>
  <si>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</si>
  <si>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</si>
  <si>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</si>
  <si>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</si>
  <si>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</si>
  <si>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</si>
  <si>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</si>
  <si>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</si>
  <si>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</si>
  <si>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</si>
  <si>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</si>
  <si>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</si>
  <si>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</si>
  <si>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</si>
  <si>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</si>
  <si>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</si>
  <si>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</si>
  <si>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</si>
  <si>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</si>
  <si>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</si>
  <si>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</si>
  <si>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</si>
  <si>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</si>
  <si>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</si>
  <si>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</si>
  <si>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</si>
  <si>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</si>
  <si>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</si>
  <si>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</si>
  <si>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</si>
  <si>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</si>
  <si>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</si>
  <si>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</si>
  <si>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</si>
  <si>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</si>
  <si>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</si>
  <si>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</si>
  <si>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</si>
  <si>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</si>
  <si>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</si>
  <si>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</si>
  <si>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</si>
  <si>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</si>
  <si>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</si>
  <si>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</si>
  <si>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</si>
  <si>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</si>
  <si>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</si>
  <si>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</si>
  <si>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</si>
  <si>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</si>
  <si>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</si>
  <si>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</si>
  <si>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</si>
  <si>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</si>
  <si>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</si>
  <si>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</si>
  <si>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</si>
  <si>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</si>
  <si>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</si>
  <si>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</si>
  <si>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</si>
  <si>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</si>
  <si>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</si>
  <si>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</si>
  <si>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</si>
  <si>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</si>
  <si>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</si>
  <si>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</si>
  <si>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</si>
  <si>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</si>
  <si>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</si>
  <si>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</si>
  <si>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</si>
  <si>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</si>
  <si>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</si>
  <si>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</si>
  <si>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</si>
  <si>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</si>
  <si>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</si>
  <si>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</si>
  <si>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</si>
  <si>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</si>
  <si>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</si>
  <si>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</si>
  <si>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</si>
  <si>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</si>
  <si>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</si>
  <si>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</si>
  <si>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</si>
  <si>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</si>
  <si>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</si>
  <si>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</si>
  <si>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</si>
  <si>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</si>
  <si>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</si>
  <si>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</si>
  <si>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</si>
  <si>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</si>
  <si>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</si>
  <si>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</si>
  <si>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</si>
  <si>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</si>
  <si>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</si>
  <si>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</si>
  <si>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</si>
  <si>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</si>
  <si>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</si>
  <si>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</si>
  <si>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</si>
  <si>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</si>
  <si>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</si>
  <si>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</si>
  <si>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</si>
  <si>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</si>
  <si>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</si>
  <si>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</si>
  <si>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</si>
  <si>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</si>
  <si>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</si>
  <si>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</si>
  <si>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</si>
  <si>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</si>
  <si>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</si>
  <si>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</si>
  <si>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</si>
  <si>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</si>
  <si>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</si>
  <si>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</si>
  <si>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</si>
  <si>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</si>
  <si>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</si>
  <si>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</si>
  <si>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</si>
  <si>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</si>
  <si>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</si>
  <si>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</si>
  <si>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</si>
  <si>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</si>
  <si>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</si>
  <si>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</si>
  <si>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</si>
  <si>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</si>
  <si>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</si>
  <si>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</si>
  <si>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</si>
  <si>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</si>
  <si>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</si>
  <si>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</si>
  <si>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</si>
  <si>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</si>
  <si>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</si>
  <si>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</si>
  <si>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</si>
  <si>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</si>
  <si>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</si>
  <si>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</si>
  <si>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</si>
  <si>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</si>
  <si>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</si>
  <si>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</si>
  <si>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</si>
  <si>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</si>
  <si>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</si>
  <si>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</si>
  <si>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</si>
  <si>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</si>
  <si>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</si>
  <si>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</si>
  <si>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</si>
  <si>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</si>
  <si>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</si>
  <si>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</si>
  <si>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</si>
  <si>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</si>
  <si>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</si>
  <si>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</si>
  <si>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</si>
  <si>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</si>
  <si>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</si>
  <si>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</si>
  <si>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</si>
  <si>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</si>
  <si>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</si>
  <si>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</si>
  <si>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</si>
  <si>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</si>
  <si>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</si>
  <si>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</si>
  <si>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</si>
  <si>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</si>
  <si>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</si>
  <si>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</si>
  <si>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</si>
  <si>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</si>
  <si>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</si>
  <si>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</si>
  <si>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</si>
  <si>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</si>
  <si>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</si>
  <si>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</si>
  <si>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</si>
  <si>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</si>
  <si>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</si>
  <si>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</si>
  <si>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</si>
  <si>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</si>
  <si>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</si>
  <si>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</si>
  <si>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</si>
  <si>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</si>
  <si>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</si>
  <si>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</si>
  <si>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</si>
  <si>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</si>
  <si>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</si>
  <si>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</si>
  <si>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</si>
  <si>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</si>
  <si>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</si>
  <si>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</si>
  <si>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</si>
  <si>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</si>
  <si>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</si>
  <si>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</si>
  <si>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</si>
  <si>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</si>
  <si>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</si>
  <si>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</si>
  <si>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</si>
  <si>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</si>
  <si>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</si>
  <si>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</si>
  <si>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</si>
  <si>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</si>
  <si>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</si>
  <si>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</si>
  <si>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</si>
  <si>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</si>
  <si>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</si>
  <si>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</si>
  <si>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</si>
  <si>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</si>
  <si>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</si>
  <si>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</si>
  <si>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</si>
  <si>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</si>
  <si>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</si>
  <si>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</si>
  <si>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</si>
  <si>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</si>
  <si>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</si>
  <si>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</si>
  <si>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</si>
  <si>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</si>
  <si>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</si>
  <si>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</si>
  <si>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</si>
  <si>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</si>
  <si>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</si>
  <si>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</si>
  <si>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</si>
  <si>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</si>
  <si>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</si>
  <si>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</si>
  <si>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</si>
  <si>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</si>
  <si>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</si>
  <si>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</si>
  <si>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</si>
  <si>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</si>
  <si>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</si>
  <si>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</si>
  <si>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</si>
  <si>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</si>
  <si>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</si>
  <si>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</si>
  <si>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</si>
  <si>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</si>
  <si>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</si>
  <si>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</si>
  <si>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</si>
  <si>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</si>
  <si>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</si>
  <si>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</si>
  <si>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</si>
  <si>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</si>
  <si>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</si>
  <si>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</si>
  <si>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</si>
  <si>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</si>
  <si>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</si>
  <si>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</si>
  <si>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</si>
  <si>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</si>
  <si>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</si>
  <si>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</si>
  <si>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</si>
  <si>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</si>
  <si>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</si>
  <si>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</si>
  <si>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</si>
  <si>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</si>
  <si>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</si>
  <si>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</si>
  <si>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</si>
  <si>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</si>
  <si>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</si>
  <si>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</si>
  <si>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</si>
  <si>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</si>
  <si>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</si>
  <si>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</si>
  <si>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</si>
  <si>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</si>
  <si>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</si>
  <si>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</si>
  <si>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</si>
  <si>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</si>
  <si>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</si>
  <si>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</si>
  <si>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</si>
  <si>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</si>
  <si>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</si>
  <si>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</si>
  <si>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</si>
  <si>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</si>
  <si>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</si>
  <si>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</si>
  <si>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</si>
  <si>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</si>
  <si>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</si>
  <si>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</si>
  <si>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</si>
  <si>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</si>
  <si>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</si>
  <si>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</si>
  <si>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</si>
  <si>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</si>
  <si>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</si>
  <si>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</si>
  <si>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</si>
  <si>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</si>
  <si>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</si>
  <si>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</si>
  <si>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</si>
  <si>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</si>
  <si>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</si>
  <si>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</si>
  <si>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</si>
  <si>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</si>
  <si>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</si>
  <si>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</si>
  <si>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</si>
  <si>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</si>
  <si>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</si>
  <si>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</si>
  <si>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</si>
  <si>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</si>
  <si>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</si>
  <si>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</si>
  <si>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</si>
  <si>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</si>
  <si>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</si>
  <si>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</si>
  <si>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</si>
  <si>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</si>
  <si>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</si>
  <si>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</si>
  <si>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</si>
  <si>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</si>
  <si>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</si>
  <si>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</si>
  <si>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</si>
  <si>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</si>
  <si>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</si>
  <si>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</si>
  <si>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</si>
  <si>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</si>
  <si>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</si>
  <si>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</si>
  <si>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</si>
  <si>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</si>
  <si>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</si>
  <si>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</si>
  <si>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</si>
  <si>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</si>
  <si>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</si>
  <si>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</si>
  <si>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</si>
  <si>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</si>
  <si>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</si>
  <si>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</si>
  <si>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</si>
  <si>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</si>
  <si>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</si>
  <si>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</si>
  <si>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</si>
  <si>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</si>
  <si>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</si>
  <si>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</si>
  <si>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</si>
  <si>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</si>
  <si>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</si>
  <si>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</si>
  <si>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</si>
  <si>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</si>
  <si>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</si>
  <si>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</si>
  <si>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</si>
  <si>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</si>
  <si>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</si>
  <si>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</si>
  <si>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</si>
  <si>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</si>
  <si>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</si>
  <si>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</si>
  <si>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</si>
  <si>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</si>
  <si>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</si>
  <si>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</si>
  <si>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</si>
  <si>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</si>
  <si>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</si>
  <si>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</si>
  <si>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</si>
  <si>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</si>
  <si>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</si>
  <si>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</si>
  <si>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</si>
  <si>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</si>
  <si>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</si>
  <si>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</si>
  <si>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</si>
  <si>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</si>
  <si>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</si>
  <si>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</si>
  <si>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</si>
  <si>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</si>
  <si>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</si>
  <si>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</si>
  <si>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</si>
  <si>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</si>
  <si>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</si>
  <si>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</si>
  <si>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</si>
  <si>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</si>
  <si>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</si>
  <si>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</si>
  <si>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</si>
  <si>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</si>
  <si>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</si>
  <si>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</si>
  <si>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</si>
  <si>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</si>
  <si>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</si>
  <si>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</si>
  <si>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</si>
  <si>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</si>
  <si>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</si>
  <si>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</si>
  <si>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</si>
  <si>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</si>
  <si>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</si>
  <si>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</si>
  <si>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</si>
  <si>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</si>
  <si>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</si>
  <si>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</si>
  <si>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</si>
  <si>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</si>
  <si>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</si>
  <si>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</si>
  <si>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</si>
  <si>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</si>
  <si>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</si>
  <si>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</si>
  <si>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</si>
  <si>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</si>
  <si>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</si>
  <si>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</si>
  <si>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</si>
  <si>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</si>
  <si>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</si>
  <si>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</si>
  <si>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</si>
  <si>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</si>
  <si>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</si>
  <si>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</si>
  <si>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</si>
  <si>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</si>
  <si>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</si>
  <si>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</si>
  <si>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</si>
  <si>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</si>
  <si>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</si>
  <si>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</si>
  <si>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</si>
  <si>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</si>
  <si>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</si>
  <si>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</si>
  <si>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</si>
  <si>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</si>
  <si>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</si>
  <si>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</si>
  <si>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</si>
  <si>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</si>
  <si>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</si>
  <si>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</si>
  <si>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</si>
  <si>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</si>
  <si>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</si>
  <si>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</si>
  <si>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</si>
  <si>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</si>
  <si>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</si>
  <si>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</si>
  <si>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</si>
  <si>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</si>
  <si>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</si>
  <si>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</si>
  <si>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</si>
  <si>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</si>
  <si>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</si>
  <si>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</si>
  <si>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</si>
  <si>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</si>
  <si>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</si>
  <si>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</si>
  <si>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</si>
  <si>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</si>
  <si>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</si>
  <si>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</si>
  <si>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</si>
  <si>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</si>
  <si>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</si>
  <si>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</si>
  <si>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</si>
  <si>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</si>
  <si>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</si>
  <si>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办公项目</t>
  </si>
  <si>
    <t>无</t>
  </si>
  <si>
    <t>否</t>
  </si>
  <si>
    <t>现房</t>
  </si>
  <si>
    <t>是</t>
  </si>
  <si>
    <t>地上</t>
  </si>
  <si>
    <t>办公楼</t>
  </si>
  <si>
    <t>成新度</t>
  </si>
  <si>
    <t>收益法 (元)</t>
  </si>
  <si>
    <t>押一</t>
  </si>
  <si>
    <t>钢混</t>
  </si>
  <si>
    <t>非生产用房</t>
  </si>
  <si>
    <t>楼面单价</t>
  </si>
  <si>
    <t>收益比率</t>
  </si>
  <si>
    <t>售价</t>
  </si>
  <si>
    <t>售价</t>
    <phoneticPr fontId="3" type="noConversion"/>
  </si>
  <si>
    <t>租金</t>
  </si>
  <si>
    <t>租金</t>
    <phoneticPr fontId="3" type="noConversion"/>
  </si>
  <si>
    <t>租售比</t>
    <phoneticPr fontId="3" type="noConversion"/>
  </si>
  <si>
    <t>单套模式</t>
  </si>
  <si>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</si>
  <si>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</si>
  <si>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</si>
  <si>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</si>
  <si>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</si>
  <si>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</si>
  <si>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</si>
  <si>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报价</t>
  </si>
  <si>
    <t>报价</t>
    <phoneticPr fontId="31" type="noConversion"/>
  </si>
  <si>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</si>
  <si>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</si>
  <si>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</si>
  <si>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</si>
  <si>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</si>
  <si>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</si>
  <si>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</si>
  <si>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</si>
  <si>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</si>
  <si>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</si>
  <si>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</si>
  <si>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</si>
  <si>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</si>
  <si>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</si>
  <si>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</si>
  <si>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</si>
  <si>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</si>
  <si>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</si>
  <si>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</si>
  <si>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</si>
  <si>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</si>
  <si>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一般</t>
  </si>
  <si>
    <t>较好</t>
  </si>
  <si>
    <t>商务金融用地</t>
  </si>
  <si>
    <t>自定义容积率</t>
  </si>
  <si>
    <t>不临65条商业街</t>
  </si>
  <si>
    <t>与级别开发程度不一致</t>
  </si>
  <si>
    <t>通路</t>
  </si>
  <si>
    <t>通电</t>
  </si>
  <si>
    <t>通讯</t>
  </si>
  <si>
    <t>通上水</t>
  </si>
  <si>
    <t>通下水</t>
  </si>
  <si>
    <t>通热</t>
  </si>
  <si>
    <t>平整</t>
  </si>
  <si>
    <t>中心城区以外</t>
  </si>
  <si>
    <t>较差</t>
  </si>
  <si>
    <t>未包含在土地购买价格中</t>
  </si>
  <si>
    <t>已包含在土地取得成本中</t>
  </si>
  <si>
    <t>情况4</t>
  </si>
  <si>
    <t>转让取得</t>
  </si>
  <si>
    <t>个人其他（无凭证）</t>
  </si>
  <si>
    <t>购房发票</t>
  </si>
  <si>
    <t>好</t>
  </si>
  <si>
    <t>比较法-办公</t>
  </si>
  <si>
    <t>中区</t>
  </si>
  <si>
    <t>301办公</t>
  </si>
  <si>
    <t>301办公</t>
    <phoneticPr fontId="7" type="noConversion"/>
  </si>
  <si>
    <t>国投财富广场</t>
    <phoneticPr fontId="3" type="noConversion"/>
  </si>
  <si>
    <t>太平桥街道</t>
    <phoneticPr fontId="3" type="noConversion"/>
  </si>
  <si>
    <t>丰台区广安路9号院1号楼3层301办公用房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</si>
</sst>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18" borderId="1"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8153</xdr:colOff>
      <xdr:row>31</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980953" cy="5266667"/>
        </a:xfrm>
        <a:prstGeom prst="rect">
          <a:avLst/>
        </a:prstGeom>
      </xdr:spPr>
    </xdr:pic>
    <xdr:clientData/>
  </xdr:twoCellAnchor>
  <xdr:twoCellAnchor editAs="oneCell">
    <xdr:from>
      <xdr:col>0</xdr:col>
      <xdr:colOff>0</xdr:colOff>
      <xdr:row>33</xdr:row>
      <xdr:rowOff>0</xdr:rowOff>
    </xdr:from>
    <xdr:to>
      <xdr:col>16</xdr:col>
      <xdr:colOff>93867</xdr:colOff>
      <xdr:row>63</xdr:row>
      <xdr:rowOff>132691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066667" cy="5276191"/>
        </a:xfrm>
        <a:prstGeom prst="rect">
          <a:avLst/>
        </a:prstGeom>
      </xdr:spPr>
    </xdr:pic>
    <xdr:clientData/>
  </xdr:twoCellAnchor>
  <xdr:twoCellAnchor editAs="oneCell">
    <xdr:from>
      <xdr:col>0</xdr:col>
      <xdr:colOff>0</xdr:colOff>
      <xdr:row>65</xdr:row>
      <xdr:rowOff>0</xdr:rowOff>
    </xdr:from>
    <xdr:to>
      <xdr:col>16</xdr:col>
      <xdr:colOff>227201</xdr:colOff>
      <xdr:row>95</xdr:row>
      <xdr:rowOff>18405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1200001" cy="5161905"/>
        </a:xfrm>
        <a:prstGeom prst="rect">
          <a:avLst/>
        </a:prstGeom>
      </xdr:spPr>
    </xdr:pic>
    <xdr:clientData/>
  </xdr:twoCellAnchor>
  <xdr:twoCellAnchor editAs="oneCell">
    <xdr:from>
      <xdr:col>0</xdr:col>
      <xdr:colOff>0</xdr:colOff>
      <xdr:row>97</xdr:row>
      <xdr:rowOff>0</xdr:rowOff>
    </xdr:from>
    <xdr:to>
      <xdr:col>9</xdr:col>
      <xdr:colOff>65896</xdr:colOff>
      <xdr:row>131</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30650"/>
          <a:ext cx="6238096" cy="5857143"/>
        </a:xfrm>
        <a:prstGeom prst="rect">
          <a:avLst/>
        </a:prstGeom>
      </xdr:spPr>
    </xdr:pic>
    <xdr:clientData/>
  </xdr:twoCellAnchor>
  <xdr:twoCellAnchor editAs="oneCell">
    <xdr:from>
      <xdr:col>0</xdr:col>
      <xdr:colOff>0</xdr:colOff>
      <xdr:row>132</xdr:row>
      <xdr:rowOff>0</xdr:rowOff>
    </xdr:from>
    <xdr:to>
      <xdr:col>9</xdr:col>
      <xdr:colOff>161134</xdr:colOff>
      <xdr:row>166</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631400"/>
          <a:ext cx="6333334" cy="5847619"/>
        </a:xfrm>
        <a:prstGeom prst="rect">
          <a:avLst/>
        </a:prstGeom>
      </xdr:spPr>
    </xdr:pic>
    <xdr:clientData/>
  </xdr:twoCellAnchor>
  <xdr:twoCellAnchor editAs="oneCell">
    <xdr:from>
      <xdr:col>0</xdr:col>
      <xdr:colOff>0</xdr:colOff>
      <xdr:row>166</xdr:row>
      <xdr:rowOff>0</xdr:rowOff>
    </xdr:from>
    <xdr:to>
      <xdr:col>9</xdr:col>
      <xdr:colOff>142086</xdr:colOff>
      <xdr:row>200</xdr:row>
      <xdr:rowOff>27843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460700"/>
          <a:ext cx="6314286" cy="5857143"/>
        </a:xfrm>
        <a:prstGeom prst="rect">
          <a:avLst/>
        </a:prstGeom>
      </xdr:spPr>
    </xdr:pic>
    <xdr:clientData/>
  </xdr:twoCellAnchor>
  <xdr:twoCellAnchor editAs="oneCell">
    <xdr:from>
      <xdr:col>0</xdr:col>
      <xdr:colOff>0</xdr:colOff>
      <xdr:row>200</xdr:row>
      <xdr:rowOff>0</xdr:rowOff>
    </xdr:from>
    <xdr:to>
      <xdr:col>9</xdr:col>
      <xdr:colOff>27800</xdr:colOff>
      <xdr:row>234</xdr:row>
      <xdr:rowOff>37367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290000"/>
          <a:ext cx="6200000" cy="5866667"/>
        </a:xfrm>
        <a:prstGeom prst="rect">
          <a:avLst/>
        </a:prstGeom>
      </xdr:spPr>
    </xdr:pic>
    <xdr:clientData/>
  </xdr:twoCellAnchor>
  <xdr:twoCellAnchor editAs="oneCell">
    <xdr:from>
      <xdr:col>9</xdr:col>
      <xdr:colOff>85725</xdr:colOff>
      <xdr:row>96</xdr:row>
      <xdr:rowOff>161925</xdr:rowOff>
    </xdr:from>
    <xdr:to>
      <xdr:col>24</xdr:col>
      <xdr:colOff>674916</xdr:colOff>
      <xdr:row>123</xdr:row>
      <xdr:rowOff>161347</xdr:rowOff>
    </xdr:to>
    <xdr:pic>
      <xdr:nvPicPr>
        <xdr:cNvPr id="9" name="图片 8"/>
        <xdr:cNvPicPr>
          <a:picLocks noChangeAspect="1"/>
        </xdr:cNvPicPr>
      </xdr:nvPicPr>
      <xdr:blipFill>
        <a:blip xmlns:r="http://schemas.openxmlformats.org/officeDocument/2006/relationships" r:embed="rId8"/>
        <a:stretch>
          <a:fillRect/>
        </a:stretch>
      </xdr:blipFill>
      <xdr:spPr>
        <a:xfrm>
          <a:off x="6257925" y="16621125"/>
          <a:ext cx="10876191" cy="4628572"/>
        </a:xfrm>
        <a:prstGeom prst="rect">
          <a:avLst/>
        </a:prstGeom>
      </xdr:spPr>
    </xdr:pic>
    <xdr:clientData/>
  </xdr:twoCellAnchor>
  <xdr:twoCellAnchor editAs="oneCell">
    <xdr:from>
      <xdr:col>9</xdr:col>
      <xdr:colOff>123825</xdr:colOff>
      <xdr:row>124</xdr:row>
      <xdr:rowOff>123825</xdr:rowOff>
    </xdr:from>
    <xdr:to>
      <xdr:col>24</xdr:col>
      <xdr:colOff>284445</xdr:colOff>
      <xdr:row>151</xdr:row>
      <xdr:rowOff>66104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296025" y="21383625"/>
          <a:ext cx="10447620" cy="4571429"/>
        </a:xfrm>
        <a:prstGeom prst="rect">
          <a:avLst/>
        </a:prstGeom>
      </xdr:spPr>
    </xdr:pic>
    <xdr:clientData/>
  </xdr:twoCellAnchor>
  <xdr:twoCellAnchor editAs="oneCell">
    <xdr:from>
      <xdr:col>9</xdr:col>
      <xdr:colOff>247650</xdr:colOff>
      <xdr:row>151</xdr:row>
      <xdr:rowOff>123825</xdr:rowOff>
    </xdr:from>
    <xdr:to>
      <xdr:col>24</xdr:col>
      <xdr:colOff>455889</xdr:colOff>
      <xdr:row>178</xdr:row>
      <xdr:rowOff>151818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419850" y="26012775"/>
          <a:ext cx="10495239" cy="4657143"/>
        </a:xfrm>
        <a:prstGeom prst="rect">
          <a:avLst/>
        </a:prstGeom>
      </xdr:spPr>
    </xdr:pic>
    <xdr:clientData/>
  </xdr:twoCellAnchor>
  <xdr:twoCellAnchor editAs="oneCell">
    <xdr:from>
      <xdr:col>9</xdr:col>
      <xdr:colOff>247650</xdr:colOff>
      <xdr:row>179</xdr:row>
      <xdr:rowOff>66675</xdr:rowOff>
    </xdr:from>
    <xdr:to>
      <xdr:col>20</xdr:col>
      <xdr:colOff>180041</xdr:colOff>
      <xdr:row>212</xdr:row>
      <xdr:rowOff>46921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419850" y="30756225"/>
          <a:ext cx="7476191" cy="5638096"/>
        </a:xfrm>
        <a:prstGeom prst="rect">
          <a:avLst/>
        </a:prstGeom>
      </xdr:spPr>
    </xdr:pic>
    <xdr:clientData/>
  </xdr:twoCellAnchor>
  <xdr:twoCellAnchor editAs="oneCell">
    <xdr:from>
      <xdr:col>9</xdr:col>
      <xdr:colOff>171450</xdr:colOff>
      <xdr:row>212</xdr:row>
      <xdr:rowOff>161925</xdr:rowOff>
    </xdr:from>
    <xdr:to>
      <xdr:col>15</xdr:col>
      <xdr:colOff>56650</xdr:colOff>
      <xdr:row>246</xdr:row>
      <xdr:rowOff>75483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343650" y="36509325"/>
          <a:ext cx="4000000" cy="5742858"/>
        </a:xfrm>
        <a:prstGeom prst="rect">
          <a:avLst/>
        </a:prstGeom>
      </xdr:spPr>
    </xdr:pic>
    <xdr:clientData/>
  </xdr:twoCellAnchor>
  <xdr:twoCellAnchor editAs="oneCell">
    <xdr:from>
      <xdr:col>15</xdr:col>
      <xdr:colOff>0</xdr:colOff>
      <xdr:row>213</xdr:row>
      <xdr:rowOff>0</xdr:rowOff>
    </xdr:from>
    <xdr:to>
      <xdr:col>20</xdr:col>
      <xdr:colOff>532905</xdr:colOff>
      <xdr:row>245</xdr:row>
      <xdr:rowOff>123124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36518850"/>
          <a:ext cx="3961905" cy="5609524"/>
        </a:xfrm>
        <a:prstGeom prst="rect">
          <a:avLst/>
        </a:prstGeom>
      </xdr:spPr>
    </xdr:pic>
    <xdr:clientData/>
  </xdr:twoCellAnchor>
  <xdr:twoCellAnchor editAs="oneCell">
    <xdr:from>
      <xdr:col>0</xdr:col>
      <xdr:colOff>0</xdr:colOff>
      <xdr:row>235</xdr:row>
      <xdr:rowOff>0</xdr:rowOff>
    </xdr:from>
    <xdr:to>
      <xdr:col>5</xdr:col>
      <xdr:colOff>561476</xdr:colOff>
      <xdr:row>268</xdr:row>
      <xdr:rowOff>8817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290750"/>
          <a:ext cx="3990476" cy="5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427372</xdr:colOff>
      <xdr:row>35</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028572" cy="5933334"/>
        </a:xfrm>
        <a:prstGeom prst="rect">
          <a:avLst/>
        </a:prstGeom>
      </xdr:spPr>
    </xdr:pic>
    <xdr:clientData/>
  </xdr:twoCellAnchor>
  <xdr:twoCellAnchor editAs="oneCell">
    <xdr:from>
      <xdr:col>0</xdr:col>
      <xdr:colOff>0</xdr:colOff>
      <xdr:row>39</xdr:row>
      <xdr:rowOff>0</xdr:rowOff>
    </xdr:from>
    <xdr:to>
      <xdr:col>12</xdr:col>
      <xdr:colOff>8496</xdr:colOff>
      <xdr:row>68</xdr:row>
      <xdr:rowOff>8903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238096" cy="4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北京市丰台区广安路9号院1号楼3层301办公用房房地产抵押价值预评估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受贵公司委托，我公司对北京市丰台区广安路9号院1号楼3层301办公用房房地产抵押价值进行了预评估。</v>
      </c>
    </row>
    <row r="7" spans="1:2" s="1202" customFormat="1">
      <c r="A7" s="1200" t="s">
        <v>566</v>
      </c>
      <c r="B7" s="1201" t="str">
        <f>'预评函-1'!A7</f>
        <v>估价对象为北京市丰台区广安路9号院1号楼3层301办公用房房地产，为所有。根据《国有土地使用证》[]，估价对象（分摊）出让国有建设用地使用权面积为0平方米，建筑面积为62.62平方米。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广安路9号院1号楼3层301办公用房房地产,属开发建设的办公项目，该项目尚在开发建设中。根据《国有土地使用证》[]，估价对象（分摊）出让国有建设用地使用权面积为0平方米，规划建筑面积为62.62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2025年4月25日（评估专业人员实地查勘之日）</v>
      </c>
    </row>
    <row r="13" spans="1:2" s="1202" customFormat="1">
      <c r="A13" s="1200" t="s">
        <v>529</v>
      </c>
      <c r="B13" s="1201"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208</v>
      </c>
    </row>
    <row r="21" spans="1:2" s="1202" customFormat="1">
      <c r="A21" s="1200" t="s">
        <v>537</v>
      </c>
      <c r="B21" s="1201">
        <f ca="1">'预评函-2'!D7</f>
        <v>33273</v>
      </c>
    </row>
    <row r="22" spans="1:2" s="1202" customFormat="1">
      <c r="A22" s="1200" t="s">
        <v>538</v>
      </c>
      <c r="B22" s="1201" t="str">
        <f ca="1">'预评函-2'!D6</f>
        <v>贰佰零捌万元整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208</v>
      </c>
    </row>
    <row r="31" spans="1:2" s="1202" customFormat="1">
      <c r="A31" s="1200" t="s">
        <v>576</v>
      </c>
      <c r="B31" s="1201">
        <f ca="1">'预评函-2'!D15</f>
        <v>33273</v>
      </c>
    </row>
    <row r="32" spans="1:2" s="1202" customFormat="1">
      <c r="A32" s="1200" t="s">
        <v>543</v>
      </c>
      <c r="B32" s="1201" t="str">
        <f ca="1">'预评函-2'!D14</f>
        <v>贰佰零捌万元整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北京市丰台区广安路9号院1号楼3层301办公用房房地产</v>
      </c>
    </row>
    <row r="42" spans="1:2" s="1202" customFormat="1">
      <c r="A42" s="1200" t="s">
        <v>590</v>
      </c>
      <c r="B42" s="1201" t="str">
        <f>'预评函-3'!B2</f>
        <v>建筑面积</v>
      </c>
    </row>
    <row r="43" spans="1:2" s="1202" customFormat="1">
      <c r="A43" s="1200" t="s">
        <v>591</v>
      </c>
      <c r="B43" s="1201">
        <f>'预评函-3'!B4</f>
        <v>62.62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149</v>
      </c>
    </row>
    <row r="48" spans="1:2" s="1202" customFormat="1">
      <c r="A48" s="1200" t="s">
        <v>549</v>
      </c>
      <c r="B48" s="1201">
        <f ca="1">'预评函-3'!E4</f>
        <v>23790</v>
      </c>
    </row>
    <row r="49" spans="1:2" s="1202" customFormat="1">
      <c r="A49" s="1200" t="s">
        <v>550</v>
      </c>
      <c r="B49" s="1201" t="str">
        <f ca="1">'预评函-3'!D5</f>
        <v>壹佰肆拾玖万元整</v>
      </c>
    </row>
    <row r="50" spans="1:2" s="1202" customFormat="1">
      <c r="A50" s="1200" t="s">
        <v>574</v>
      </c>
      <c r="B50" s="1201" t="str">
        <f>'预评函-3'!F2</f>
        <v>在建建筑物价值</v>
      </c>
    </row>
    <row r="51" spans="1:2" s="1202" customFormat="1">
      <c r="A51" s="1200" t="s">
        <v>551</v>
      </c>
      <c r="B51" s="1201">
        <f ca="1">'预评函-3'!F4</f>
        <v>59</v>
      </c>
    </row>
    <row r="52" spans="1:2" s="1202" customFormat="1">
      <c r="A52" s="1200" t="s">
        <v>552</v>
      </c>
      <c r="B52" s="1201">
        <f ca="1">'预评函-3'!G4</f>
        <v>9483</v>
      </c>
    </row>
    <row r="53" spans="1:2" s="1202" customFormat="1">
      <c r="A53" s="1200" t="s">
        <v>580</v>
      </c>
      <c r="B53" s="1201" t="str">
        <f ca="1">'预评函-3'!F5</f>
        <v>伍拾玖万元整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975</v>
      </c>
      <c r="C1" s="1540" t="s">
        <v>314</v>
      </c>
      <c r="D1" s="1542" t="s">
        <v>3347</v>
      </c>
      <c r="E1" s="1541" t="s">
        <v>976</v>
      </c>
      <c r="F1" s="1541" t="s">
        <v>977</v>
      </c>
      <c r="G1" s="1541" t="s">
        <v>978</v>
      </c>
      <c r="H1" s="1541" t="s">
        <v>979</v>
      </c>
      <c r="I1" s="1541" t="s">
        <v>980</v>
      </c>
      <c r="J1" s="1541" t="s">
        <v>981</v>
      </c>
      <c r="K1" s="1541" t="s">
        <v>982</v>
      </c>
      <c r="L1" s="1541" t="s">
        <v>983</v>
      </c>
      <c r="M1" s="1541" t="s">
        <v>984</v>
      </c>
      <c r="N1" s="1541" t="s">
        <v>985</v>
      </c>
      <c r="O1" s="1541" t="s">
        <v>986</v>
      </c>
      <c r="P1" s="1542" t="s">
        <v>309</v>
      </c>
      <c r="Q1" s="1542" t="s">
        <v>447</v>
      </c>
      <c r="R1" s="1541" t="s">
        <v>441</v>
      </c>
      <c r="S1" s="1541" t="s">
        <v>987</v>
      </c>
      <c r="T1" s="1543" t="s">
        <v>988</v>
      </c>
      <c r="U1" s="1541" t="s">
        <v>989</v>
      </c>
      <c r="V1" s="1541" t="s">
        <v>990</v>
      </c>
      <c r="W1" s="1541" t="s">
        <v>311</v>
      </c>
    </row>
    <row r="2" spans="1:23">
      <c r="A2" s="1545" t="s">
        <v>19</v>
      </c>
      <c r="B2" s="1545" t="s">
        <v>991</v>
      </c>
      <c r="C2" s="1546" t="s">
        <v>315</v>
      </c>
      <c r="D2" s="1547" t="s">
        <v>992</v>
      </c>
      <c r="E2" s="1547" t="s">
        <v>993</v>
      </c>
      <c r="F2" s="1547" t="s">
        <v>994</v>
      </c>
      <c r="G2" s="1547">
        <v>20</v>
      </c>
      <c r="H2" s="1547" t="s">
        <v>994</v>
      </c>
      <c r="I2" s="1547" t="s">
        <v>3333</v>
      </c>
      <c r="J2" s="1547" t="s">
        <v>995</v>
      </c>
      <c r="K2" s="1547" t="s">
        <v>996</v>
      </c>
      <c r="L2" s="1547" t="s">
        <v>996</v>
      </c>
      <c r="M2" s="1547" t="s">
        <v>996</v>
      </c>
      <c r="N2" s="1547" t="s">
        <v>996</v>
      </c>
      <c r="O2" s="1547" t="s">
        <v>996</v>
      </c>
      <c r="P2" s="1547" t="s">
        <v>996</v>
      </c>
      <c r="Q2" s="1547" t="s">
        <v>996</v>
      </c>
      <c r="R2" s="1547" t="s">
        <v>443</v>
      </c>
      <c r="S2" s="1547" t="s">
        <v>996</v>
      </c>
      <c r="T2" s="1547" t="s">
        <v>997</v>
      </c>
      <c r="U2" s="1547" t="s">
        <v>996</v>
      </c>
      <c r="V2" s="1547" t="s">
        <v>998</v>
      </c>
      <c r="W2" s="1547" t="s">
        <v>996</v>
      </c>
    </row>
    <row r="3" spans="1:23">
      <c r="A3" s="1545" t="s">
        <v>999</v>
      </c>
      <c r="B3" s="1548" t="s">
        <v>448</v>
      </c>
      <c r="C3" s="1549" t="s">
        <v>316</v>
      </c>
      <c r="D3" s="1547" t="s">
        <v>1000</v>
      </c>
      <c r="E3" s="1547" t="s">
        <v>13</v>
      </c>
      <c r="F3" s="1547" t="s">
        <v>1001</v>
      </c>
      <c r="G3" s="1547">
        <v>40</v>
      </c>
      <c r="H3" s="1547" t="s">
        <v>1001</v>
      </c>
      <c r="I3" s="1547" t="s">
        <v>3334</v>
      </c>
      <c r="J3" s="1547" t="s">
        <v>1002</v>
      </c>
      <c r="K3" s="1547" t="s">
        <v>1003</v>
      </c>
      <c r="L3" s="1547" t="s">
        <v>1003</v>
      </c>
      <c r="M3" s="1547" t="s">
        <v>1003</v>
      </c>
      <c r="N3" s="1547" t="s">
        <v>1003</v>
      </c>
      <c r="O3" s="1547" t="s">
        <v>1003</v>
      </c>
      <c r="P3" s="1547" t="s">
        <v>1003</v>
      </c>
      <c r="Q3" s="1547" t="s">
        <v>1003</v>
      </c>
      <c r="R3" s="1547" t="s">
        <v>442</v>
      </c>
      <c r="S3" s="1547" t="s">
        <v>1003</v>
      </c>
      <c r="T3" s="1547" t="s">
        <v>1004</v>
      </c>
      <c r="U3" s="1547" t="s">
        <v>1003</v>
      </c>
      <c r="V3" s="1547" t="s">
        <v>1005</v>
      </c>
      <c r="W3" s="1547" t="s">
        <v>1003</v>
      </c>
    </row>
    <row r="4" spans="1:23">
      <c r="A4" s="1545" t="s">
        <v>1006</v>
      </c>
      <c r="B4" s="1545" t="s">
        <v>1007</v>
      </c>
      <c r="C4" s="1546" t="s">
        <v>317</v>
      </c>
      <c r="D4" s="1547" t="s">
        <v>389</v>
      </c>
      <c r="E4" s="1547" t="s">
        <v>1008</v>
      </c>
      <c r="F4" s="1547" t="s">
        <v>1009</v>
      </c>
      <c r="G4" s="1547">
        <v>50</v>
      </c>
      <c r="H4" s="1547" t="s">
        <v>1009</v>
      </c>
      <c r="I4" s="1547" t="s">
        <v>3335</v>
      </c>
      <c r="K4" s="1547" t="s">
        <v>1010</v>
      </c>
      <c r="L4" s="1547" t="s">
        <v>1010</v>
      </c>
      <c r="M4" s="1547" t="s">
        <v>1010</v>
      </c>
      <c r="N4" s="1547" t="s">
        <v>1010</v>
      </c>
      <c r="O4" s="1547" t="s">
        <v>1010</v>
      </c>
      <c r="P4" s="1547" t="s">
        <v>1010</v>
      </c>
      <c r="Q4" s="1547" t="s">
        <v>1010</v>
      </c>
      <c r="R4" s="1547" t="s">
        <v>444</v>
      </c>
      <c r="S4" s="1547" t="s">
        <v>1010</v>
      </c>
      <c r="T4" s="1547" t="s">
        <v>1011</v>
      </c>
      <c r="U4" s="1547" t="s">
        <v>1010</v>
      </c>
      <c r="W4" s="1547" t="s">
        <v>1010</v>
      </c>
    </row>
    <row r="5" spans="1:23">
      <c r="A5" s="1545" t="s">
        <v>1012</v>
      </c>
      <c r="B5" s="1545" t="s">
        <v>1013</v>
      </c>
      <c r="C5" s="1546" t="s">
        <v>318</v>
      </c>
      <c r="F5" s="1547" t="s">
        <v>1014</v>
      </c>
      <c r="G5" s="1547">
        <v>70</v>
      </c>
      <c r="H5" s="1547" t="s">
        <v>1015</v>
      </c>
      <c r="I5" s="1547" t="s">
        <v>3336</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3337</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3338</v>
      </c>
    </row>
    <row r="8" spans="1:23">
      <c r="A8" s="1545" t="s">
        <v>1024</v>
      </c>
      <c r="B8" s="1545" t="s">
        <v>1025</v>
      </c>
      <c r="C8" s="1546" t="s">
        <v>319</v>
      </c>
      <c r="F8" s="1547" t="s">
        <v>1026</v>
      </c>
      <c r="H8" s="1547" t="s">
        <v>2574</v>
      </c>
      <c r="I8" s="1547" t="s">
        <v>3339</v>
      </c>
    </row>
    <row r="9" spans="1:23">
      <c r="A9" s="1545" t="s">
        <v>1027</v>
      </c>
      <c r="B9" s="1545" t="s">
        <v>1028</v>
      </c>
      <c r="C9" s="1546" t="s">
        <v>320</v>
      </c>
      <c r="F9" s="1547" t="s">
        <v>1029</v>
      </c>
      <c r="H9" s="1547"/>
      <c r="I9" s="1550" t="s">
        <v>3340</v>
      </c>
    </row>
    <row r="10" spans="1:23">
      <c r="A10" s="1545" t="s">
        <v>1030</v>
      </c>
      <c r="B10" s="1545" t="s">
        <v>1031</v>
      </c>
      <c r="C10" s="1546" t="s">
        <v>321</v>
      </c>
      <c r="F10" s="1547" t="s">
        <v>2575</v>
      </c>
      <c r="I10" s="1550" t="s">
        <v>3341</v>
      </c>
    </row>
    <row r="11" spans="1:23">
      <c r="A11" s="1545" t="s">
        <v>1032</v>
      </c>
      <c r="B11" s="1545" t="s">
        <v>1033</v>
      </c>
      <c r="C11" s="1546" t="s">
        <v>322</v>
      </c>
      <c r="F11" s="1547" t="s">
        <v>13</v>
      </c>
      <c r="I11" s="1550" t="s">
        <v>3342</v>
      </c>
    </row>
    <row r="12" spans="1:23">
      <c r="A12" s="1545" t="s">
        <v>1034</v>
      </c>
      <c r="B12" s="1545" t="s">
        <v>1035</v>
      </c>
      <c r="C12" s="1546" t="s">
        <v>323</v>
      </c>
      <c r="I12" s="1550" t="s">
        <v>3343</v>
      </c>
    </row>
    <row r="13" spans="1:23">
      <c r="A13" s="1545" t="s">
        <v>1036</v>
      </c>
      <c r="B13" s="1545" t="s">
        <v>1037</v>
      </c>
      <c r="C13" s="1546" t="s">
        <v>324</v>
      </c>
      <c r="I13" s="1550" t="s">
        <v>3344</v>
      </c>
    </row>
    <row r="14" spans="1:23">
      <c r="A14" s="1545" t="s">
        <v>1038</v>
      </c>
      <c r="B14" s="1545" t="s">
        <v>1039</v>
      </c>
      <c r="C14" s="1547" t="s">
        <v>13</v>
      </c>
      <c r="I14" s="1550" t="s">
        <v>3345</v>
      </c>
    </row>
    <row r="15" spans="1:23">
      <c r="A15" s="1545" t="s">
        <v>1040</v>
      </c>
      <c r="B15" s="1545" t="s">
        <v>1041</v>
      </c>
      <c r="C15" s="1546"/>
      <c r="I15" s="1550" t="s">
        <v>3346</v>
      </c>
    </row>
    <row r="16" spans="1:23">
      <c r="A16" s="1545" t="s">
        <v>1042</v>
      </c>
      <c r="B16" s="1545" t="s">
        <v>312</v>
      </c>
      <c r="C16" s="1546"/>
    </row>
    <row r="17" spans="1:3">
      <c r="A17" s="1545" t="s">
        <v>1043</v>
      </c>
      <c r="B17" s="1545" t="s">
        <v>2290</v>
      </c>
      <c r="C17" s="1546"/>
    </row>
    <row r="18" spans="1:3">
      <c r="A18" s="1545" t="s">
        <v>1044</v>
      </c>
      <c r="B18" s="1545" t="s">
        <v>2430</v>
      </c>
      <c r="C18" s="1546"/>
    </row>
    <row r="19" spans="1:3">
      <c r="A19" s="1545" t="s">
        <v>1045</v>
      </c>
      <c r="B19" s="1545" t="s">
        <v>313</v>
      </c>
      <c r="C19" s="1546"/>
    </row>
    <row r="20" spans="1:3">
      <c r="A20" s="1545" t="s">
        <v>1046</v>
      </c>
      <c r="B20" s="1545" t="s">
        <v>313</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24" t="s">
        <v>2577</v>
      </c>
      <c r="J2" s="3524"/>
      <c r="K2" s="3524"/>
      <c r="L2" s="3524"/>
      <c r="M2" s="3524"/>
      <c r="N2" s="3524"/>
      <c r="O2" s="3524"/>
      <c r="P2" s="3524"/>
      <c r="Q2" s="3524"/>
      <c r="R2" s="3524"/>
    </row>
    <row r="3" spans="1:18">
      <c r="A3" s="3018" t="s">
        <v>2498</v>
      </c>
      <c r="B3" s="3019">
        <f>项目基本情况!D3</f>
        <v>45772</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1.65</v>
      </c>
      <c r="D5" s="3023">
        <f>IF(ISERROR(ROUND(POWER(1+E5,A5-C5)*(POWER(1+E5,C5)-1)/(POWER(1+E5,A5)-1),3)),0,ROUND(POWER(1+E5,A5-C5)*(POWER(1+E5,C5)-1)/(POWER(1+E5,A5)-1),4))</f>
        <v>7.9200000000000007E-2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11.66</v>
      </c>
      <c r="D6" s="3023">
        <f>IF(ISERROR(ROUND(POWER(1+E6,A6-C6)*(POWER(1+E6,C6)-1)/(POWER(1+E6,A6)-1),3)),0,ROUND(POWER(1+E6,A6-C6)*(POWER(1+E6,C6)-1)/(POWER(1+E6,A6)-1),4))</f>
        <v>0.42709999999999998</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31.67</v>
      </c>
      <c r="D7" s="3023">
        <f>IF(ISERROR(ROUND(POWER(1+E7,A7-C7)*(POWER(1+E7,C7)-1)/(POWER(1+E7,A7)-1),3)),0,ROUND(POWER(1+E7,A7-C7)*(POWER(1+E7,C7)-1)/(POWER(1+E7,A7)-1),4))</f>
        <v>0.76</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3383</v>
      </c>
    </row>
    <row r="50" spans="1:4">
      <c r="A50" s="3447" t="s">
        <v>3384</v>
      </c>
      <c r="B50" s="3447" t="s">
        <v>3385</v>
      </c>
      <c r="C50" s="3447" t="s">
        <v>3386</v>
      </c>
      <c r="D50" s="3447" t="s">
        <v>3387</v>
      </c>
    </row>
    <row r="51" spans="1:4">
      <c r="A51" s="3447" t="s">
        <v>3388</v>
      </c>
      <c r="B51" s="3020">
        <f>B52+B53</f>
        <v>15000</v>
      </c>
      <c r="C51" s="3448">
        <f>D51/B51</f>
        <v>2666.6666666666665</v>
      </c>
      <c r="D51" s="3020">
        <f>D52+D53</f>
        <v>40000000</v>
      </c>
    </row>
    <row r="52" spans="1:4">
      <c r="A52" s="3449" t="s">
        <v>3389</v>
      </c>
      <c r="B52" s="3450">
        <v>10000</v>
      </c>
      <c r="C52" s="3450">
        <v>1500</v>
      </c>
      <c r="D52" s="3451">
        <f>C52*B52</f>
        <v>15000000</v>
      </c>
    </row>
    <row r="53" spans="1:4">
      <c r="A53" s="3449" t="s">
        <v>3390</v>
      </c>
      <c r="B53" s="3450">
        <v>5000</v>
      </c>
      <c r="C53" s="3450">
        <v>5000</v>
      </c>
      <c r="D53" s="3451">
        <f>C53*B53</f>
        <v>25000000</v>
      </c>
    </row>
    <row r="54" spans="1:4">
      <c r="A54" s="3447" t="s">
        <v>3391</v>
      </c>
      <c r="B54" s="3020">
        <f>B51</f>
        <v>15000</v>
      </c>
      <c r="C54" s="3027">
        <v>700</v>
      </c>
      <c r="D54" s="3020">
        <f t="shared" ref="D54:D55" si="5">C54*B54</f>
        <v>10500000</v>
      </c>
    </row>
    <row r="55" spans="1:4">
      <c r="A55" s="3447" t="s">
        <v>3392</v>
      </c>
      <c r="B55" s="3020">
        <f>B51</f>
        <v>15000</v>
      </c>
      <c r="C55" s="3027">
        <v>1500</v>
      </c>
      <c r="D55" s="3020">
        <f t="shared" si="5"/>
        <v>22500000</v>
      </c>
    </row>
    <row r="56" spans="1:4">
      <c r="A56" s="3447" t="s">
        <v>3393</v>
      </c>
      <c r="B56" s="3020">
        <f>B51</f>
        <v>15000</v>
      </c>
      <c r="C56" s="3452">
        <f>C51+C54+C55</f>
        <v>4866.6666666666661</v>
      </c>
      <c r="D56" s="3020">
        <f>D51+D54+D55</f>
        <v>73000000</v>
      </c>
    </row>
    <row r="58" spans="1:4">
      <c r="A58" s="3447" t="s">
        <v>3394</v>
      </c>
      <c r="B58" s="3453">
        <v>0.05</v>
      </c>
      <c r="C58" s="3020">
        <f>C56*(1+B58)</f>
        <v>5110</v>
      </c>
      <c r="D58" s="3020">
        <f>D56*B58</f>
        <v>3650000</v>
      </c>
    </row>
    <row r="60" spans="1:4">
      <c r="A60" s="3447" t="s">
        <v>3395</v>
      </c>
      <c r="B60" s="3027">
        <v>3500</v>
      </c>
      <c r="C60" s="3027">
        <f>C53</f>
        <v>5000</v>
      </c>
      <c r="D60" s="3020">
        <f>C60*B60</f>
        <v>17500000</v>
      </c>
    </row>
    <row r="62" spans="1:4">
      <c r="A62" s="3447" t="s">
        <v>3396</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3" t="str">
        <f>IF(B10="北京市","北京市",C10)&amp;F10&amp;IF(结果表!G1="在建","出让国有建设用地使用权及在建建筑物",IF(结果表!G1="土地","出让国有建设用地使用权",))&amp;B9&amp;"预评估"</f>
        <v>北京市丰台区广安路9号院1号楼3层301办公用房房地产抵押价值预评估</v>
      </c>
      <c r="C1" s="3534"/>
      <c r="D1" s="3534"/>
      <c r="E1" s="3534"/>
      <c r="F1" s="3534"/>
      <c r="G1" s="3534"/>
      <c r="H1" s="3534"/>
      <c r="I1" s="353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北京市丰台区广安路9号院1号楼3层301办公用房房地产抵押价值</v>
      </c>
      <c r="T1" s="1744"/>
      <c r="U1" s="1744"/>
      <c r="V1" s="1744"/>
      <c r="W1" s="1744"/>
      <c r="X1" s="1744"/>
      <c r="Y1" s="1744"/>
      <c r="Z1" s="1744"/>
      <c r="AA1" s="1744"/>
      <c r="AB1" s="1744"/>
    </row>
    <row r="2" spans="1:30">
      <c r="A2" s="2366" t="s">
        <v>2166</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北京市丰台区广安路9号院1号楼3层301办公用房房地产</v>
      </c>
      <c r="T2" s="1744"/>
      <c r="U2" s="1744"/>
      <c r="V2" s="1744"/>
      <c r="W2" s="1744"/>
      <c r="X2" s="1744"/>
      <c r="Y2" s="1744"/>
      <c r="Z2" s="1744"/>
      <c r="AA2" s="1744"/>
      <c r="AB2" s="1744"/>
    </row>
    <row r="3" spans="1:30">
      <c r="A3" s="302" t="s">
        <v>2167</v>
      </c>
      <c r="B3" s="2372">
        <v>45772</v>
      </c>
      <c r="C3" s="2373" t="s">
        <v>2168</v>
      </c>
      <c r="D3" s="2372">
        <f>B3</f>
        <v>45772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t="s">
        <v>3408</v>
      </c>
      <c r="C4" s="2375">
        <f ca="1">SUMIF(注册房地产估价师,B4,估价师及机构信息!B3:B24)</f>
        <v>1419970001</v>
      </c>
      <c r="D4" s="2374" t="s">
        <v>3409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3410</v>
      </c>
      <c r="C8" s="2389"/>
      <c r="D8" s="3536" t="s">
        <v>2174</v>
      </c>
      <c r="E8" s="2390" t="s">
        <v>3411</v>
      </c>
      <c r="F8" s="2391"/>
      <c r="G8" s="2662"/>
      <c r="H8" s="2662"/>
      <c r="I8" s="2662"/>
      <c r="J8" s="2438"/>
      <c r="K8" s="2613"/>
      <c r="L8" s="2612"/>
      <c r="M8" s="2612"/>
      <c r="N8" s="2438"/>
      <c r="O8" s="2449"/>
      <c r="P8" s="2438"/>
      <c r="Q8" s="2438"/>
      <c r="R8" s="2438"/>
    </row>
    <row r="9" spans="1:30" ht="13.5" thickBot="1">
      <c r="A9" s="2392" t="s">
        <v>2175</v>
      </c>
      <c r="B9" s="2393" t="s">
        <v>3411</v>
      </c>
      <c r="C9" s="2394"/>
      <c r="D9" s="3537"/>
      <c r="E9" s="2393"/>
      <c r="F9" s="2395"/>
      <c r="G9" s="2664"/>
      <c r="H9" s="2664"/>
      <c r="I9" s="2664"/>
      <c r="J9" s="2438"/>
      <c r="K9" s="2615"/>
      <c r="L9" s="2612"/>
      <c r="M9" s="2612"/>
      <c r="N9" s="2438"/>
      <c r="O9" s="2449"/>
      <c r="P9" s="2438"/>
      <c r="Q9" s="2438"/>
      <c r="R9" s="2438"/>
    </row>
    <row r="10" spans="1:30" ht="13.5" thickTop="1">
      <c r="A10" s="2396" t="s">
        <v>2176</v>
      </c>
      <c r="B10" s="2397" t="s">
        <v>3412</v>
      </c>
      <c r="C10" s="2398"/>
      <c r="D10" s="2381"/>
      <c r="E10" s="2399" t="s">
        <v>2177</v>
      </c>
      <c r="F10" s="3482" t="s">
        <v>3492</v>
      </c>
      <c r="G10" s="2665"/>
      <c r="H10" s="2666"/>
      <c r="I10" s="2667"/>
      <c r="J10" s="2438"/>
      <c r="K10" s="2615"/>
      <c r="L10" s="2612"/>
      <c r="M10" s="2612"/>
      <c r="N10" s="2438"/>
      <c r="O10" s="2449"/>
      <c r="P10" s="2438"/>
      <c r="Q10" s="2438"/>
      <c r="R10" s="2438"/>
    </row>
    <row r="11" spans="1:30">
      <c r="A11" s="2400" t="s">
        <v>2178</v>
      </c>
      <c r="B11" s="2401" t="s">
        <v>3413</v>
      </c>
      <c r="C11" s="2402"/>
      <c r="D11" s="2403"/>
      <c r="E11" s="2369"/>
      <c r="F11" s="2369"/>
      <c r="G11" s="2369"/>
      <c r="H11" s="2369"/>
      <c r="I11" s="2369"/>
      <c r="J11" s="3059"/>
      <c r="K11" s="3058"/>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7" t="s">
        <v>2573</v>
      </c>
      <c r="J12" s="3060"/>
      <c r="K12" s="2612"/>
      <c r="L12" s="2612"/>
      <c r="M12" s="2438"/>
      <c r="N12" s="2449"/>
      <c r="O12" s="2438"/>
      <c r="P12" s="2438"/>
      <c r="Q12" s="2438"/>
      <c r="AD12" s="1744"/>
    </row>
    <row r="13" spans="1:30">
      <c r="A13" s="3421" t="s">
        <v>3328</v>
      </c>
      <c r="B13" s="2406" t="s">
        <v>2187</v>
      </c>
      <c r="C13" s="855"/>
      <c r="D13" s="855"/>
      <c r="E13" s="855">
        <v>58809</v>
      </c>
      <c r="F13" s="855"/>
      <c r="G13" s="855"/>
      <c r="H13" s="855"/>
      <c r="I13" s="855"/>
      <c r="J13" s="3060"/>
      <c r="K13" s="2612"/>
      <c r="L13" s="2612"/>
      <c r="M13" s="2438"/>
      <c r="N13" s="2449"/>
      <c r="O13" s="2438"/>
      <c r="P13" s="2438"/>
      <c r="Q13" s="2438"/>
      <c r="AD13" s="1744"/>
    </row>
    <row r="14" spans="1:30">
      <c r="A14" s="1080"/>
      <c r="B14" s="2406" t="s">
        <v>2188</v>
      </c>
      <c r="C14" s="2407"/>
      <c r="D14" s="2407"/>
      <c r="E14" s="2407">
        <v>50</v>
      </c>
      <c r="F14" s="2407"/>
      <c r="G14" s="2407"/>
      <c r="H14" s="2407"/>
      <c r="I14" s="2407"/>
      <c r="J14" s="3061"/>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f>IF(A13="出让",IF(E13="","",ROUNDDOWN(MIN((E13-$D$3)/365,E14),2)),E14)</f>
        <v>35.71</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2190</v>
      </c>
      <c r="B16" s="3543"/>
      <c r="C16" s="3544"/>
      <c r="D16" s="3545"/>
      <c r="E16" s="2412" t="s">
        <v>2191</v>
      </c>
      <c r="F16" s="3546"/>
      <c r="G16" s="3547"/>
      <c r="H16" s="3547"/>
      <c r="I16" s="3548"/>
      <c r="J16" s="2438"/>
      <c r="K16" s="2616"/>
      <c r="L16" s="2450"/>
      <c r="M16" s="2450"/>
      <c r="N16" s="2508"/>
      <c r="O16" s="2450"/>
      <c r="P16" s="2508"/>
      <c r="Q16" s="2438"/>
      <c r="R16" s="2438"/>
    </row>
    <row r="17" spans="1:28">
      <c r="A17" s="313" t="s">
        <v>2192</v>
      </c>
      <c r="B17" s="302" t="s">
        <v>2193</v>
      </c>
      <c r="C17" s="8">
        <f>'数据-汇总表'!E3</f>
        <v>62.62</v>
      </c>
      <c r="D17" s="2321" t="s">
        <v>2194</v>
      </c>
      <c r="E17" s="3549" t="s">
        <v>2195</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2" t="s">
        <v>2199</v>
      </c>
      <c r="F18" s="3553"/>
      <c r="G18" s="3553"/>
      <c r="H18" s="3553"/>
      <c r="I18" s="3554"/>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39" t="s">
        <v>2203</v>
      </c>
      <c r="C20" s="3540"/>
      <c r="D20" s="3541" t="s">
        <v>2204</v>
      </c>
      <c r="E20" s="3542"/>
      <c r="F20" s="2646" t="s">
        <v>1054</v>
      </c>
      <c r="G20" s="2663"/>
      <c r="H20" s="2663"/>
      <c r="I20" s="2663"/>
      <c r="J20" s="2438"/>
      <c r="K20" s="3538"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2211</v>
      </c>
      <c r="B27" s="320" t="s">
        <v>2212</v>
      </c>
      <c r="C27" s="2415" t="s">
        <v>3414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2213</v>
      </c>
      <c r="C28" s="2417" t="s">
        <v>3415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2214</v>
      </c>
      <c r="C29" s="2419" t="s">
        <v>3416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2215</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2216</v>
      </c>
      <c r="B31" s="2421" t="s">
        <v>3417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25" t="s">
        <v>2225</v>
      </c>
      <c r="T34" s="2427" t="str">
        <f>NUMBERSTRING(7-K34,1)&amp;"通"</f>
        <v>七通</v>
      </c>
      <c r="U34" s="2438"/>
      <c r="V34" s="2438"/>
    </row>
    <row r="35" spans="1:30">
      <c r="A35" s="2428"/>
      <c r="B35" s="3532" t="s">
        <v>2226</v>
      </c>
      <c r="C35" s="3532"/>
      <c r="D35" s="3532"/>
      <c r="E35" s="353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3" t="s">
        <v>2182</v>
      </c>
      <c r="C36" s="663" t="s">
        <v>2183</v>
      </c>
      <c r="D36" s="663" t="s">
        <v>2181</v>
      </c>
      <c r="E36" s="663" t="s">
        <v>2186</v>
      </c>
      <c r="F36" s="3063" t="s">
        <v>2576</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t="s">
        <v>163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62.62</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62.62</v>
      </c>
      <c r="H5" s="13">
        <f t="shared" ref="H5:AT5" si="0">SUM(H13:H656)</f>
        <v>62.62</v>
      </c>
      <c r="I5" s="13">
        <f t="shared" si="0"/>
        <v>62.62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62.62</v>
      </c>
      <c r="BA5" s="15">
        <f t="shared" si="1"/>
        <v>62.62</v>
      </c>
      <c r="BB5" s="15">
        <f t="shared" si="1"/>
        <v>62.62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3419</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3418</v>
      </c>
      <c r="E13" s="13">
        <f>IF($C$3="是",ROUND($A$3*G13/$B$3,2),ROUND($A$3*(G13-AT13)/$B$3,2))</f>
        <v>0</v>
      </c>
      <c r="F13" s="29"/>
      <c r="G13" s="30">
        <f>H13+AC13+AT13</f>
        <v>62.62</v>
      </c>
      <c r="H13" s="17">
        <f>SUMIF(I$12:AB$12,"总值",I13:AB13)</f>
        <v>62.62</v>
      </c>
      <c r="I13" s="1625">
        <v>62.62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62.62</v>
      </c>
      <c r="BA13" s="13">
        <f>SUM(BB13:BK13)</f>
        <v>62.62</v>
      </c>
      <c r="BB13" s="13">
        <f>IF($D13="是",I13-J13,0)</f>
        <v>62.62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64" t="s">
        <v>1129</v>
      </c>
      <c r="B2" s="3564"/>
      <c r="C2" s="3564"/>
      <c r="D2" s="795" t="s">
        <v>1105</v>
      </c>
      <c r="E2" s="1638" t="s">
        <v>1106</v>
      </c>
      <c r="F2" s="2658"/>
      <c r="G2" s="2649"/>
      <c r="H2" s="2650"/>
      <c r="I2" s="2324" t="s">
        <v>1130</v>
      </c>
      <c r="J2" s="2658"/>
      <c r="K2" s="2658"/>
      <c r="L2" s="2658"/>
      <c r="M2" s="2658"/>
      <c r="N2" s="2660"/>
      <c r="O2" s="2658"/>
      <c r="P2" s="2658"/>
    </row>
    <row r="3" spans="1:16" ht="15.75" thickBot="1">
      <c r="A3" s="3565" t="s">
        <v>1103</v>
      </c>
      <c r="B3" s="3565"/>
      <c r="C3" s="3565"/>
      <c r="D3" s="43">
        <f>'数据-基础表'!AY6</f>
        <v>0</v>
      </c>
      <c r="E3" s="43">
        <f>'数据-基础表'!AZ5</f>
        <v>62.62</v>
      </c>
      <c r="F3" s="2658"/>
      <c r="G3" s="1144"/>
      <c r="H3" s="1025" t="s">
        <v>1104</v>
      </c>
      <c r="I3" s="854" t="e">
        <f>ROUND('数据-基础表'!B3/'数据-基础表'!A3,2)</f>
        <v>#DIV/0!</v>
      </c>
      <c r="J3" s="2658"/>
      <c r="K3" s="2658"/>
      <c r="L3" s="2658"/>
      <c r="M3" s="2658"/>
      <c r="N3" s="2660"/>
      <c r="O3" s="2658"/>
      <c r="P3" s="2658"/>
    </row>
    <row r="4" spans="1:16" ht="15">
      <c r="A4" s="3566"/>
      <c r="B4" s="3567"/>
      <c r="C4" s="3568"/>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69" t="s">
        <v>1108</v>
      </c>
      <c r="C5" s="3569"/>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69" t="s">
        <v>1109</v>
      </c>
      <c r="C6" s="3569"/>
      <c r="D6" s="45">
        <f>ROUND($D$3*E6/$E$3,2)</f>
        <v>0</v>
      </c>
      <c r="E6" s="46">
        <f>E3-E5</f>
        <v>62.62</v>
      </c>
      <c r="F6" s="2658"/>
      <c r="G6" s="2652" t="s">
        <v>1110</v>
      </c>
      <c r="H6" s="1145" t="s">
        <v>1111</v>
      </c>
      <c r="I6" s="2653" t="e">
        <f>ROUND(F31/D31,2)</f>
        <v>#DIV/0!</v>
      </c>
      <c r="J6" s="2658"/>
      <c r="K6" s="2658"/>
      <c r="L6" s="2658"/>
      <c r="M6" s="2658"/>
      <c r="N6" s="2658"/>
      <c r="O6" s="2658"/>
      <c r="P6" s="2658"/>
    </row>
    <row r="7" spans="1:16" ht="15.75" thickBot="1">
      <c r="A7" s="3561"/>
      <c r="B7" s="3562"/>
      <c r="C7" s="3563"/>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62.62</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62.62</v>
      </c>
      <c r="F16" s="2658"/>
      <c r="G16" s="2659"/>
      <c r="H16" s="1647" t="s">
        <v>1133</v>
      </c>
      <c r="I16" s="1648"/>
      <c r="J16" s="1138"/>
      <c r="K16" s="3558" t="s">
        <v>1133</v>
      </c>
      <c r="L16" s="3559"/>
      <c r="M16" s="3559"/>
      <c r="N16" s="3559"/>
      <c r="O16" s="3559"/>
      <c r="P16" s="3560"/>
    </row>
    <row r="17" spans="1:19" ht="15">
      <c r="A17" s="1649" t="s">
        <v>1134</v>
      </c>
      <c r="B17" s="1650" t="s">
        <v>1135</v>
      </c>
      <c r="C17" s="1651" t="s">
        <v>1136</v>
      </c>
      <c r="D17" s="1652" t="s">
        <v>1124</v>
      </c>
      <c r="E17" s="1653" t="s">
        <v>1125</v>
      </c>
      <c r="F17" s="1654"/>
      <c r="G17" s="1655"/>
      <c r="H17" s="1656" t="s">
        <v>1137</v>
      </c>
      <c r="I17" s="1657" t="s">
        <v>1122</v>
      </c>
      <c r="J17" s="1138"/>
      <c r="K17" s="3555" t="s">
        <v>1138</v>
      </c>
      <c r="L17" s="3556"/>
      <c r="M17" s="3557"/>
      <c r="N17" s="3555" t="s">
        <v>1139</v>
      </c>
      <c r="O17" s="3556"/>
      <c r="P17" s="355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5" t="s">
        <v>3489</v>
      </c>
      <c r="D19" s="45">
        <f>ROUND($D$3*E19/$E$3,2)</f>
        <v>0</v>
      </c>
      <c r="E19" s="53">
        <f t="shared" ref="E19:E26" si="1">SUM(F19:G19)</f>
        <v>62.62</v>
      </c>
      <c r="F19" s="2793">
        <f>'数据-基础表'!I13</f>
        <v>62.62</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62.62</v>
      </c>
    </row>
    <row r="20" spans="1:19">
      <c r="A20" s="1669"/>
      <c r="B20" s="47" t="s">
        <v>1151</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62.62</v>
      </c>
      <c r="F27" s="1139">
        <f>IF(SUM(F19:F26)=E8,SUM(F19:F26),"地上面积有误")</f>
        <v>62.62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62.62</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62.62</v>
      </c>
      <c r="F31" s="676">
        <f>F27+F30</f>
        <v>62.62</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18" sqref="Q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1159</v>
      </c>
      <c r="B2" s="1044">
        <f>项目基本情况!D3</f>
        <v>45772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3421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301办公</v>
      </c>
      <c r="B6" s="1712" t="str">
        <f>IF(A6=0,"","经营性")</f>
        <v>经营性</v>
      </c>
      <c r="C6" s="1713" t="s">
        <v>21</v>
      </c>
      <c r="D6" s="857">
        <f>SUMIF(项目基本情况!C$12:I$12,C6,项目基本情况!C$14:I$14)</f>
        <v>50</v>
      </c>
      <c r="E6" s="856">
        <f>IF(B6="","",SUMIF(项目基本情况!C$12:I$12,C6,项目基本情况!C$13:I$13))</f>
        <v>58809</v>
      </c>
      <c r="F6" s="64">
        <f>SUMIF(项目基本情况!C$12:I$12,C6,项目基本情况!C$15:I$15)</f>
        <v>35.71</v>
      </c>
      <c r="G6" s="65">
        <f>IF(ISERROR(ROUND(POWER(1+H6,D6-F6)*(POWER(1+H6,F6)-1)/(POWER(1+H6,D6)-1),3)),0,ROUND(POWER(1+H6,D6-F6)*(POWER(1+H6,F6)-1)/(POWER(1+H6,D6)-1),3))</f>
        <v>0.90400000000000003</v>
      </c>
      <c r="H6" s="731">
        <v>0.05</v>
      </c>
      <c r="I6" s="731">
        <v>5.5E-2</v>
      </c>
      <c r="J6" s="66">
        <v>7.0000000000000007E-2</v>
      </c>
      <c r="K6" s="1029">
        <f>SUMIF('数据-汇总表'!C$19:C$33,A6,'数据-汇总表'!E$19:E$33)</f>
        <v>62.62</v>
      </c>
      <c r="L6" s="732">
        <v>4500</v>
      </c>
      <c r="M6" s="67">
        <f t="shared" ref="M6:M14" si="0">ROUND(K6*L6/10000,0)</f>
        <v>28</v>
      </c>
      <c r="N6" s="730">
        <f>ROUND(1-(1-0%)*(2025-N19)/60,2)</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V20</f>
        <v>4.4000000000000004</v>
      </c>
      <c r="V6" s="70">
        <v>0.02</v>
      </c>
      <c r="W6" s="70">
        <v>0.1</v>
      </c>
      <c r="X6" s="1039"/>
      <c r="Y6" s="71">
        <f>N6</f>
        <v>0.8</v>
      </c>
      <c r="Z6" s="72"/>
      <c r="AA6" s="66"/>
      <c r="AB6" s="66"/>
      <c r="AC6" s="1039"/>
      <c r="AD6" s="73"/>
      <c r="AE6" s="1040">
        <f ca="1">IF(AN6="",0,SUMIF(INDIRECT("'"&amp;AN6&amp;"'"&amp;"!E:E"),$AE$5,INDIRECT("'"&amp;AN6&amp;"'"&amp;"!F:F")))</f>
        <v>35.71</v>
      </c>
      <c r="AF6" s="1347"/>
      <c r="AG6" s="138">
        <f>IF(AF6="",0,AE6-AF6)</f>
        <v>0</v>
      </c>
      <c r="AH6" s="74"/>
      <c r="AI6" s="76">
        <v>365</v>
      </c>
      <c r="AJ6" s="77"/>
      <c r="AK6" s="85">
        <v>5.0000000000000001E-3</v>
      </c>
      <c r="AL6" s="79">
        <v>1E-3</v>
      </c>
      <c r="AM6" s="80">
        <v>0.01</v>
      </c>
      <c r="AN6" s="1714" t="s">
        <v>3422</v>
      </c>
      <c r="AO6" s="52">
        <f ca="1">SUMIF(INDIRECT("'"&amp;AN6&amp;"'"&amp;"!A:A"),"总价",INDIRECT("'"&amp;AN6&amp;"'"&amp;"!B:B"))</f>
        <v>163.8759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0.90400000000000003</v>
      </c>
      <c r="H16" s="90">
        <f>ROUND(SUMPRODUCT(H6:H13,K6:K13)/SUMPRODUCT((H6:H13&gt;0)*(K6:K13)),3)</f>
        <v>0.05</v>
      </c>
      <c r="I16" s="91"/>
      <c r="J16" s="91"/>
      <c r="K16" s="92">
        <f>SUM(K6:K15)</f>
        <v>62.62</v>
      </c>
      <c r="L16" s="93">
        <f>ROUND(M16*10000/SUM(K6:K14),0)</f>
        <v>4471</v>
      </c>
      <c r="M16" s="93">
        <f>SUM(M6:M14)</f>
        <v>28</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1209</v>
      </c>
      <c r="B19" s="103">
        <v>0</v>
      </c>
      <c r="C19" s="2797" t="s">
        <v>2299</v>
      </c>
      <c r="D19" s="2674"/>
      <c r="E19" s="2671"/>
      <c r="F19" s="2671"/>
      <c r="G19" s="2671"/>
      <c r="H19" s="2671"/>
      <c r="I19" s="2671"/>
      <c r="J19" s="2671"/>
      <c r="K19" s="2670"/>
      <c r="L19" s="2670"/>
      <c r="M19" s="2669"/>
      <c r="N19" s="2669">
        <v>2013</v>
      </c>
      <c r="O19" s="2669"/>
      <c r="P19" s="2669"/>
      <c r="Q19" s="2669"/>
      <c r="R19" s="2669"/>
      <c r="S19" s="2669"/>
      <c r="T19" s="2669"/>
      <c r="U19" s="3475" t="s">
        <v>3429</v>
      </c>
      <c r="V19" s="2669">
        <f>'比较法-办公'!C50</f>
        <v>38009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1210</v>
      </c>
      <c r="B20" s="104">
        <v>2</v>
      </c>
      <c r="C20" s="2798" t="s">
        <v>2297</v>
      </c>
      <c r="D20" s="2674"/>
      <c r="E20" s="2671"/>
      <c r="F20" s="2671"/>
      <c r="G20" s="2671"/>
      <c r="H20" s="2671"/>
      <c r="I20" s="2671"/>
      <c r="J20" s="2671"/>
      <c r="K20" s="2670"/>
      <c r="L20" s="2670"/>
      <c r="M20" s="2669"/>
      <c r="N20" s="2669"/>
      <c r="O20" s="2669"/>
      <c r="P20" s="2669"/>
      <c r="Q20" s="2669"/>
      <c r="R20" s="2669"/>
      <c r="S20" s="2669"/>
      <c r="T20" s="2669"/>
      <c r="U20" s="3475" t="s">
        <v>3431</v>
      </c>
      <c r="V20" s="2669">
        <f>'比较法-办公租金'!C50</f>
        <v>4.4000000000000004</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1211</v>
      </c>
      <c r="B21" s="104">
        <v>2</v>
      </c>
      <c r="C21" s="2671"/>
      <c r="D21" s="2674"/>
      <c r="E21" s="2671"/>
      <c r="F21" s="2671"/>
      <c r="G21" s="2671"/>
      <c r="H21" s="2671"/>
      <c r="I21" s="2671"/>
      <c r="J21" s="2671"/>
      <c r="K21" s="2670"/>
      <c r="L21" s="2670"/>
      <c r="M21" s="2669"/>
      <c r="N21" s="2669"/>
      <c r="O21" s="2669"/>
      <c r="P21" s="2669"/>
      <c r="Q21" s="2669"/>
      <c r="R21" s="2669"/>
      <c r="S21" s="2669"/>
      <c r="T21" s="2669"/>
      <c r="U21" s="3475" t="s">
        <v>3432</v>
      </c>
      <c r="V21" s="2669">
        <f>V20*365/V19</f>
        <v>4.2253150569601945E-2</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1215</v>
      </c>
      <c r="B26" s="1725"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1218</v>
      </c>
      <c r="B27" s="107">
        <v>160</v>
      </c>
      <c r="C27" s="2799" t="s">
        <v>2301</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c r="C29" s="2800" t="s">
        <v>2291</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0.05</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1" t="s">
        <v>2293</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1" t="s">
        <v>3397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1228</v>
      </c>
      <c r="B37" s="115">
        <v>0.03</v>
      </c>
      <c r="C37" s="2801" t="s">
        <v>3380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1229</v>
      </c>
      <c r="B38" s="113">
        <v>0.02</v>
      </c>
      <c r="C38" s="2801" t="s">
        <v>3381</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7">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1233</v>
      </c>
      <c r="B43" s="118">
        <f>B42*(B44+B45+B46)+B47</f>
        <v>6.000000000000001E-3</v>
      </c>
      <c r="C43" s="2676"/>
      <c r="D43" s="2674"/>
      <c r="E43" s="3474" t="s">
        <v>3491</v>
      </c>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1234</v>
      </c>
      <c r="B44" s="119">
        <v>7.0000000000000007E-2</v>
      </c>
      <c r="C44" s="2801" t="s">
        <v>3382</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1235</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1236</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1237</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1238</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1239</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1240</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1241</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1242</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1243</v>
      </c>
      <c r="B53" s="1737"/>
      <c r="C53" s="2660" t="s">
        <v>1244</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1245</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1246</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1247</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1248</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1249</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1250</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0" t="s">
        <v>2283</v>
      </c>
      <c r="B1" s="3571"/>
      <c r="C1" s="3571"/>
      <c r="D1" s="3571"/>
      <c r="E1" s="3571"/>
      <c r="F1" s="3571"/>
      <c r="G1" s="357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512" customWidth="1"/>
    <col min="2" max="9" width="15.75" style="2512" customWidth="1"/>
    <col min="10" max="16384" width="9" style="2512"/>
  </cols>
  <sheetData>
    <row r="1" spans="1:11" ht="16.5">
      <c r="A1" s="2511" t="s">
        <v>663</v>
      </c>
      <c r="B1" s="2511">
        <f>SUM(B14:B23)</f>
        <v>62.62</v>
      </c>
      <c r="C1" s="2684"/>
      <c r="D1" s="2684"/>
      <c r="E1" s="2684"/>
      <c r="F1" s="2684"/>
      <c r="G1" s="2685"/>
      <c r="H1" s="2686"/>
      <c r="I1" s="2686"/>
      <c r="J1" s="2686"/>
      <c r="K1" s="2686"/>
    </row>
    <row r="2" spans="1:11" ht="16.5">
      <c r="A2" s="2511" t="s">
        <v>651</v>
      </c>
      <c r="B2" s="2511">
        <f>SUM(C14:C23)</f>
        <v>0</v>
      </c>
      <c r="C2" s="2684"/>
      <c r="D2" s="2684"/>
      <c r="E2" s="2684"/>
      <c r="F2" s="2684"/>
      <c r="G2" s="2685"/>
      <c r="H2" s="2686"/>
      <c r="I2" s="2686"/>
      <c r="J2" s="2686"/>
      <c r="K2" s="2686"/>
    </row>
    <row r="3" spans="1:11" ht="16.5">
      <c r="A3" s="2511" t="s">
        <v>660</v>
      </c>
      <c r="B3" s="2513">
        <f>项目基本情况!D3</f>
        <v>45772</v>
      </c>
      <c r="C3" s="2684"/>
      <c r="D3" s="2684"/>
      <c r="E3" s="2684"/>
      <c r="F3" s="2684"/>
      <c r="G3" s="2685"/>
      <c r="H3" s="2686"/>
      <c r="I3" s="2686"/>
      <c r="J3" s="2686"/>
      <c r="K3" s="2686"/>
    </row>
    <row r="4" spans="1:11" ht="33">
      <c r="A4" s="2511" t="s">
        <v>659</v>
      </c>
      <c r="B4" s="2511" t="s">
        <v>658</v>
      </c>
      <c r="C4" s="2511" t="s">
        <v>657</v>
      </c>
      <c r="D4" s="2511" t="s">
        <v>656</v>
      </c>
      <c r="E4" s="2684"/>
      <c r="F4" s="2685"/>
      <c r="G4" s="2685"/>
      <c r="H4" s="2686"/>
      <c r="I4" s="2686"/>
      <c r="J4" s="2686"/>
      <c r="K4" s="2686"/>
    </row>
    <row r="5" spans="1:11" ht="16.5">
      <c r="A5" s="2511" t="s">
        <v>655</v>
      </c>
      <c r="B5" s="2511">
        <f ca="1">SUM(D14:D23)</f>
        <v>208</v>
      </c>
      <c r="C5" s="2511">
        <f ca="1">IF(B5=D14,结果表!H102,ROUND(B5*10000/$B$1,0))</f>
        <v>33273</v>
      </c>
      <c r="D5" s="2511" t="e">
        <f ca="1">ROUND(B5*10000/$B$2,0)</f>
        <v>#DIV/0!</v>
      </c>
      <c r="E5" s="2684"/>
      <c r="F5" s="2685"/>
      <c r="G5" s="2685"/>
      <c r="H5" s="2686"/>
      <c r="I5" s="2686"/>
      <c r="J5" s="2686"/>
      <c r="K5" s="2686"/>
    </row>
    <row r="6" spans="1:11" ht="16.5">
      <c r="A6" s="2511" t="s">
        <v>654</v>
      </c>
      <c r="B6" s="2511">
        <f ca="1">SUM(G14:G23)</f>
        <v>208</v>
      </c>
      <c r="C6" s="2511">
        <f ca="1">IF(B6=G14,结果表!H108,ROUND(B6*10000/$B$1,0))</f>
        <v>33273</v>
      </c>
      <c r="D6" s="2511" t="e">
        <f ca="1">ROUND(B6*10000/$B$2,0)</f>
        <v>#DIV/0!</v>
      </c>
      <c r="E6" s="2684"/>
      <c r="F6" s="2685"/>
      <c r="G6" s="2685"/>
      <c r="H6" s="2686"/>
      <c r="I6" s="2686"/>
      <c r="J6" s="2686"/>
      <c r="K6" s="2686"/>
    </row>
    <row r="7" spans="1:11" ht="16.5">
      <c r="A7" s="2511" t="s">
        <v>662</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653</v>
      </c>
      <c r="B9" s="2519"/>
      <c r="C9" s="2684"/>
      <c r="D9" s="2684"/>
      <c r="E9" s="2684"/>
      <c r="F9" s="2685"/>
      <c r="G9" s="2685"/>
      <c r="H9" s="2686"/>
      <c r="I9" s="2686"/>
      <c r="J9" s="2686"/>
      <c r="K9" s="2686"/>
    </row>
    <row r="10" spans="1:11" ht="16.5">
      <c r="A10" s="2511" t="s">
        <v>652</v>
      </c>
      <c r="B10" s="2511">
        <f>IF(E10="",0,ROUND(B1*(E10*365/G10)/10000,0))</f>
        <v>0</v>
      </c>
      <c r="C10" s="2511" t="s">
        <v>3352</v>
      </c>
      <c r="D10" s="2511" t="s">
        <v>3353</v>
      </c>
      <c r="E10" s="3439"/>
      <c r="F10" s="3443" t="s">
        <v>3354</v>
      </c>
      <c r="G10" s="3440"/>
      <c r="H10" s="2686"/>
      <c r="I10" s="2686"/>
      <c r="J10" s="2686"/>
      <c r="K10" s="2686"/>
    </row>
    <row r="11" spans="1:11" ht="16.5">
      <c r="A11" s="2511" t="s">
        <v>668</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667</v>
      </c>
      <c r="B13" s="2515" t="s">
        <v>664</v>
      </c>
      <c r="C13" s="2515" t="s">
        <v>666</v>
      </c>
      <c r="D13" s="2515" t="s">
        <v>665</v>
      </c>
      <c r="E13" s="2511" t="s">
        <v>657</v>
      </c>
      <c r="F13" s="2511" t="s">
        <v>656</v>
      </c>
      <c r="G13" s="2515" t="s">
        <v>650</v>
      </c>
      <c r="H13" s="2515" t="s">
        <v>661</v>
      </c>
      <c r="I13" s="2515" t="s">
        <v>649</v>
      </c>
      <c r="J13" s="2685"/>
      <c r="K13" s="2686"/>
    </row>
    <row r="14" spans="1:11" ht="16.5">
      <c r="A14" s="2516">
        <v>301</v>
      </c>
      <c r="B14" s="2517">
        <f>'数据-汇总表'!E3</f>
        <v>62.62</v>
      </c>
      <c r="C14" s="2517"/>
      <c r="D14" s="2517">
        <f ca="1">结果表!G19</f>
        <v>208</v>
      </c>
      <c r="E14" s="2517">
        <f ca="1">结果表!G20</f>
        <v>33273</v>
      </c>
      <c r="F14" s="2517" t="e">
        <f ca="1">ROUND(D14*10000/C14,0)</f>
        <v>#DIV/0!</v>
      </c>
      <c r="G14" s="2517">
        <f ca="1">D14</f>
        <v>208</v>
      </c>
      <c r="H14" s="2517"/>
      <c r="I14" s="2517"/>
      <c r="J14" s="2685"/>
      <c r="K14" s="2686"/>
    </row>
    <row r="15" spans="1:11" ht="16.5">
      <c r="A15" s="2516"/>
      <c r="B15" s="2518"/>
      <c r="C15" s="2518"/>
      <c r="D15" s="2518"/>
      <c r="E15" s="2517">
        <f ca="1">典型户型修正!R25</f>
        <v>33273</v>
      </c>
      <c r="F15" s="2517" t="e">
        <f t="shared" ref="F15:F23" si="0">ROUND(D15*10000/C15,0)</f>
        <v>#DIV/0!</v>
      </c>
      <c r="G15" s="1330"/>
      <c r="H15" s="1330"/>
      <c r="I15" s="2518"/>
      <c r="J15" s="2685"/>
      <c r="K15" s="2686"/>
    </row>
    <row r="16" spans="1:11" ht="16.5">
      <c r="A16" s="2516" t="s">
        <v>648</v>
      </c>
      <c r="B16" s="2518"/>
      <c r="C16" s="2518"/>
      <c r="D16" s="2518"/>
      <c r="E16" s="2517" t="e">
        <f t="shared" ref="E16:E23" si="1">ROUND(D16*10000/B16,0)</f>
        <v>#DIV/0!</v>
      </c>
      <c r="F16" s="2517" t="e">
        <f t="shared" si="0"/>
        <v>#DIV/0!</v>
      </c>
      <c r="G16" s="1330"/>
      <c r="H16" s="1330"/>
      <c r="I16" s="2518"/>
      <c r="J16" s="2686"/>
      <c r="K16" s="2686"/>
    </row>
    <row r="17" spans="1:11" ht="16.5">
      <c r="A17" s="2516" t="s">
        <v>647</v>
      </c>
      <c r="B17" s="2518"/>
      <c r="C17" s="2518"/>
      <c r="D17" s="2518"/>
      <c r="E17" s="2517" t="e">
        <f t="shared" si="1"/>
        <v>#DIV/0!</v>
      </c>
      <c r="F17" s="2517" t="e">
        <f t="shared" si="0"/>
        <v>#DIV/0!</v>
      </c>
      <c r="G17" s="1330"/>
      <c r="H17" s="1330"/>
      <c r="I17" s="2518"/>
      <c r="J17" s="2686"/>
      <c r="K17" s="2686"/>
    </row>
    <row r="18" spans="1:11" ht="16.5">
      <c r="A18" s="2516" t="s">
        <v>646</v>
      </c>
      <c r="B18" s="2518"/>
      <c r="C18" s="2518"/>
      <c r="D18" s="2518"/>
      <c r="E18" s="2517" t="e">
        <f t="shared" si="1"/>
        <v>#DIV/0!</v>
      </c>
      <c r="F18" s="2517" t="e">
        <f t="shared" si="0"/>
        <v>#DIV/0!</v>
      </c>
      <c r="G18" s="2518"/>
      <c r="H18" s="2518"/>
      <c r="I18" s="2518"/>
      <c r="J18" s="2686"/>
      <c r="K18" s="2686"/>
    </row>
    <row r="19" spans="1:11" ht="16.5">
      <c r="A19" s="2516" t="s">
        <v>645</v>
      </c>
      <c r="B19" s="2518"/>
      <c r="C19" s="2518"/>
      <c r="D19" s="2518"/>
      <c r="E19" s="2517" t="e">
        <f t="shared" si="1"/>
        <v>#DIV/0!</v>
      </c>
      <c r="F19" s="2517" t="e">
        <f t="shared" si="0"/>
        <v>#DIV/0!</v>
      </c>
      <c r="G19" s="2518"/>
      <c r="H19" s="2518"/>
      <c r="I19" s="2518"/>
      <c r="J19" s="2686"/>
      <c r="K19" s="2686"/>
    </row>
    <row r="20" spans="1:11" ht="16.5">
      <c r="A20" s="2516" t="s">
        <v>644</v>
      </c>
      <c r="B20" s="2518"/>
      <c r="C20" s="2518"/>
      <c r="D20" s="2518"/>
      <c r="E20" s="2517" t="e">
        <f t="shared" si="1"/>
        <v>#DIV/0!</v>
      </c>
      <c r="F20" s="2517" t="e">
        <f t="shared" si="0"/>
        <v>#DIV/0!</v>
      </c>
      <c r="G20" s="2518"/>
      <c r="H20" s="2518"/>
      <c r="I20" s="2518"/>
      <c r="J20" s="2686"/>
      <c r="K20" s="2686"/>
    </row>
    <row r="21" spans="1:11" ht="16.5">
      <c r="A21" s="2516" t="s">
        <v>643</v>
      </c>
      <c r="B21" s="2518"/>
      <c r="C21" s="2518"/>
      <c r="D21" s="2518"/>
      <c r="E21" s="2517" t="e">
        <f t="shared" si="1"/>
        <v>#DIV/0!</v>
      </c>
      <c r="F21" s="2517" t="e">
        <f t="shared" si="0"/>
        <v>#DIV/0!</v>
      </c>
      <c r="G21" s="2518"/>
      <c r="H21" s="2518"/>
      <c r="I21" s="2518"/>
      <c r="J21" s="2686"/>
      <c r="K21" s="2686"/>
    </row>
    <row r="22" spans="1:11" ht="16.5">
      <c r="A22" s="2516" t="s">
        <v>642</v>
      </c>
      <c r="B22" s="2518"/>
      <c r="C22" s="2518"/>
      <c r="D22" s="2518"/>
      <c r="E22" s="2517" t="e">
        <f t="shared" si="1"/>
        <v>#DIV/0!</v>
      </c>
      <c r="F22" s="2517" t="e">
        <f t="shared" si="0"/>
        <v>#DIV/0!</v>
      </c>
      <c r="G22" s="2518"/>
      <c r="H22" s="2518"/>
      <c r="I22" s="2518"/>
      <c r="J22" s="2686"/>
      <c r="K22" s="2686"/>
    </row>
    <row r="23" spans="1:11" ht="16.5">
      <c r="A23" s="2516" t="s">
        <v>641</v>
      </c>
      <c r="B23" s="2518"/>
      <c r="C23" s="2518"/>
      <c r="D23" s="2518"/>
      <c r="E23" s="2519" t="e">
        <f t="shared" si="1"/>
        <v>#DIV/0!</v>
      </c>
      <c r="F23" s="2519" t="e">
        <f t="shared" si="0"/>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3488</v>
      </c>
      <c r="D1" s="1746"/>
      <c r="E1" s="1746"/>
      <c r="F1" s="1748" t="s">
        <v>1261</v>
      </c>
      <c r="G1" s="1560"/>
      <c r="H1" s="1749" t="str">
        <f>IF(G1="现房","——","估价对象范围")</f>
        <v>估价对象范围</v>
      </c>
      <c r="I1" s="1750"/>
    </row>
    <row r="2" spans="1:12" ht="21.75" customHeight="1" thickBot="1">
      <c r="A2" s="3606" t="str">
        <f>项目基本情况!S2</f>
        <v>北京市丰台区广安路9号院1号楼3层301办公用房房地产</v>
      </c>
      <c r="B2" s="3607"/>
      <c r="C2" s="3607"/>
      <c r="D2" s="3607"/>
      <c r="E2" s="3607"/>
      <c r="F2" s="3607"/>
      <c r="G2" s="3607"/>
      <c r="H2" s="3607"/>
      <c r="I2" s="3608"/>
    </row>
    <row r="3" spans="1:12" ht="12.75">
      <c r="A3" s="3610" t="s">
        <v>1262</v>
      </c>
      <c r="B3" s="3611"/>
      <c r="C3" s="3611"/>
      <c r="D3" s="3611"/>
      <c r="E3" s="3611"/>
      <c r="F3" s="3611"/>
      <c r="G3" s="3611"/>
      <c r="H3" s="3611"/>
      <c r="I3" s="3611"/>
    </row>
    <row r="4" spans="1:12" ht="14.25">
      <c r="A4" s="1753" t="s">
        <v>1263</v>
      </c>
      <c r="B4" s="1754" t="s">
        <v>1264</v>
      </c>
      <c r="C4" s="1755" t="s">
        <v>3486</v>
      </c>
      <c r="D4" s="1755" t="s">
        <v>3422</v>
      </c>
      <c r="E4" s="3612" t="s">
        <v>1265</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1266</v>
      </c>
      <c r="B5" s="3573">
        <v>25</v>
      </c>
      <c r="C5" s="3589"/>
      <c r="D5" s="3609"/>
      <c r="E5" s="131" t="s">
        <v>1267</v>
      </c>
      <c r="F5" s="1756"/>
      <c r="G5" s="1756"/>
      <c r="H5" s="1756"/>
      <c r="I5" s="1372"/>
    </row>
    <row r="6" spans="1:12" ht="12.75">
      <c r="A6" s="3586"/>
      <c r="B6" s="3573"/>
      <c r="C6" s="3590"/>
      <c r="D6" s="3609"/>
      <c r="E6" s="131" t="s">
        <v>1268</v>
      </c>
      <c r="F6" s="1756"/>
      <c r="G6" s="1756"/>
      <c r="H6" s="1756"/>
      <c r="I6" s="1372"/>
    </row>
    <row r="7" spans="1:12" ht="12.75">
      <c r="A7" s="3586"/>
      <c r="B7" s="3573"/>
      <c r="C7" s="3591"/>
      <c r="D7" s="3609"/>
      <c r="E7" s="131" t="s">
        <v>1269</v>
      </c>
      <c r="F7" s="1756"/>
      <c r="G7" s="1756"/>
      <c r="H7" s="1756"/>
      <c r="I7" s="1372"/>
    </row>
    <row r="8" spans="1:12" ht="12.75">
      <c r="A8" s="3586" t="s">
        <v>1270</v>
      </c>
      <c r="B8" s="3573">
        <v>15</v>
      </c>
      <c r="C8" s="3589"/>
      <c r="D8" s="3609"/>
      <c r="E8" s="131" t="s">
        <v>1271</v>
      </c>
      <c r="F8" s="1756"/>
      <c r="G8" s="1756"/>
      <c r="H8" s="1756"/>
      <c r="I8" s="1372"/>
    </row>
    <row r="9" spans="1:12" ht="12.75">
      <c r="A9" s="3586"/>
      <c r="B9" s="3573"/>
      <c r="C9" s="3591"/>
      <c r="D9" s="3609"/>
      <c r="E9" s="131" t="s">
        <v>1272</v>
      </c>
      <c r="F9" s="1756"/>
      <c r="G9" s="1756"/>
      <c r="H9" s="1756"/>
      <c r="I9" s="1372"/>
    </row>
    <row r="10" spans="1:12" ht="12.75">
      <c r="A10" s="3586" t="s">
        <v>1273</v>
      </c>
      <c r="B10" s="3573">
        <v>15</v>
      </c>
      <c r="C10" s="3589"/>
      <c r="D10" s="3609"/>
      <c r="E10" s="131" t="s">
        <v>1274</v>
      </c>
      <c r="F10" s="1756"/>
      <c r="G10" s="1756"/>
      <c r="H10" s="1756"/>
      <c r="I10" s="1372"/>
    </row>
    <row r="11" spans="1:12" ht="12.75">
      <c r="A11" s="3586"/>
      <c r="B11" s="3573"/>
      <c r="C11" s="3591"/>
      <c r="D11" s="3609"/>
      <c r="E11" s="131" t="s">
        <v>1275</v>
      </c>
      <c r="F11" s="1756"/>
      <c r="G11" s="1756"/>
      <c r="H11" s="1756"/>
      <c r="I11" s="1372"/>
    </row>
    <row r="12" spans="1:12" ht="12.75">
      <c r="A12" s="3586" t="s">
        <v>1276</v>
      </c>
      <c r="B12" s="3573">
        <v>15</v>
      </c>
      <c r="C12" s="3589"/>
      <c r="D12" s="3609"/>
      <c r="E12" s="131" t="s">
        <v>1277</v>
      </c>
      <c r="F12" s="1756"/>
      <c r="G12" s="1756"/>
      <c r="H12" s="1756"/>
      <c r="I12" s="1372"/>
    </row>
    <row r="13" spans="1:12" ht="12.75">
      <c r="A13" s="3586"/>
      <c r="B13" s="3573"/>
      <c r="C13" s="3591"/>
      <c r="D13" s="3609"/>
      <c r="E13" s="131" t="s">
        <v>1278</v>
      </c>
      <c r="F13" s="1756"/>
      <c r="G13" s="1756"/>
      <c r="H13" s="1756"/>
      <c r="I13" s="1372"/>
    </row>
    <row r="14" spans="1:12" ht="12.75">
      <c r="A14" s="3586" t="s">
        <v>1279</v>
      </c>
      <c r="B14" s="3573">
        <v>30</v>
      </c>
      <c r="C14" s="3589">
        <v>6</v>
      </c>
      <c r="D14" s="3609">
        <v>4</v>
      </c>
      <c r="E14" s="131" t="s">
        <v>1280</v>
      </c>
      <c r="F14" s="1756"/>
      <c r="G14" s="1756"/>
      <c r="H14" s="1756"/>
      <c r="I14" s="1372"/>
    </row>
    <row r="15" spans="1:12" ht="12.75">
      <c r="A15" s="3586"/>
      <c r="B15" s="3573"/>
      <c r="C15" s="3590"/>
      <c r="D15" s="3609"/>
      <c r="E15" s="131" t="s">
        <v>1281</v>
      </c>
      <c r="F15" s="1756"/>
      <c r="G15" s="1756"/>
      <c r="H15" s="1756"/>
      <c r="I15" s="1372"/>
    </row>
    <row r="16" spans="1:12" ht="12.75">
      <c r="A16" s="3586"/>
      <c r="B16" s="3573"/>
      <c r="C16" s="3591"/>
      <c r="D16" s="3609"/>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596" t="s">
        <v>2128</v>
      </c>
      <c r="F18" s="3597"/>
      <c r="G18" s="3597"/>
      <c r="H18" s="3597"/>
      <c r="I18" s="3597"/>
      <c r="K18" s="302" t="s">
        <v>1287</v>
      </c>
      <c r="L18" s="302">
        <f>IF(C1="",'数据-汇总表'!E3,SUMIF(项目类型,C1,'数据-汇总表'!E17:E26)+SUMIF(项目类型,C1,'数据-汇总表'!I17:I26))</f>
        <v>62.62</v>
      </c>
      <c r="M18" s="302">
        <f>IF(C1="",'数据-汇总表'!E3,SUMIF(项目类型,C1,'数据-汇总表'!E17:E26))</f>
        <v>62.62</v>
      </c>
    </row>
    <row r="19" spans="1:36" ht="15">
      <c r="A19" s="1760" t="s">
        <v>1288</v>
      </c>
      <c r="B19" s="1761" t="s">
        <v>1289</v>
      </c>
      <c r="C19" s="134">
        <f ca="1">SUMIF(INDIRECT("'"&amp;C4&amp;"'"&amp;"!A:A"),结果表!B19,INDIRECT("'"&amp;C4&amp;"'"&amp;"!B:B"))</f>
        <v>238.01240000000001</v>
      </c>
      <c r="D19" s="135">
        <f ca="1">SUMIF(INDIRECT("'"&amp;D4&amp;"'"&amp;"!A:A"),结果表!B19,INDIRECT("'"&amp;D4&amp;"'"&amp;"!B:B"))</f>
        <v>163.8759</v>
      </c>
      <c r="E19" s="1760" t="s">
        <v>1290</v>
      </c>
      <c r="F19" s="1761" t="s">
        <v>1289</v>
      </c>
      <c r="G19" s="136">
        <f ca="1">ROUND(C19*$C$18+D19*$D$18,0)</f>
        <v>208</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38009</v>
      </c>
      <c r="D20" s="138">
        <f ca="1">SUMIF(INDIRECT("'"&amp;D4&amp;"'"&amp;"!A:A"),结果表!B20,INDIRECT("'"&amp;D4&amp;"'"&amp;"!B:B"))</f>
        <v>26170</v>
      </c>
      <c r="E20" s="1763"/>
      <c r="F20" s="1025" t="s">
        <v>1293</v>
      </c>
      <c r="G20" s="139">
        <f ca="1">ROUND(C20*$C$18+D20*$D$18,0)</f>
        <v>33273</v>
      </c>
      <c r="H20" s="807" t="s">
        <v>1294</v>
      </c>
      <c r="I20" s="129"/>
      <c r="J20" s="724">
        <v>32000</v>
      </c>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0.45239415923878989</v>
      </c>
      <c r="E22" s="129"/>
      <c r="F22" s="129"/>
      <c r="G22" s="129"/>
      <c r="H22" s="129"/>
      <c r="I22" s="129"/>
    </row>
    <row r="23" spans="1:36" ht="13.5" thickBot="1">
      <c r="A23" s="1746"/>
      <c r="B23" s="1746"/>
      <c r="C23" s="1746"/>
      <c r="D23" s="1746"/>
      <c r="E23" s="129"/>
      <c r="F23" s="129"/>
      <c r="G23" s="129"/>
      <c r="H23" s="129"/>
      <c r="I23" s="129"/>
    </row>
    <row r="24" spans="1:36" ht="14.25">
      <c r="A24" s="3580" t="s">
        <v>1297</v>
      </c>
      <c r="B24" s="1761" t="s">
        <v>1289</v>
      </c>
      <c r="C24" s="136">
        <f>IF(B30=0,0,D30)</f>
        <v>0</v>
      </c>
      <c r="D24" s="1768"/>
      <c r="E24" s="129"/>
      <c r="F24" s="129"/>
      <c r="G24" s="129"/>
      <c r="H24" s="129"/>
      <c r="I24" s="129"/>
    </row>
    <row r="25" spans="1:36" ht="14.25">
      <c r="A25" s="358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33273</v>
      </c>
      <c r="D32" s="1774" t="s">
        <v>3426</v>
      </c>
      <c r="E32" s="129"/>
      <c r="F32" s="129"/>
      <c r="G32" s="129"/>
      <c r="H32" s="129"/>
      <c r="I32" s="129"/>
    </row>
    <row r="33" spans="1:15" ht="15">
      <c r="A33" s="785" t="s">
        <v>1304</v>
      </c>
      <c r="B33" s="1775"/>
      <c r="C33" s="1776" t="s">
        <v>3427</v>
      </c>
      <c r="D33" s="1777" t="s">
        <v>3422</v>
      </c>
      <c r="E33" s="1778" t="s">
        <v>1305</v>
      </c>
      <c r="F33" s="1779" t="str">
        <f>IF(D32="楼面单价","取值（单价）","取值（总价）")</f>
        <v>取值（单价）</v>
      </c>
      <c r="G33" s="129"/>
      <c r="H33" s="129"/>
      <c r="I33" s="129"/>
    </row>
    <row r="34" spans="1:15" ht="15">
      <c r="A34" s="1780"/>
      <c r="B34" s="1781" t="s">
        <v>1306</v>
      </c>
      <c r="C34" s="148">
        <f ca="1">IF(C33="自定义",F34,C32-C35)</f>
        <v>23790</v>
      </c>
      <c r="D34" s="860">
        <f ca="1">IF(C33="自定义",ROUND(C34/C32,3),IF(C33="收益比率",SUMIF(INDIRECT("'"&amp;D33&amp;"'"&amp;"!b:b"),"土地收益比率",INDIRECT("'"&amp;D33&amp;"'"&amp;"!c:c")),SUMIF(INDIRECT("'"&amp;D33&amp;"'"&amp;"!b:b"),"土地成本比率",INDIRECT("'"&amp;D33&amp;"'"&amp;"!c:c"))))</f>
        <v>0.71500000000000008</v>
      </c>
      <c r="E34" s="1782" t="s">
        <v>1307</v>
      </c>
      <c r="F34" s="1329"/>
      <c r="G34" s="129"/>
      <c r="H34" s="129"/>
      <c r="I34" s="129"/>
    </row>
    <row r="35" spans="1:15" ht="15.75" thickBot="1">
      <c r="A35" s="1783"/>
      <c r="B35" s="1784" t="s">
        <v>1308</v>
      </c>
      <c r="C35" s="1169">
        <f ca="1">IF(C33="自定义",F35,ROUND(C32*D35,0))</f>
        <v>9483</v>
      </c>
      <c r="D35" s="1170">
        <f ca="1">IF(C33="自定义",ROUND(C35/C32,3),IF(C33="收益比率",SUMIF(INDIRECT("'"&amp;D33&amp;"'"&amp;"!b:b"),"建筑物收益比率",INDIRECT("'"&amp;D33&amp;"'"&amp;"!c:c")),SUMIF(INDIRECT("'"&amp;D33&amp;"'"&amp;"!b:b"),"建筑物成本比率",INDIRECT("'"&amp;D33&amp;"'"&amp;"!c:c"))))</f>
        <v>0.28499999999999998</v>
      </c>
      <c r="E35" s="1785" t="s">
        <v>1309</v>
      </c>
      <c r="F35" s="154"/>
      <c r="G35" s="129"/>
      <c r="H35" s="129"/>
      <c r="I35" s="129"/>
    </row>
    <row r="36" spans="1:15" ht="15.75" thickBot="1">
      <c r="A36" s="3600" t="s">
        <v>1310</v>
      </c>
      <c r="B36" s="1786" t="s">
        <v>1311</v>
      </c>
      <c r="C36" s="145"/>
      <c r="D36" s="1787"/>
      <c r="E36" s="1788"/>
      <c r="F36" s="1789"/>
      <c r="G36" s="129"/>
      <c r="H36" s="129"/>
      <c r="I36" s="129"/>
    </row>
    <row r="37" spans="1:15" ht="15.75" thickBot="1">
      <c r="A37" s="3601"/>
      <c r="B37" s="1673" t="s">
        <v>1312</v>
      </c>
      <c r="C37" s="147"/>
      <c r="D37" s="1138"/>
      <c r="E37" s="1138"/>
      <c r="F37" s="1789"/>
      <c r="G37" s="129"/>
      <c r="H37" s="129"/>
      <c r="I37" s="129"/>
    </row>
    <row r="38" spans="1:15" ht="15.75" thickBot="1">
      <c r="A38" s="3602"/>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77" t="s">
        <v>1324</v>
      </c>
      <c r="B45" s="3578"/>
      <c r="C45" s="3579"/>
      <c r="D45" s="155">
        <f ca="1">ROUND(H101*F45,0)</f>
        <v>208</v>
      </c>
      <c r="E45" s="156" t="s">
        <v>1325</v>
      </c>
      <c r="F45" s="157">
        <v>1</v>
      </c>
      <c r="G45" s="158" t="s">
        <v>1326</v>
      </c>
      <c r="H45" s="129"/>
      <c r="I45" s="129"/>
      <c r="J45" s="3655" t="s">
        <v>1327</v>
      </c>
      <c r="K45" s="3655"/>
      <c r="L45" s="3655"/>
      <c r="M45" s="3655"/>
      <c r="N45" s="3655"/>
      <c r="O45" s="3655"/>
    </row>
    <row r="46" spans="1:15" ht="14.25" customHeight="1">
      <c r="A46" s="3574" t="s">
        <v>1328</v>
      </c>
      <c r="B46" s="3575"/>
      <c r="C46" s="3575"/>
      <c r="D46" s="3575"/>
      <c r="E46" s="3575"/>
      <c r="F46" s="3575"/>
      <c r="G46" s="3576"/>
      <c r="H46" s="1805"/>
      <c r="I46" s="159"/>
      <c r="J46" s="2522">
        <v>1</v>
      </c>
      <c r="K46" s="3636" t="s">
        <v>1329</v>
      </c>
      <c r="L46" s="3636"/>
      <c r="M46" s="3656"/>
      <c r="N46" s="3656"/>
      <c r="O46" s="3656"/>
    </row>
    <row r="47" spans="1:15" ht="12" customHeight="1">
      <c r="A47" s="160" t="s">
        <v>1330</v>
      </c>
      <c r="B47" s="161"/>
      <c r="C47" s="162"/>
      <c r="D47" s="1086" t="s">
        <v>1331</v>
      </c>
      <c r="E47" s="302" t="s">
        <v>1332</v>
      </c>
      <c r="F47" s="163" t="s">
        <v>1333</v>
      </c>
      <c r="G47" s="2545" t="s">
        <v>1334</v>
      </c>
      <c r="H47" s="2546"/>
      <c r="I47" s="159"/>
      <c r="J47" s="2522">
        <v>2</v>
      </c>
      <c r="K47" s="3636" t="s">
        <v>1335</v>
      </c>
      <c r="L47" s="3636"/>
      <c r="M47" s="3657">
        <f>'数据-取费表'!B2</f>
        <v>45772</v>
      </c>
      <c r="N47" s="3657"/>
      <c r="O47" s="3657"/>
    </row>
    <row r="48" spans="1:15" ht="25.5">
      <c r="A48" s="3605" t="s">
        <v>1336</v>
      </c>
      <c r="B48" s="3588"/>
      <c r="C48" s="3588"/>
      <c r="D48" s="2323">
        <f ca="1">IF(H48="情况1",0,IF(H48="情况2",D52,IF(H48="情况3",D53,IF(H48="情况4",D54))))</f>
        <v>11.09</v>
      </c>
      <c r="E48" s="2333" t="str">
        <f>IF(H48="情况4","(销售额-原购置价)×税（费）率","销售额×税（费）率")</f>
        <v>(销售额-原购置价)×税（费）率</v>
      </c>
      <c r="F48" s="2547">
        <f>IF(H48="情况1","免征",'数据-取费表'!B41)</f>
        <v>5.6000000000000001E-2</v>
      </c>
      <c r="G48" s="2548" t="s">
        <v>1337</v>
      </c>
      <c r="H48" s="2549" t="s">
        <v>3481</v>
      </c>
      <c r="I48" s="1805"/>
      <c r="J48" s="2522">
        <v>3</v>
      </c>
      <c r="K48" s="3636" t="s">
        <v>1338</v>
      </c>
      <c r="L48" s="3636"/>
      <c r="M48" s="3658">
        <f ca="1">H101</f>
        <v>208</v>
      </c>
      <c r="N48" s="3658"/>
      <c r="O48" s="3658"/>
    </row>
    <row r="49" spans="1:35" ht="25.5" customHeight="1">
      <c r="A49" s="2332" t="s">
        <v>1339</v>
      </c>
      <c r="B49" s="3572" t="s">
        <v>1340</v>
      </c>
      <c r="C49" s="3572"/>
      <c r="D49" s="1589">
        <v>0</v>
      </c>
      <c r="E49" s="324" t="s">
        <v>1341</v>
      </c>
      <c r="F49" s="2423" t="s">
        <v>28</v>
      </c>
      <c r="G49" s="3642"/>
      <c r="H49" s="2309" t="s">
        <v>2131</v>
      </c>
      <c r="I49" s="2310"/>
      <c r="J49" s="2522">
        <v>4</v>
      </c>
      <c r="K49" s="3636" t="str">
        <f>IF(项目基本情况!E8="房地产抵押价值","房地产抵押价值","抵押担保权已注销时的房地产抵押价值")</f>
        <v>房地产抵押价值</v>
      </c>
      <c r="L49" s="3636"/>
      <c r="M49" s="3658">
        <f ca="1">IF(项目基本情况!E8="房地产抵押价值",H107,H109)</f>
        <v>208</v>
      </c>
      <c r="N49" s="3658"/>
      <c r="O49" s="3658"/>
    </row>
    <row r="50" spans="1:35" ht="25.5" customHeight="1">
      <c r="A50" s="2550"/>
      <c r="B50" s="3572" t="s">
        <v>1342</v>
      </c>
      <c r="C50" s="3572"/>
      <c r="D50" s="2551"/>
      <c r="E50" s="332"/>
      <c r="F50" s="2423"/>
      <c r="G50" s="3643"/>
      <c r="H50" s="2311" t="s">
        <v>2132</v>
      </c>
      <c r="I50" s="2310"/>
      <c r="J50" s="3655" t="s">
        <v>1343</v>
      </c>
      <c r="K50" s="3655"/>
      <c r="L50" s="3655"/>
      <c r="M50" s="3655"/>
      <c r="N50" s="3655"/>
      <c r="O50" s="3655"/>
    </row>
    <row r="51" spans="1:35" ht="20.45" customHeight="1">
      <c r="A51" s="2552"/>
      <c r="B51" s="3572" t="s">
        <v>1344</v>
      </c>
      <c r="C51" s="3572"/>
      <c r="D51" s="1086"/>
      <c r="E51" s="327"/>
      <c r="F51" s="2423"/>
      <c r="G51" s="3644"/>
      <c r="H51" s="2311" t="s">
        <v>2133</v>
      </c>
      <c r="I51" s="2310"/>
      <c r="J51" s="2523" t="s">
        <v>1345</v>
      </c>
      <c r="K51" s="3636" t="s">
        <v>1346</v>
      </c>
      <c r="L51" s="3636"/>
      <c r="M51" s="2523" t="s">
        <v>1347</v>
      </c>
      <c r="N51" s="2523" t="s">
        <v>1348</v>
      </c>
      <c r="O51" s="2523" t="s">
        <v>1349</v>
      </c>
    </row>
    <row r="52" spans="1:35" ht="24" customHeight="1">
      <c r="A52" s="2334" t="s">
        <v>1350</v>
      </c>
      <c r="B52" s="3572" t="s">
        <v>1351</v>
      </c>
      <c r="C52" s="3572"/>
      <c r="D52" s="1086">
        <f ca="1">ROUND(D45*'数据-取费表'!B41/(1+'数据-取费表'!C42),0)</f>
        <v>11</v>
      </c>
      <c r="E52" s="2333" t="s">
        <v>1352</v>
      </c>
      <c r="F52" s="2553">
        <f>'数据-取费表'!B41</f>
        <v>5.6000000000000001E-2</v>
      </c>
      <c r="G52" s="2554"/>
      <c r="H52" s="2543"/>
      <c r="I52" s="1806"/>
      <c r="J52" s="2522">
        <v>1</v>
      </c>
      <c r="K52" s="3637" t="s">
        <v>1353</v>
      </c>
      <c r="L52" s="3637"/>
      <c r="M52" s="2524">
        <f ca="1">D48</f>
        <v>11.09</v>
      </c>
      <c r="N52" s="2522" t="str">
        <f>E48</f>
        <v>(销售额-原购置价)×税（费）率</v>
      </c>
      <c r="O52" s="2525">
        <f>F48</f>
        <v>5.6000000000000001E-2</v>
      </c>
      <c r="P52" s="724">
        <f ca="1">M52</f>
        <v>11.09</v>
      </c>
    </row>
    <row r="53" spans="1:35" ht="12" customHeight="1">
      <c r="A53" s="2334" t="s">
        <v>1354</v>
      </c>
      <c r="B53" s="3598" t="s">
        <v>2288</v>
      </c>
      <c r="C53" s="3599"/>
      <c r="D53" s="1086">
        <f ca="1">ROUND(D45*'数据-取费表'!B41/(1+'数据-取费表'!C42),0)</f>
        <v>11</v>
      </c>
      <c r="E53" s="2333" t="s">
        <v>1352</v>
      </c>
      <c r="F53" s="2553">
        <f>'数据-取费表'!B41</f>
        <v>5.6000000000000001E-2</v>
      </c>
      <c r="G53" s="2554"/>
      <c r="H53" s="2543"/>
      <c r="I53" s="1806"/>
      <c r="J53" s="2522">
        <v>2</v>
      </c>
      <c r="K53" s="3637" t="s">
        <v>1355</v>
      </c>
      <c r="L53" s="3637"/>
      <c r="M53" s="2524">
        <f t="shared" ref="M53:O54" ca="1" si="0">D55</f>
        <v>0.1</v>
      </c>
      <c r="N53" s="2522" t="str">
        <f t="shared" si="0"/>
        <v>销售额×税（费）率</v>
      </c>
      <c r="O53" s="2525">
        <f t="shared" si="0"/>
        <v>5.0000000000000001E-4</v>
      </c>
      <c r="P53" s="724">
        <f ca="1">M53</f>
        <v>0.1</v>
      </c>
    </row>
    <row r="54" spans="1:35" ht="12" customHeight="1">
      <c r="A54" s="2334" t="s">
        <v>1356</v>
      </c>
      <c r="B54" s="3598" t="s">
        <v>2289</v>
      </c>
      <c r="C54" s="3599"/>
      <c r="D54" s="1086">
        <f ca="1">C68</f>
        <v>11.09</v>
      </c>
      <c r="E54" s="327" t="s">
        <v>1357</v>
      </c>
      <c r="F54" s="2553">
        <f>'数据-取费表'!B41</f>
        <v>5.6000000000000001E-2</v>
      </c>
      <c r="G54" s="2554"/>
      <c r="H54" s="2555"/>
      <c r="I54" s="1806"/>
      <c r="J54" s="2522">
        <v>3</v>
      </c>
      <c r="K54" s="3637" t="s">
        <v>1358</v>
      </c>
      <c r="L54" s="3637"/>
      <c r="M54" s="2524">
        <f t="shared" ca="1" si="0"/>
        <v>118</v>
      </c>
      <c r="N54" s="2522" t="str">
        <f t="shared" si="0"/>
        <v>增值额×税（费）率</v>
      </c>
      <c r="O54" s="2526" t="str">
        <f t="shared" si="0"/>
        <v>——</v>
      </c>
      <c r="P54" s="724">
        <f ca="1">ROUND(D45/1.05*1%,2)</f>
        <v>1.98</v>
      </c>
    </row>
    <row r="55" spans="1:35" ht="24" customHeight="1">
      <c r="A55" s="3587" t="s">
        <v>1359</v>
      </c>
      <c r="B55" s="3588"/>
      <c r="C55" s="3588"/>
      <c r="D55" s="2323">
        <f ca="1">IF(H55="个人住宅",0,ROUND(D45*I55,2))</f>
        <v>0.1</v>
      </c>
      <c r="E55" s="2333" t="s">
        <v>1360</v>
      </c>
      <c r="F55" s="2553">
        <f>IF(H55="正常",I55,"免征")</f>
        <v>5.0000000000000001E-4</v>
      </c>
      <c r="G55" s="2554"/>
      <c r="H55" s="2549" t="s">
        <v>3434</v>
      </c>
      <c r="I55" s="165">
        <f>'数据-取费表'!B49</f>
        <v>5.0000000000000001E-4</v>
      </c>
      <c r="J55" s="2522">
        <f>IF(H59="非个人房产","",4)</f>
        <v>4</v>
      </c>
      <c r="K55" s="3637" t="str">
        <f>IF(H59="非个人房产","——","个人所得税")</f>
        <v>个人所得税</v>
      </c>
      <c r="L55" s="3637"/>
      <c r="M55" s="2527">
        <f ca="1">D59</f>
        <v>2.08</v>
      </c>
      <c r="N55" s="2039" t="str">
        <f>E59</f>
        <v>销售额×税（费）率</v>
      </c>
      <c r="O55" s="2528">
        <f>F59</f>
        <v>0.01</v>
      </c>
      <c r="P55" s="724">
        <f ca="1">M55</f>
        <v>2.08</v>
      </c>
    </row>
    <row r="56" spans="1:35" ht="24.75">
      <c r="A56" s="3587" t="s">
        <v>1361</v>
      </c>
      <c r="B56" s="3588"/>
      <c r="C56" s="3588"/>
      <c r="D56" s="2323">
        <f ca="1">IF(H56="个人住宅",D57,D58)</f>
        <v>118</v>
      </c>
      <c r="E56" s="2333" t="s">
        <v>1362</v>
      </c>
      <c r="F56" s="2553" t="str">
        <f>IF(H56="正常",F58,"免征")</f>
        <v>——</v>
      </c>
      <c r="G56" s="2556" t="s">
        <v>1363</v>
      </c>
      <c r="H56" s="2557" t="s">
        <v>3434</v>
      </c>
      <c r="I56" s="1807"/>
      <c r="J56" s="2522" t="str">
        <f>IF(项目基本情况!K6="上海银行",IF(J55="",4,J55+1),"")</f>
        <v/>
      </c>
      <c r="K56" s="3660" t="str">
        <f>IF(项目基本情况!K6="上海银行","其他处置费用","")</f>
        <v/>
      </c>
      <c r="L56" s="3661"/>
      <c r="M56" s="2524" t="str">
        <f>IF(项目基本情况!K6="上海银行",M69,"")</f>
        <v/>
      </c>
      <c r="N56" s="3660" t="str">
        <f>IF(项目基本情况!K6="上海银行","包含处置中涉及的律师、诉讼、拍卖、评估等费用","")</f>
        <v/>
      </c>
      <c r="O56" s="3663"/>
      <c r="P56" s="724">
        <f ca="1">SUM(P52:P55)</f>
        <v>15.25</v>
      </c>
    </row>
    <row r="57" spans="1:35" ht="12.75">
      <c r="A57" s="2334" t="s">
        <v>1339</v>
      </c>
      <c r="B57" s="3598" t="s">
        <v>1364</v>
      </c>
      <c r="C57" s="3599"/>
      <c r="D57" s="1589">
        <v>0</v>
      </c>
      <c r="E57" s="324" t="s">
        <v>1341</v>
      </c>
      <c r="F57" s="302"/>
      <c r="G57" s="2554"/>
      <c r="H57" s="2558"/>
      <c r="I57" s="1807"/>
      <c r="J57" s="3637">
        <f>IF(AND(J55="",J56=""),4,IF(项目基本情况!K6="上海银行",结果表!J56+1,结果表!J55+1))</f>
        <v>5</v>
      </c>
      <c r="K57" s="3637" t="s">
        <v>1365</v>
      </c>
      <c r="L57" s="2529" t="s">
        <v>1366</v>
      </c>
      <c r="M57" s="2530"/>
      <c r="N57" s="2531">
        <f ca="1">SUMIF(M52:M56,"&lt;9e307")</f>
        <v>131.27000000000001</v>
      </c>
      <c r="O57" s="2532"/>
      <c r="P57" s="2688"/>
    </row>
    <row r="58" spans="1:35" ht="24.75">
      <c r="A58" s="2334" t="s">
        <v>1350</v>
      </c>
      <c r="B58" s="3598" t="s">
        <v>1367</v>
      </c>
      <c r="C58" s="3572"/>
      <c r="D58" s="2323">
        <f ca="1">IF(H58="转让取得",C81,C97)</f>
        <v>118</v>
      </c>
      <c r="E58" s="2333" t="s">
        <v>1362</v>
      </c>
      <c r="F58" s="302" t="s">
        <v>28</v>
      </c>
      <c r="G58" s="2554"/>
      <c r="H58" s="2557" t="s">
        <v>3482</v>
      </c>
      <c r="I58" s="1807"/>
      <c r="J58" s="3637"/>
      <c r="K58" s="3637"/>
      <c r="L58" s="2529" t="s">
        <v>1368</v>
      </c>
      <c r="M58" s="2533"/>
      <c r="N58" s="2534" t="str">
        <f ca="1">NUMBERSTRING(INT(N57*10000),2)&amp;"元整"</f>
        <v>壹佰叁拾壹万贰仟柒佰元整</v>
      </c>
      <c r="O58" s="2535"/>
    </row>
    <row r="59" spans="1:35" ht="26.25" thickBot="1">
      <c r="A59" s="3640" t="s">
        <v>1369</v>
      </c>
      <c r="B59" s="3641"/>
      <c r="C59" s="3641"/>
      <c r="D59" s="2559">
        <f ca="1">IF(H59="非个人房产","——",IF(H59="个人住宅（满五唯一有凭证）",0,IF(H59="个人其他（无凭证）",ROUND(D45*F59,2),ROUND(C67*F59,0))))</f>
        <v>2.08</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1363</v>
      </c>
      <c r="H59" s="2313" t="s">
        <v>3483</v>
      </c>
      <c r="I59" s="2312" t="s">
        <v>2134</v>
      </c>
      <c r="J59" s="3638">
        <f>J57+1</f>
        <v>6</v>
      </c>
      <c r="K59" s="3637" t="s">
        <v>1370</v>
      </c>
      <c r="L59" s="2522" t="s">
        <v>1366</v>
      </c>
      <c r="M59" s="2536"/>
      <c r="N59" s="2537">
        <f ca="1">M49-N57</f>
        <v>76.72999999999999</v>
      </c>
      <c r="O59" s="2538"/>
      <c r="P59" s="724">
        <f ca="1">ROUND(M49-P56,0)</f>
        <v>193</v>
      </c>
    </row>
    <row r="60" spans="1:35" ht="12" customHeight="1">
      <c r="A60" s="1808"/>
      <c r="B60" s="1746"/>
      <c r="C60" s="1746"/>
      <c r="D60" s="1746"/>
      <c r="E60" s="1577"/>
      <c r="F60" s="1807"/>
      <c r="G60" s="1807"/>
      <c r="H60" s="1809"/>
      <c r="I60" s="129"/>
      <c r="J60" s="3639"/>
      <c r="K60" s="3637"/>
      <c r="L60" s="2529" t="s">
        <v>1368</v>
      </c>
      <c r="M60" s="2533"/>
      <c r="N60" s="2534" t="str">
        <f ca="1">NUMBERSTRING(INT(N59*10000),2)&amp;"元整"</f>
        <v>柒拾陆万柒仟叁佰元整</v>
      </c>
      <c r="O60" s="2535"/>
    </row>
    <row r="61" spans="1:35" ht="13.5" thickBot="1">
      <c r="A61" s="3585" t="s">
        <v>1371</v>
      </c>
      <c r="B61" s="3585"/>
      <c r="C61" s="3585"/>
      <c r="D61" s="3585"/>
      <c r="E61" s="3585"/>
      <c r="F61" s="1807"/>
      <c r="G61" s="1807"/>
      <c r="H61" s="1809"/>
      <c r="I61" s="129"/>
      <c r="J61" s="2522">
        <f>J59+1</f>
        <v>7</v>
      </c>
      <c r="K61" s="3637" t="s">
        <v>1372</v>
      </c>
      <c r="L61" s="3637"/>
      <c r="M61" s="2539"/>
      <c r="N61" s="2540">
        <f ca="1">ROUND(N59*10000/'数据-汇总表'!E3,0)</f>
        <v>12253</v>
      </c>
      <c r="O61" s="2541"/>
      <c r="P61" s="724">
        <f ca="1">ROUND(P59*10000/'数据-汇总表'!E3,0)</f>
        <v>30821</v>
      </c>
    </row>
    <row r="62" spans="1:35" ht="12.75">
      <c r="A62" s="3603" t="s">
        <v>1373</v>
      </c>
      <c r="B62" s="3604"/>
      <c r="C62" s="2020"/>
      <c r="D62" s="2020" t="s">
        <v>1374</v>
      </c>
      <c r="E62" s="166" t="s">
        <v>1375</v>
      </c>
      <c r="F62" s="1807"/>
      <c r="G62" s="1807"/>
      <c r="H62" s="1809"/>
      <c r="I62" s="129"/>
    </row>
    <row r="63" spans="1:35" ht="12.75">
      <c r="A63" s="173" t="s">
        <v>330</v>
      </c>
      <c r="B63" s="167" t="s">
        <v>1376</v>
      </c>
      <c r="C63" s="2563">
        <f ca="1">ROUND((C64+C65)/(1+'数据-取费表'!C42),0)</f>
        <v>198</v>
      </c>
      <c r="D63" s="167"/>
      <c r="E63" s="168"/>
      <c r="F63" s="1807"/>
      <c r="G63" s="1807"/>
      <c r="H63" s="1809"/>
      <c r="I63" s="129"/>
      <c r="J63" s="3662" t="s">
        <v>1377</v>
      </c>
      <c r="K63" s="1331" t="s">
        <v>1378</v>
      </c>
      <c r="L63" s="1331">
        <f ca="1">IF(M49&gt;10000,M49*0.5%,IF(AND(M49&gt;1000,M49&lt;=10000),M49*1%,IF(AND(M49&gt;100,M49&lt;=1000),M49*3%,IF(AND(M49&gt;10,M49&lt;=100),M49*5%,M49*8%))))</f>
        <v>6.24</v>
      </c>
      <c r="M63" s="302">
        <f ca="1">ROUND(L63,1)</f>
        <v>6.2</v>
      </c>
      <c r="N63" s="2542"/>
      <c r="Z63" s="1751"/>
      <c r="AI63" s="1752"/>
    </row>
    <row r="64" spans="1:35" ht="14.25" customHeight="1">
      <c r="A64" s="169" t="s">
        <v>325</v>
      </c>
      <c r="B64" s="170" t="s">
        <v>1379</v>
      </c>
      <c r="C64" s="2564">
        <f ca="1">D45</f>
        <v>208</v>
      </c>
      <c r="D64" s="170" t="s">
        <v>26</v>
      </c>
      <c r="E64" s="172"/>
      <c r="F64" s="1807"/>
      <c r="G64" s="1807"/>
      <c r="H64" s="1809"/>
      <c r="I64" s="129"/>
      <c r="J64" s="3662"/>
      <c r="K64" s="1331" t="s">
        <v>1380</v>
      </c>
      <c r="L64" s="1331">
        <f ca="1">IF(M49&gt;2000,M49*0.5%,IF(AND(M49&gt;1000,M49&lt;=2000),M49*0.6%,IF(AND(M49&gt;500,M49&lt;=1000),M49*0.7%,IF(AND(M49&gt;200,M49&lt;=500),M49*0.8%,IF(AND(M49&gt;100,M49&lt;=200),M49*0.9%,IF(AND(M49&gt;50,M49&lt;=100),M49*1%,IF(AND(M49&gt;20,M49&lt;=50),M49*1.5%,IF(AND(M49&gt;10,M49&lt;=20),M49*2%,IF(AND(M49&gt;1,M49&lt;=10),M49*2.5%)))))))))</f>
        <v>1.6640000000000001</v>
      </c>
      <c r="M64" s="302">
        <f t="shared" ref="M64:M65" ca="1" si="1">ROUND(L64,1)</f>
        <v>1.7</v>
      </c>
      <c r="N64" s="2543" t="s">
        <v>1381</v>
      </c>
      <c r="Z64" s="1751"/>
      <c r="AI64" s="1752"/>
    </row>
    <row r="65" spans="1:35" ht="14.25" customHeight="1">
      <c r="A65" s="169" t="s">
        <v>326</v>
      </c>
      <c r="B65" s="170" t="s">
        <v>1382</v>
      </c>
      <c r="C65" s="2565"/>
      <c r="D65" s="170"/>
      <c r="E65" s="172"/>
      <c r="F65" s="1807"/>
      <c r="G65" s="1807"/>
      <c r="H65" s="1809"/>
      <c r="I65" s="129"/>
      <c r="J65" s="3662"/>
      <c r="K65" s="1331" t="s">
        <v>1383</v>
      </c>
      <c r="L65" s="1331">
        <f ca="1">IF(M49&gt;1000,M49*0.1%,IF(AND(M49&gt;500,M49&lt;=1000),M49*0.5%,IF(AND(M49&gt;50,M49&lt;=500),M49*1%,IF(AND(M49&gt;1,M49&lt;=50),M49*1.5%))))</f>
        <v>2.08</v>
      </c>
      <c r="M65" s="302">
        <f t="shared" ca="1" si="1"/>
        <v>2.1</v>
      </c>
      <c r="N65" s="2543" t="s">
        <v>1381</v>
      </c>
      <c r="Z65" s="1751"/>
      <c r="AI65" s="1752"/>
    </row>
    <row r="66" spans="1:35" ht="14.25" customHeight="1">
      <c r="A66" s="173" t="s">
        <v>327</v>
      </c>
      <c r="B66" s="174" t="s">
        <v>1384</v>
      </c>
      <c r="C66" s="2566"/>
      <c r="D66" s="174" t="s">
        <v>26</v>
      </c>
      <c r="E66" s="1337" t="s">
        <v>669</v>
      </c>
      <c r="F66" s="1807"/>
      <c r="G66" s="1807"/>
      <c r="H66" s="1809"/>
      <c r="I66" s="129"/>
      <c r="J66" s="3662"/>
      <c r="K66" s="1331" t="s">
        <v>1385</v>
      </c>
      <c r="L66" s="1331">
        <f ca="1">M49*0.5%</f>
        <v>1.04</v>
      </c>
      <c r="M66" s="302">
        <f ca="1">IF(L66&gt;0.5,0.5,ROUND(L66,0))</f>
        <v>0.5</v>
      </c>
      <c r="N66" s="2543" t="s">
        <v>1386</v>
      </c>
      <c r="Z66" s="1751"/>
      <c r="AI66" s="1752"/>
    </row>
    <row r="67" spans="1:35" ht="14.25" customHeight="1">
      <c r="A67" s="173" t="s">
        <v>328</v>
      </c>
      <c r="B67" s="174" t="s">
        <v>1387</v>
      </c>
      <c r="C67" s="2567">
        <f ca="1">C63-C66</f>
        <v>198</v>
      </c>
      <c r="D67" s="170" t="s">
        <v>26</v>
      </c>
      <c r="E67" s="172"/>
      <c r="F67" s="1807"/>
      <c r="G67" s="1807"/>
      <c r="H67" s="1809"/>
      <c r="I67" s="129"/>
      <c r="J67" s="3662"/>
      <c r="K67" s="1331" t="s">
        <v>1388</v>
      </c>
      <c r="L67" s="1331">
        <f ca="1">IF(M49&gt;=10000,(8.25+(M49-10000)*0.01%),IF(AND(M49&gt;=8000,M49&lt;10000),(7.85+(M49-8000)*0.02%),IF(AND(M49&gt;=5000,M49&lt;8000),(6.65+(M49-5000)*0.04%),IF(AND(M49&gt;=2000,M49&lt;5000),(4.25+(PM49-2000)*0.08%),IF(AND(M49&gt;=1000,M49&lt;2000),(2.75+(M49-1000)*0.15%),IF(AND(M49&gt;=100,M49&lt;1000),(0.5+(M49-100)*0.25%),IF(AND(M49&gt;0,M49&lt;100),M49*0.5%)))))))</f>
        <v>0.77</v>
      </c>
      <c r="M67" s="302">
        <f ca="1">ROUND(L67*0.9,1)</f>
        <v>0.7</v>
      </c>
      <c r="N67" s="2542"/>
      <c r="Z67" s="1751"/>
      <c r="AI67" s="1752"/>
    </row>
    <row r="68" spans="1:35" ht="14.25" customHeight="1" thickBot="1">
      <c r="A68" s="176" t="s">
        <v>329</v>
      </c>
      <c r="B68" s="177" t="s">
        <v>1389</v>
      </c>
      <c r="C68" s="2568">
        <f ca="1">IF(C67&lt;=0,0,ROUND(C67*D68,2))</f>
        <v>11.09</v>
      </c>
      <c r="D68" s="2569">
        <f>'数据-取费表'!B41</f>
        <v>5.6000000000000001E-2</v>
      </c>
      <c r="E68" s="178"/>
      <c r="F68" s="1807"/>
      <c r="G68" s="1807"/>
      <c r="H68" s="1809"/>
      <c r="I68" s="129"/>
      <c r="J68" s="3662"/>
      <c r="K68" s="1331" t="s">
        <v>1390</v>
      </c>
      <c r="L68" s="1331">
        <f ca="1">IF(M49&gt;10000,M49*0.5%,IF(AND(M49&gt;5000,M49&lt;=10000),M49*1%,IF(AND(M49&gt;1000,M49&lt;=5000),M49*2%,IF(AND(M49&gt;200,M49&lt;=1000),M49*3%,M49*5%))))</f>
        <v>6.24</v>
      </c>
      <c r="M68" s="302">
        <f ca="1">ROUND(L68,1)</f>
        <v>6.2</v>
      </c>
      <c r="N68" s="2542"/>
      <c r="Z68" s="1751"/>
      <c r="AI68" s="1752"/>
    </row>
    <row r="69" spans="1:35" s="1771" customFormat="1" ht="16.5" customHeight="1">
      <c r="A69" s="1810"/>
      <c r="B69" s="1811"/>
      <c r="C69" s="1812"/>
      <c r="D69" s="1813"/>
      <c r="E69" s="1814"/>
      <c r="F69" s="1577"/>
      <c r="G69" s="1577"/>
      <c r="H69" s="1576"/>
      <c r="I69" s="1746"/>
      <c r="J69" s="3662"/>
      <c r="K69" s="1331" t="s">
        <v>1391</v>
      </c>
      <c r="L69" s="1331"/>
      <c r="M69" s="302">
        <f ca="1">ROUND(SUM(M63:M68),0)</f>
        <v>17</v>
      </c>
      <c r="N69" s="2544">
        <f ca="1">M69/M49</f>
        <v>8.1730769230769232E-2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4" t="s">
        <v>1392</v>
      </c>
      <c r="B70" s="3625"/>
      <c r="C70" s="3625"/>
      <c r="D70" s="3625"/>
      <c r="E70" s="3625"/>
      <c r="F70" s="3625"/>
      <c r="G70" s="3625"/>
      <c r="H70" s="362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1373</v>
      </c>
      <c r="B71" s="3604"/>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198</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t="s">
        <v>3484</v>
      </c>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598" t="s">
        <v>1400</v>
      </c>
      <c r="F76" s="3572"/>
      <c r="G76" s="3572"/>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v>
      </c>
      <c r="D78" s="2576">
        <f>'数据-取费表'!B43</f>
        <v>6.000000000000001E-3</v>
      </c>
      <c r="E78" s="3582" t="s">
        <v>1404</v>
      </c>
      <c r="F78" s="3583"/>
      <c r="G78" s="3583"/>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197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118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4" t="s">
        <v>1408</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1373</v>
      </c>
      <c r="B84" s="3604"/>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198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64" t="s">
        <v>2126</v>
      </c>
      <c r="H90" s="366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582" t="s">
        <v>1417</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82" t="s">
        <v>1420</v>
      </c>
      <c r="F92" s="3583"/>
      <c r="G92" s="3583"/>
      <c r="H92" s="3592"/>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v>
      </c>
      <c r="D93" s="2576">
        <f>'数据-取费表'!B43</f>
        <v>6.000000000000001E-3</v>
      </c>
      <c r="E93" s="3582" t="s">
        <v>1404</v>
      </c>
      <c r="F93" s="3583"/>
      <c r="G93" s="3583"/>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593" t="s">
        <v>1424</v>
      </c>
      <c r="F94" s="3594"/>
      <c r="G94" s="3594"/>
      <c r="H94" s="35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197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118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66" t="s">
        <v>1426</v>
      </c>
      <c r="B100" s="3567"/>
      <c r="C100" s="3567"/>
      <c r="D100" s="3584"/>
      <c r="E100" s="3567" t="s">
        <v>1427</v>
      </c>
      <c r="F100" s="3567"/>
      <c r="G100" s="3567"/>
      <c r="H100" s="3584"/>
      <c r="I100" s="129"/>
    </row>
    <row r="101" spans="1:35" ht="18.75" customHeight="1">
      <c r="A101" s="3645" t="s">
        <v>1428</v>
      </c>
      <c r="B101" s="3646"/>
      <c r="C101" s="2584" t="str">
        <f>C4</f>
        <v>比较法-办公</v>
      </c>
      <c r="D101" s="2585" t="str">
        <f>D4</f>
        <v>收益法 (元)</v>
      </c>
      <c r="E101" s="3659" t="s">
        <v>1429</v>
      </c>
      <c r="F101" s="3616"/>
      <c r="G101" s="1826" t="s">
        <v>1430</v>
      </c>
      <c r="H101" s="2594">
        <f ca="1">H118</f>
        <v>208</v>
      </c>
      <c r="I101" s="129"/>
    </row>
    <row r="102" spans="1:35" ht="18.75" customHeight="1">
      <c r="A102" s="3618" t="s">
        <v>1431</v>
      </c>
      <c r="B102" s="2583" t="s">
        <v>1430</v>
      </c>
      <c r="C102" s="2584">
        <f ca="1">IF(D32="楼面单价",ROUND(C19,0),C19)</f>
        <v>238</v>
      </c>
      <c r="D102" s="2585">
        <f ca="1">IF(D32="楼面单价",ROUND(D19,0),D19)</f>
        <v>164</v>
      </c>
      <c r="E102" s="3659"/>
      <c r="F102" s="3616"/>
      <c r="G102" s="1826" t="s">
        <v>1432</v>
      </c>
      <c r="H102" s="2554">
        <f ca="1">I118</f>
        <v>33273</v>
      </c>
      <c r="I102" s="129"/>
    </row>
    <row r="103" spans="1:35" ht="42.75" customHeight="1">
      <c r="A103" s="3618"/>
      <c r="B103" s="2583" t="s">
        <v>1432</v>
      </c>
      <c r="C103" s="2586">
        <f ca="1">C20</f>
        <v>38009</v>
      </c>
      <c r="D103" s="2587">
        <f ca="1">D20</f>
        <v>26170</v>
      </c>
      <c r="E103" s="3653" t="s">
        <v>1433</v>
      </c>
      <c r="F103" s="3654"/>
      <c r="G103" s="1827" t="s">
        <v>1434</v>
      </c>
      <c r="H103" s="2594">
        <f>IF(D36="正常操作",H104+H105+H106,H105+H106)</f>
        <v>0</v>
      </c>
      <c r="I103" s="129"/>
    </row>
    <row r="104" spans="1:35" ht="18.75" customHeight="1">
      <c r="A104" s="3618" t="s">
        <v>1435</v>
      </c>
      <c r="B104" s="2588" t="s">
        <v>1430</v>
      </c>
      <c r="C104" s="2589">
        <f ca="1">H118</f>
        <v>208</v>
      </c>
      <c r="D104" s="2590"/>
      <c r="E104" s="1673" t="s">
        <v>1436</v>
      </c>
      <c r="F104" s="1665"/>
      <c r="G104" s="1827" t="s">
        <v>1434</v>
      </c>
      <c r="H104" s="2595">
        <f>IF(D36="同一抵押权人同一抵押物续贷",C36&amp;"（续贷，未扣减，详见特别提示）",C36)</f>
        <v>0</v>
      </c>
      <c r="I104" s="129"/>
    </row>
    <row r="105" spans="1:35" ht="18.75" customHeight="1" thickBot="1">
      <c r="A105" s="3619"/>
      <c r="B105" s="2591" t="s">
        <v>1432</v>
      </c>
      <c r="C105" s="2592">
        <f ca="1">I118</f>
        <v>33273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15" t="str">
        <f>IF(项目基本情况!E8="已注销","——","3.房地产抵押价值")</f>
        <v>3.房地产抵押价值</v>
      </c>
      <c r="F107" s="3616"/>
      <c r="G107" s="1826" t="s">
        <v>1430</v>
      </c>
      <c r="H107" s="2594">
        <f ca="1">IF(E107="——","——",H101-H103)</f>
        <v>208</v>
      </c>
      <c r="I107" s="129"/>
    </row>
    <row r="108" spans="1:35" ht="18.75" customHeight="1">
      <c r="A108" s="129"/>
      <c r="B108" s="129"/>
      <c r="C108" s="129"/>
      <c r="D108" s="129"/>
      <c r="E108" s="3615"/>
      <c r="F108" s="3616"/>
      <c r="G108" s="1826" t="s">
        <v>1432</v>
      </c>
      <c r="H108" s="2554">
        <f ca="1">IF(H107=H101,H102,ROUND(H107*10000/'数据-汇总表'!E3,0))</f>
        <v>33273</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6" t="s">
        <v>1430</v>
      </c>
      <c r="H109" s="2597" t="str">
        <f>IF(E109="——","——",H101-H105-H106)</f>
        <v>——</v>
      </c>
      <c r="I109" s="129"/>
    </row>
    <row r="110" spans="1:35" ht="18.75" customHeight="1">
      <c r="A110" s="129"/>
      <c r="B110" s="129"/>
      <c r="C110" s="129"/>
      <c r="D110" s="129"/>
      <c r="E110" s="3615"/>
      <c r="F110" s="3616"/>
      <c r="G110" s="1826" t="s">
        <v>1432</v>
      </c>
      <c r="H110" s="2554"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6" t="s">
        <v>1430</v>
      </c>
      <c r="H111" s="2594" t="str">
        <f>IF(E111="——","——",N59)</f>
        <v>——</v>
      </c>
      <c r="I111" s="129"/>
    </row>
    <row r="112" spans="1:35" ht="18.75" customHeight="1" thickBot="1">
      <c r="A112" s="129"/>
      <c r="B112" s="129"/>
      <c r="C112" s="129"/>
      <c r="D112" s="129"/>
      <c r="E112" s="3648"/>
      <c r="F112" s="3649"/>
      <c r="G112" s="1829" t="s">
        <v>1432</v>
      </c>
      <c r="H112" s="2598" t="str">
        <f>IF(E111="——","——",N61)</f>
        <v>——</v>
      </c>
      <c r="I112" s="129"/>
    </row>
    <row r="113" spans="1:27" ht="18.75" customHeight="1">
      <c r="A113" s="129"/>
      <c r="B113" s="129"/>
      <c r="C113" s="129"/>
      <c r="D113" s="129"/>
      <c r="E113" s="3620" t="s">
        <v>1438</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30" t="s">
        <v>1440</v>
      </c>
      <c r="B115" s="3631"/>
      <c r="C115" s="3631"/>
      <c r="D115" s="3631"/>
      <c r="E115" s="3631"/>
      <c r="F115" s="3631"/>
      <c r="G115" s="3631"/>
      <c r="H115" s="3631"/>
      <c r="I115" s="3632"/>
    </row>
    <row r="116" spans="1:27" ht="27" customHeight="1">
      <c r="A116" s="3586" t="s">
        <v>1441</v>
      </c>
      <c r="B116" s="3621" t="s">
        <v>1442</v>
      </c>
      <c r="C116" s="3621" t="s">
        <v>1443</v>
      </c>
      <c r="D116" s="3634" t="s">
        <v>1444</v>
      </c>
      <c r="E116" s="3635"/>
      <c r="F116" s="3629" t="s">
        <v>1445</v>
      </c>
      <c r="G116" s="3629"/>
      <c r="H116" s="3586" t="s">
        <v>1446</v>
      </c>
      <c r="I116" s="3586"/>
    </row>
    <row r="117" spans="1:27" ht="18.75" customHeight="1">
      <c r="A117" s="3586"/>
      <c r="B117" s="3622"/>
      <c r="C117" s="3622"/>
      <c r="D117" s="2328" t="s">
        <v>1447</v>
      </c>
      <c r="E117" s="2328" t="s">
        <v>1448</v>
      </c>
      <c r="F117" s="2328" t="s">
        <v>1447</v>
      </c>
      <c r="G117" s="2328" t="s">
        <v>1449</v>
      </c>
      <c r="H117" s="2328" t="s">
        <v>1447</v>
      </c>
      <c r="I117" s="2328" t="s">
        <v>1449</v>
      </c>
    </row>
    <row r="118" spans="1:27" ht="24.75" customHeight="1">
      <c r="A118" s="2599" t="str">
        <f>项目基本情况!S2</f>
        <v>北京市丰台区广安路9号院1号楼3层301办公用房房地产</v>
      </c>
      <c r="B118" s="2328">
        <f>M18</f>
        <v>62.62</v>
      </c>
      <c r="C118" s="2328">
        <f>M19</f>
        <v>0</v>
      </c>
      <c r="D118" s="2328">
        <f ca="1">ROUND(IF(D32="总价",C34,E118*B118/10000),0)</f>
        <v>149</v>
      </c>
      <c r="E118" s="2328">
        <f ca="1">ROUND(IF(C33="自定义",IF(D32="楼面单价",C34,D118*10000/B118),I118-G118),0)</f>
        <v>23790</v>
      </c>
      <c r="F118" s="2328">
        <f ca="1">ROUND(IF(D32="总价",C35,G118*B118/10000),0)</f>
        <v>59</v>
      </c>
      <c r="G118" s="2328">
        <f ca="1">ROUND(IF(D32="楼面单价",C35,F118*10000/B118),0)</f>
        <v>9483</v>
      </c>
      <c r="H118" s="2328">
        <f ca="1">ROUND(IF(D32="总价",C32,I118*B118/10000),0)</f>
        <v>208</v>
      </c>
      <c r="I118" s="2328">
        <f ca="1">ROUND(IF(D32="楼面单价",C32,H118*10000/B118),0)</f>
        <v>33273</v>
      </c>
    </row>
    <row r="119" spans="1:27" ht="18.75" customHeight="1">
      <c r="A119" s="3586" t="s">
        <v>1450</v>
      </c>
      <c r="B119" s="3586"/>
      <c r="C119" s="3586"/>
      <c r="D119" s="3626" t="str">
        <f ca="1">NUMBERSTRING(INT(D118*10000),2)&amp;"元整"</f>
        <v>壹佰肆拾玖万元整</v>
      </c>
      <c r="E119" s="3628"/>
      <c r="F119" s="3626" t="str">
        <f ca="1">NUMBERSTRING(INT(F118*10000),2)&amp;"元整"</f>
        <v>伍拾玖万元整</v>
      </c>
      <c r="G119" s="3628"/>
      <c r="H119" s="3626" t="str">
        <f ca="1">NUMBERSTRING(INT(H118*10000),2)&amp;"元整"</f>
        <v>贰佰零捌万元整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6" t="s">
        <v>1450</v>
      </c>
      <c r="B121" s="3627"/>
      <c r="C121" s="3628"/>
      <c r="D121" s="3626" t="str">
        <f>IF(D120=0,"零元整",NUMBERSTRING(INT(D120*10000),2)&amp;"元整")</f>
        <v>零元整</v>
      </c>
      <c r="E121" s="3627"/>
      <c r="F121" s="3627"/>
      <c r="G121" s="3627"/>
      <c r="H121" s="3627"/>
      <c r="I121" s="3628"/>
      <c r="AA121" s="724"/>
    </row>
    <row r="122" spans="1:27" ht="18.75" customHeight="1">
      <c r="A122" s="3617" t="str">
        <f>IF(项目基本情况!B9="房地产市场价值","",MID(E107,3,LEN(E107)-2))</f>
        <v>房地产抵押价值</v>
      </c>
      <c r="B122" s="3617"/>
      <c r="C122" s="3617"/>
      <c r="D122" s="3650">
        <f ca="1">H107</f>
        <v>208</v>
      </c>
      <c r="E122" s="3651"/>
      <c r="F122" s="3651"/>
      <c r="G122" s="3651"/>
      <c r="H122" s="3651"/>
      <c r="I122" s="3652"/>
      <c r="AA122" s="724"/>
    </row>
    <row r="123" spans="1:27" ht="18.75" customHeight="1">
      <c r="A123" s="3586" t="s">
        <v>1450</v>
      </c>
      <c r="B123" s="3586"/>
      <c r="C123" s="3586"/>
      <c r="D123" s="3626" t="str">
        <f ca="1">NUMBERSTRING(INT(D122*10000),2)&amp;"元整"</f>
        <v>贰佰零捌万元整</v>
      </c>
      <c r="E123" s="3627"/>
      <c r="F123" s="3627"/>
      <c r="G123" s="3627"/>
      <c r="H123" s="3627"/>
      <c r="I123" s="3628"/>
      <c r="AA123" s="724"/>
    </row>
    <row r="124" spans="1:27" ht="18.75" customHeight="1">
      <c r="A124" s="3617" t="str">
        <f>IF(项目基本情况!B9="房地产市场价值","",MID(E109,3,LEN(E109)-2))</f>
        <v/>
      </c>
      <c r="B124" s="3617"/>
      <c r="C124" s="3617"/>
      <c r="D124" s="3650" t="str">
        <f>H109</f>
        <v>——</v>
      </c>
      <c r="E124" s="3651"/>
      <c r="F124" s="3651"/>
      <c r="G124" s="3651"/>
      <c r="H124" s="3651"/>
      <c r="I124" s="3652"/>
      <c r="AA124" s="724"/>
    </row>
    <row r="125" spans="1:27" ht="18.75" customHeight="1">
      <c r="A125" s="3586" t="s">
        <v>1450</v>
      </c>
      <c r="B125" s="3586"/>
      <c r="C125" s="3586"/>
      <c r="D125" s="3626" t="e">
        <f>NUMBERSTRING(INT(D124*10000),2)&amp;"元整"</f>
        <v>#VALUE!</v>
      </c>
      <c r="E125" s="3627"/>
      <c r="F125" s="3627"/>
      <c r="G125" s="3627"/>
      <c r="H125" s="3627"/>
      <c r="I125" s="3628"/>
      <c r="AA125" s="724"/>
    </row>
    <row r="126" spans="1:27" ht="18.75" customHeight="1">
      <c r="A126" s="3617" t="str">
        <f>IF(项目基本情况!B9="房地产市场价值","",MID(E111,3,LEN(E111)-2))</f>
        <v/>
      </c>
      <c r="B126" s="3617"/>
      <c r="C126" s="3617"/>
      <c r="D126" s="3650" t="str">
        <f>H111</f>
        <v>——</v>
      </c>
      <c r="E126" s="3651"/>
      <c r="F126" s="3651"/>
      <c r="G126" s="3651"/>
      <c r="H126" s="3651"/>
      <c r="I126" s="3652"/>
      <c r="AA126" s="724"/>
    </row>
    <row r="127" spans="1:27" ht="18.75" customHeight="1">
      <c r="A127" s="3586" t="s">
        <v>1450</v>
      </c>
      <c r="B127" s="3586"/>
      <c r="C127" s="3586"/>
      <c r="D127" s="3626" t="e">
        <f>NUMBERSTRING(INT(D126*10000),2)&amp;"元整"</f>
        <v>#VALUE!</v>
      </c>
      <c r="E127" s="3627"/>
      <c r="F127" s="3627"/>
      <c r="G127" s="3627"/>
      <c r="H127" s="3627"/>
      <c r="I127" s="3628"/>
      <c r="AA127" s="724"/>
    </row>
    <row r="128" spans="1:27" ht="21.75" customHeight="1">
      <c r="A128" s="3633" t="s">
        <v>1451</v>
      </c>
      <c r="B128" s="3633"/>
      <c r="C128" s="3633"/>
      <c r="D128" s="3633"/>
      <c r="E128" s="3633"/>
      <c r="F128" s="3633"/>
      <c r="G128" s="3633"/>
      <c r="H128" s="3633"/>
      <c r="I128" s="3633"/>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34</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5430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1</v>
      </c>
      <c r="D10" s="844">
        <f ca="1">IF(B1="",'数据-汇总表'!E6,IF(INDIRECT("'数据-取费表'!c"&amp;$G$1)="住宅",INDIRECT("'数据-取费表'!s"&amp;$G$1),INDIRECT("'数据-取费表'!k"&amp;$G$1)+INDIRECT("'数据-取费表'!s"&amp;$G$1)))</f>
        <v>62.62</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v>
      </c>
      <c r="D19" s="848">
        <f ca="1">D9+D10</f>
        <v>62.62</v>
      </c>
      <c r="E19" s="211">
        <f>'数据-取费表'!B31</f>
        <v>200</v>
      </c>
      <c r="F19" s="231"/>
      <c r="G19" s="1855"/>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0</v>
      </c>
      <c r="D22" s="235">
        <f ca="1">C26</f>
        <v>5.9999999999999995E-4</v>
      </c>
      <c r="E22" s="236" t="s">
        <v>1496</v>
      </c>
      <c r="F22" s="237">
        <f ca="1">'数据-取费表'!B40</f>
        <v>3.1E-2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ROUND((C5+C19+C20)*F27*'数据-取费表'!B21/'数据-取费表'!B20,0)</f>
        <v>0</v>
      </c>
      <c r="D28" s="235"/>
      <c r="E28" s="236"/>
      <c r="F28" s="246"/>
      <c r="G28" s="247"/>
    </row>
    <row r="29" spans="1:7" s="214" customFormat="1" ht="13.5" customHeight="1">
      <c r="A29" s="779"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28</v>
      </c>
      <c r="D34" s="217"/>
      <c r="E34" s="220"/>
      <c r="F34" s="257">
        <f ca="1">IF('数据-取费表'!B24=0,1,IF(B1="",'数据-取费表'!N16,INDIRECT("'数据-取费表'!n"&amp;$G$1)))</f>
        <v>1</v>
      </c>
      <c r="G34" s="219" t="s">
        <v>1524</v>
      </c>
    </row>
    <row r="35" spans="1:7" ht="13.5" customHeight="1">
      <c r="A35" s="779" t="s">
        <v>351</v>
      </c>
      <c r="B35" s="215" t="s">
        <v>1525</v>
      </c>
      <c r="C35" s="220">
        <f ca="1">ROUND(C34*F35,0)</f>
        <v>1</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v>
      </c>
      <c r="D37" s="217">
        <f ca="1">D19</f>
        <v>62.62</v>
      </c>
      <c r="E37" s="249">
        <f>'数据-取费表'!B35</f>
        <v>200</v>
      </c>
      <c r="F37" s="259"/>
      <c r="G37" s="261" t="s">
        <v>1530</v>
      </c>
    </row>
    <row r="38" spans="1:7" ht="13.5" customHeight="1">
      <c r="A38" s="779" t="s">
        <v>354</v>
      </c>
      <c r="B38" s="215" t="s">
        <v>1531</v>
      </c>
      <c r="C38" s="220">
        <f ca="1">ROUND(C34*F38,0)</f>
        <v>1</v>
      </c>
      <c r="D38" s="220"/>
      <c r="E38" s="220"/>
      <c r="F38" s="259">
        <f>'数据-取费表'!B36</f>
        <v>0.02</v>
      </c>
      <c r="G38" s="219" t="s">
        <v>1526</v>
      </c>
    </row>
    <row r="39" spans="1:7" s="214" customFormat="1" ht="13.5" customHeight="1">
      <c r="A39" s="255" t="s">
        <v>1532</v>
      </c>
      <c r="B39" s="210" t="s">
        <v>1533</v>
      </c>
      <c r="C39" s="232">
        <f ca="1">ROUND(C33*F20,0)</f>
        <v>1</v>
      </c>
      <c r="D39" s="232"/>
      <c r="E39" s="232"/>
      <c r="F39" s="233">
        <f>F20</f>
        <v>0.03</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1</v>
      </c>
      <c r="D41" s="235">
        <f ca="1">C44</f>
        <v>5.9999999999999995E-4</v>
      </c>
      <c r="E41" s="236" t="s">
        <v>1537</v>
      </c>
      <c r="F41" s="237">
        <f ca="1">F22</f>
        <v>3.1E-2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v>
      </c>
      <c r="D42" s="238"/>
      <c r="E42" s="238"/>
      <c r="F42" s="239"/>
      <c r="G42" s="3666" t="s">
        <v>1542</v>
      </c>
    </row>
    <row r="43" spans="1:7" ht="13.5" customHeight="1">
      <c r="A43" s="779" t="s">
        <v>347</v>
      </c>
      <c r="B43" s="215" t="s">
        <v>1543</v>
      </c>
      <c r="C43" s="238">
        <f ca="1">ROUND(IF('数据-取费表'!B22&lt;=1,C39*F22*'数据-取费表'!B21/2,C39*(POWER((1+F22),'数据-取费表'!B21/2)-1)),0)</f>
        <v>0</v>
      </c>
      <c r="D43" s="238"/>
      <c r="E43" s="238"/>
      <c r="F43" s="239"/>
      <c r="G43" s="3667"/>
    </row>
    <row r="44" spans="1:7" ht="13.5" customHeight="1">
      <c r="A44" s="779" t="s">
        <v>348</v>
      </c>
      <c r="B44" s="215" t="s">
        <v>1544</v>
      </c>
      <c r="C44" s="238">
        <f ca="1">ROUND(IF('数据-取费表'!B22&lt;=1,C40*F22*'数据-取费表'!B21/2,C40*(POWER((1+F22),'数据-取费表'!B21/2)-1)),4)</f>
        <v>5.9999999999999995E-4</v>
      </c>
      <c r="D44" s="238"/>
      <c r="E44" s="238"/>
      <c r="F44" s="239"/>
      <c r="G44" s="3668"/>
    </row>
    <row r="45" spans="1:7" s="214" customFormat="1" ht="13.5" customHeight="1">
      <c r="A45" s="255" t="s">
        <v>1545</v>
      </c>
      <c r="B45" s="244" t="s">
        <v>1511</v>
      </c>
      <c r="C45" s="245">
        <f ca="1">C46</f>
        <v>5</v>
      </c>
      <c r="D45" s="235">
        <f ca="1">C47</f>
        <v>3.0000000000000001E-3</v>
      </c>
      <c r="E45" s="236" t="s">
        <v>1537</v>
      </c>
      <c r="F45" s="246">
        <f ca="1">F27</f>
        <v>0.15</v>
      </c>
      <c r="G45" s="247" t="s">
        <v>1546</v>
      </c>
    </row>
    <row r="46" spans="1:7" s="214" customFormat="1" ht="13.5" customHeight="1">
      <c r="A46" s="779" t="s">
        <v>346</v>
      </c>
      <c r="B46" s="248" t="s">
        <v>1547</v>
      </c>
      <c r="C46" s="249">
        <f ca="1">ROUND((C33+C39)*F27,0)</f>
        <v>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33</v>
      </c>
      <c r="D51" s="232"/>
      <c r="E51" s="232"/>
      <c r="F51" s="264"/>
      <c r="G51" s="234" t="s">
        <v>1558</v>
      </c>
    </row>
    <row r="52" spans="1:7" s="208" customFormat="1" ht="16.5" thickBot="1">
      <c r="A52" s="265" t="s">
        <v>1559</v>
      </c>
      <c r="B52" s="266"/>
      <c r="C52" s="267">
        <f ca="1">C31+C51</f>
        <v>34</v>
      </c>
      <c r="D52" s="266"/>
      <c r="E52" s="266"/>
      <c r="F52" s="266"/>
      <c r="G52" s="268"/>
    </row>
    <row r="55" spans="1:7" ht="15">
      <c r="B55" s="270" t="s">
        <v>1560</v>
      </c>
      <c r="C55" s="271"/>
    </row>
    <row r="56" spans="1:7">
      <c r="B56" s="273" t="s">
        <v>800</v>
      </c>
      <c r="C56" s="275">
        <f ca="1">1-C57</f>
        <v>2.9000000000000026E-2</v>
      </c>
    </row>
    <row r="57" spans="1:7">
      <c r="B57" s="273" t="s">
        <v>801</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北京市丰台区广安路9号院1号楼3层301办公用房房地产抵押价值预评估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2">
        <f ca="1">ROUND(IF(D2="——",C52/10000,C52/10000-E2),4)</f>
        <v>233.16399999999999</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37235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1479288.5999999999</v>
      </c>
      <c r="D5" s="211" t="s">
        <v>1467</v>
      </c>
      <c r="E5" s="212" t="s">
        <v>1468</v>
      </c>
      <c r="F5" s="212" t="s">
        <v>1469</v>
      </c>
      <c r="G5" s="213"/>
    </row>
    <row r="6" spans="1:8" s="214" customFormat="1" ht="13.5" customHeight="1">
      <c r="A6" s="777" t="s">
        <v>1470</v>
      </c>
      <c r="B6" s="215" t="s">
        <v>1471</v>
      </c>
      <c r="C6" s="216">
        <f ca="1">基准地价修正!C33*'成本法 (元)'!D10</f>
        <v>1423352.5999999999</v>
      </c>
      <c r="D6" s="217"/>
      <c r="E6" s="218"/>
      <c r="F6" s="218"/>
      <c r="G6" s="219"/>
    </row>
    <row r="7" spans="1:8" s="214" customFormat="1" ht="13.5" customHeight="1">
      <c r="A7" s="777" t="s">
        <v>1472</v>
      </c>
      <c r="B7" s="215" t="s">
        <v>1473</v>
      </c>
      <c r="C7" s="220">
        <f ca="1">ROUND(C6*F7,0)</f>
        <v>43412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12524</v>
      </c>
      <c r="D8" s="222"/>
      <c r="E8" s="220"/>
      <c r="F8" s="221"/>
      <c r="G8" s="1855" t="s">
        <v>3479</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12524</v>
      </c>
      <c r="D10" s="844">
        <f ca="1">IF(B1="",'数据-汇总表'!E6,IF(INDIRECT("'数据-取费表'!c"&amp;$G$1)="住宅",INDIRECT("'数据-取费表'!s"&amp;$G$1),INDIRECT("'数据-取费表'!k"&amp;$G$1)+INDIRECT("'数据-取费表'!s"&amp;$G$1)))</f>
        <v>62.62</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62.62</v>
      </c>
      <c r="E19" s="211">
        <f>'数据-取费表'!B31</f>
        <v>200</v>
      </c>
      <c r="F19" s="231"/>
      <c r="G19" s="1855" t="s">
        <v>3480</v>
      </c>
    </row>
    <row r="20" spans="1:7" s="214" customFormat="1" ht="13.5" customHeight="1">
      <c r="A20" s="255" t="s">
        <v>1572</v>
      </c>
      <c r="B20" s="210" t="s">
        <v>1573</v>
      </c>
      <c r="C20" s="232">
        <f ca="1">ROUND((C5+C19)*F20,0)</f>
        <v>44379</v>
      </c>
      <c r="D20" s="232"/>
      <c r="E20" s="232"/>
      <c r="F20" s="233">
        <f>'数据-取费表'!B37</f>
        <v>0.03</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94513</v>
      </c>
      <c r="D22" s="235">
        <f ca="1">C26</f>
        <v>5.9999999999999995E-4</v>
      </c>
      <c r="E22" s="236" t="s">
        <v>1577</v>
      </c>
      <c r="F22" s="237">
        <f ca="1">'数据-取费表'!B40</f>
        <v>3.1E-2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93137</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1376</v>
      </c>
      <c r="D25" s="238"/>
      <c r="E25" s="241"/>
      <c r="F25" s="239"/>
      <c r="G25" s="242" t="s">
        <v>1586</v>
      </c>
    </row>
    <row r="26" spans="1:7" s="214" customFormat="1">
      <c r="A26" s="779"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228550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228550</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2000575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314040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281790</v>
      </c>
      <c r="D34" s="217"/>
      <c r="E34" s="220"/>
      <c r="F34" s="257"/>
      <c r="G34" s="219"/>
    </row>
    <row r="35" spans="1:7" ht="13.5" customHeight="1">
      <c r="A35" s="779" t="s">
        <v>351</v>
      </c>
      <c r="B35" s="215" t="s">
        <v>1525</v>
      </c>
      <c r="C35" s="220">
        <f ca="1">ROUND(C34*F35,0)</f>
        <v>14090</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12524</v>
      </c>
      <c r="D37" s="217">
        <f ca="1">D19</f>
        <v>62.62</v>
      </c>
      <c r="E37" s="249">
        <f>'数据-取费表'!B35</f>
        <v>200</v>
      </c>
      <c r="F37" s="259"/>
      <c r="G37" s="261"/>
    </row>
    <row r="38" spans="1:7" ht="13.5" customHeight="1">
      <c r="A38" s="779" t="s">
        <v>354</v>
      </c>
      <c r="B38" s="215" t="s">
        <v>1531</v>
      </c>
      <c r="C38" s="220">
        <f ca="1">ROUND(C34*F38,0)</f>
        <v>5636</v>
      </c>
      <c r="D38" s="220"/>
      <c r="E38" s="220"/>
      <c r="F38" s="259">
        <f>'数据-取费表'!B36</f>
        <v>0.02</v>
      </c>
      <c r="G38" s="219" t="s">
        <v>1526</v>
      </c>
    </row>
    <row r="39" spans="1:7" s="214" customFormat="1" ht="13.5" customHeight="1">
      <c r="A39" s="255" t="s">
        <v>1532</v>
      </c>
      <c r="B39" s="210" t="s">
        <v>1533</v>
      </c>
      <c r="C39" s="232">
        <f ca="1">ROUND(C33*F20,0)</f>
        <v>9421</v>
      </c>
      <c r="D39" s="232"/>
      <c r="E39" s="232"/>
      <c r="F39" s="233">
        <f>F20</f>
        <v>0.03</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10027</v>
      </c>
      <c r="D41" s="235">
        <f ca="1">C44</f>
        <v>5.9999999999999995E-4</v>
      </c>
      <c r="E41" s="236" t="s">
        <v>1537</v>
      </c>
      <c r="F41" s="237">
        <f ca="1">F22</f>
        <v>3.1E-2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9735</v>
      </c>
      <c r="D42" s="238"/>
      <c r="E42" s="238"/>
      <c r="F42" s="239"/>
      <c r="G42" s="3666" t="s">
        <v>1589</v>
      </c>
    </row>
    <row r="43" spans="1:7" ht="13.5" customHeight="1">
      <c r="A43" s="779" t="s">
        <v>347</v>
      </c>
      <c r="B43" s="215" t="s">
        <v>1543</v>
      </c>
      <c r="C43" s="238">
        <f ca="1">ROUND(IF('数据-取费表'!B22&lt;=1,C39*F22*'数据-取费表'!B20/2,C39*(POWER((1+F22),'数据-取费表'!B20/2)-1)),0)</f>
        <v>292</v>
      </c>
      <c r="D43" s="238"/>
      <c r="E43" s="238"/>
      <c r="F43" s="239"/>
      <c r="G43" s="3667"/>
    </row>
    <row r="44" spans="1:7" ht="13.5" customHeight="1">
      <c r="A44" s="779" t="s">
        <v>348</v>
      </c>
      <c r="B44" s="215" t="s">
        <v>1544</v>
      </c>
      <c r="C44" s="238">
        <f ca="1">ROUND(IF('数据-取费表'!B22&lt;=1,C40*F22*'数据-取费表'!B20/2,C40*(POWER((1+F22),'数据-取费表'!B20/2)-1)),4)</f>
        <v>5.9999999999999995E-4</v>
      </c>
      <c r="D44" s="238"/>
      <c r="E44" s="238"/>
      <c r="F44" s="239"/>
      <c r="G44" s="3668"/>
    </row>
    <row r="45" spans="1:7" s="214" customFormat="1" ht="13.5" customHeight="1">
      <c r="A45" s="255" t="s">
        <v>1545</v>
      </c>
      <c r="B45" s="244" t="s">
        <v>1511</v>
      </c>
      <c r="C45" s="245">
        <f ca="1">C46</f>
        <v>48519</v>
      </c>
      <c r="D45" s="235">
        <f ca="1">C47</f>
        <v>3.0000000000000001E-3</v>
      </c>
      <c r="E45" s="236" t="s">
        <v>1537</v>
      </c>
      <c r="F45" s="246">
        <f ca="1">F27</f>
        <v>0.15</v>
      </c>
      <c r="G45" s="247" t="s">
        <v>1546</v>
      </c>
    </row>
    <row r="46" spans="1:7" s="214" customFormat="1" ht="13.5" customHeight="1">
      <c r="A46" s="779" t="s">
        <v>346</v>
      </c>
      <c r="B46" s="248" t="s">
        <v>1547</v>
      </c>
      <c r="C46" s="249">
        <f ca="1">ROUND((C33+C39)*F27,0)</f>
        <v>48519</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413831</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331065</v>
      </c>
      <c r="D51" s="232"/>
      <c r="E51" s="232"/>
      <c r="F51" s="264"/>
      <c r="G51" s="234" t="s">
        <v>1558</v>
      </c>
    </row>
    <row r="52" spans="1:7" s="208" customFormat="1" ht="16.5" thickBot="1">
      <c r="A52" s="265" t="s">
        <v>1559</v>
      </c>
      <c r="B52" s="266"/>
      <c r="C52" s="267">
        <f ca="1">C31+C51</f>
        <v>2331640</v>
      </c>
      <c r="D52" s="266"/>
      <c r="E52" s="266"/>
      <c r="F52" s="266"/>
      <c r="G52" s="268"/>
    </row>
    <row r="55" spans="1:7" ht="15">
      <c r="B55" s="270" t="s">
        <v>1560</v>
      </c>
      <c r="C55" s="271"/>
    </row>
    <row r="56" spans="1:7">
      <c r="B56" s="273" t="s">
        <v>800</v>
      </c>
      <c r="C56" s="275">
        <f ca="1">1-C57</f>
        <v>0.85799999999999998</v>
      </c>
    </row>
    <row r="57" spans="1:7">
      <c r="B57" s="273" t="s">
        <v>801</v>
      </c>
      <c r="C57" s="274">
        <f ca="1">ROUND(C51/C52,3)</f>
        <v>0.14199999999999999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4"/>
      <c r="F1" s="2804"/>
      <c r="G1" s="2669"/>
      <c r="H1" s="2804"/>
      <c r="I1" s="2804"/>
      <c r="J1" s="2804"/>
      <c r="K1" s="2805">
        <f>MATCH(C1,'数据-取费表'!A6:A16,0)+5</f>
        <v>7</v>
      </c>
    </row>
    <row r="2" spans="1:33" ht="18" customHeight="1">
      <c r="A2" s="201" t="s">
        <v>1460</v>
      </c>
      <c r="B2" s="204">
        <f ca="1">C32</f>
        <v>-1</v>
      </c>
      <c r="C2" s="276" t="s">
        <v>1593</v>
      </c>
      <c r="D2" s="276"/>
      <c r="E2" s="2804"/>
      <c r="F2" s="2804"/>
      <c r="G2" s="2804"/>
      <c r="H2" s="2804"/>
      <c r="I2" s="2804"/>
      <c r="J2" s="2804"/>
      <c r="K2" s="2804"/>
    </row>
    <row r="3" spans="1:33" ht="18" customHeight="1" thickBot="1">
      <c r="A3" s="203" t="s">
        <v>1462</v>
      </c>
      <c r="B3" s="204">
        <f ca="1">ROUND(B2*10000/IF(C1="",'数据-汇总表'!E3,INDIRECT("'数据-取费表'!K"&amp;$K$1)),0)</f>
        <v>-160</v>
      </c>
      <c r="C3" s="276" t="s">
        <v>1594</v>
      </c>
      <c r="D3" s="276"/>
      <c r="E3" s="2804"/>
      <c r="F3" s="2804"/>
      <c r="G3" s="2804"/>
      <c r="H3" s="2804"/>
      <c r="I3" s="2804"/>
      <c r="J3" s="2804"/>
      <c r="K3" s="2804"/>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62.62</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62.62</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1</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1</v>
      </c>
      <c r="D20" s="845">
        <f ca="1">IF(C1="",'数据-汇总表'!E6,IF(INDIRECT("'数据-取费表'!c"&amp;$K$1)="住宅",INDIRECT("'数据-取费表'!s"&amp;$K$1),INDIRECT("'数据-取费表'!k"&amp;$K$1)+INDIRECT("'数据-取费表'!s"&amp;$K$1)))</f>
        <v>62.62</v>
      </c>
      <c r="E20" s="21">
        <f>'数据-取费表'!B28</f>
        <v>200</v>
      </c>
      <c r="F20" s="803"/>
      <c r="G20" s="12"/>
      <c r="H20" s="808"/>
      <c r="I20" s="808"/>
      <c r="J20" s="808"/>
      <c r="K20" s="809"/>
    </row>
    <row r="21" spans="1:33" s="802" customFormat="1" ht="13.5" customHeight="1">
      <c r="A21" s="789" t="s">
        <v>357</v>
      </c>
      <c r="B21" s="812" t="s">
        <v>1626</v>
      </c>
      <c r="C21" s="813">
        <f ca="1">C16+C17+C18</f>
        <v>1</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-1</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c r="D1" s="1361" t="s">
        <v>43</v>
      </c>
      <c r="E1" s="1362" t="s">
        <v>676</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802</v>
      </c>
      <c r="B2" s="1385" t="e">
        <f ca="1">C40+J29+L46</f>
        <v>#DIV/0!</v>
      </c>
      <c r="C2" s="1386" t="s">
        <v>803</v>
      </c>
      <c r="D2" s="1386"/>
      <c r="E2" s="1387"/>
      <c r="F2" s="1388"/>
      <c r="G2" s="2704"/>
      <c r="H2" s="2693"/>
      <c r="I2" s="2693"/>
      <c r="J2" s="2693"/>
      <c r="K2" s="2694"/>
      <c r="L2" s="2693"/>
      <c r="M2" s="2693"/>
    </row>
    <row r="3" spans="1:37" ht="18" customHeight="1" thickBot="1">
      <c r="A3" s="1389" t="s">
        <v>804</v>
      </c>
      <c r="B3" s="1390">
        <f ca="1">IF(ISERROR(B2*10000/F43),0,ROUND(B2*10000/F43,0))</f>
        <v>0</v>
      </c>
      <c r="C3" s="1386" t="s">
        <v>805</v>
      </c>
      <c r="D3" s="1386"/>
      <c r="E3" s="1387"/>
      <c r="F3" s="1388"/>
      <c r="G3" s="2704"/>
      <c r="H3" s="682" t="s">
        <v>874</v>
      </c>
      <c r="I3" s="1381"/>
      <c r="J3" s="1381"/>
      <c r="K3" s="1382"/>
      <c r="L3" s="1381"/>
      <c r="M3" s="1381"/>
    </row>
    <row r="4" spans="1:37" ht="18" customHeight="1">
      <c r="A4" s="295" t="s">
        <v>685</v>
      </c>
      <c r="B4" s="296" t="s">
        <v>686</v>
      </c>
      <c r="C4" s="296" t="s">
        <v>687</v>
      </c>
      <c r="D4" s="296" t="s">
        <v>688</v>
      </c>
      <c r="E4" s="297" t="s">
        <v>689</v>
      </c>
      <c r="F4" s="298"/>
      <c r="G4" s="1383"/>
      <c r="H4" s="295" t="s">
        <v>685</v>
      </c>
      <c r="I4" s="296" t="s">
        <v>686</v>
      </c>
      <c r="J4" s="296" t="s">
        <v>687</v>
      </c>
      <c r="K4" s="296" t="s">
        <v>688</v>
      </c>
      <c r="L4" s="297" t="s">
        <v>689</v>
      </c>
      <c r="M4" s="298"/>
    </row>
    <row r="5" spans="1:37" ht="18" customHeight="1">
      <c r="A5" s="299">
        <v>1</v>
      </c>
      <c r="B5" s="300" t="s">
        <v>690</v>
      </c>
      <c r="C5" s="1069">
        <f ca="1">C6+C10+C12</f>
        <v>0</v>
      </c>
      <c r="D5" s="1363" t="s">
        <v>691</v>
      </c>
      <c r="E5" s="1070"/>
      <c r="F5" s="1071"/>
      <c r="G5" s="1383"/>
      <c r="H5" s="299">
        <v>1</v>
      </c>
      <c r="I5" s="300" t="s">
        <v>690</v>
      </c>
      <c r="J5" s="1069">
        <f ca="1">J6+J10+J12</f>
        <v>0</v>
      </c>
      <c r="K5" s="1363" t="s">
        <v>691</v>
      </c>
      <c r="L5" s="1070"/>
      <c r="M5" s="1071"/>
    </row>
    <row r="6" spans="1:37" ht="18" customHeight="1">
      <c r="A6" s="1068" t="s">
        <v>398</v>
      </c>
      <c r="B6" s="3671" t="s">
        <v>692</v>
      </c>
      <c r="C6" s="1073">
        <f ca="1">ROUND(F6*F8*F7*(1-F9)/10000,0)</f>
        <v>0</v>
      </c>
      <c r="D6" s="155" t="s">
        <v>2106</v>
      </c>
      <c r="E6" s="302" t="s">
        <v>694</v>
      </c>
      <c r="F6" s="303">
        <f ca="1">INDIRECT("'数据-取费表'!u"&amp;$G$1)</f>
        <v>0</v>
      </c>
      <c r="G6" s="1383"/>
      <c r="H6" s="1068" t="s">
        <v>398</v>
      </c>
      <c r="I6" s="3671" t="s">
        <v>692</v>
      </c>
      <c r="J6" s="301">
        <f ca="1">ROUND(M6*M8*M7*(1-M9)/10000,0)</f>
        <v>0</v>
      </c>
      <c r="K6" s="155" t="s">
        <v>2105</v>
      </c>
      <c r="L6" s="302" t="s">
        <v>694</v>
      </c>
      <c r="M6" s="303">
        <f ca="1">INDIRECT("'数据-取费表'!z"&amp;$G$1)</f>
        <v>0</v>
      </c>
    </row>
    <row r="7" spans="1:37" ht="18" customHeight="1">
      <c r="A7" s="1072"/>
      <c r="B7" s="3672"/>
      <c r="C7" s="1074"/>
      <c r="D7" s="307"/>
      <c r="E7" s="1075" t="s">
        <v>695</v>
      </c>
      <c r="F7" s="303">
        <f ca="1">IF(INDIRECT("'数据-取费表'!ah"&amp;$G$1)="",INDIRECT("'数据-取费表'!k"&amp;$G$1),INDIRECT("'数据-取费表'!ah"&amp;$G$1))</f>
        <v>0</v>
      </c>
      <c r="G7" s="1383"/>
      <c r="H7" s="304"/>
      <c r="I7" s="3672"/>
      <c r="J7" s="306"/>
      <c r="K7" s="307"/>
      <c r="L7" s="302" t="s">
        <v>695</v>
      </c>
      <c r="M7" s="303">
        <f ca="1">F7</f>
        <v>0</v>
      </c>
    </row>
    <row r="8" spans="1:37" ht="18" customHeight="1">
      <c r="A8" s="304"/>
      <c r="B8" s="3672"/>
      <c r="C8" s="306"/>
      <c r="D8" s="307"/>
      <c r="E8" s="302" t="s">
        <v>696</v>
      </c>
      <c r="F8" s="303">
        <f ca="1">INDIRECT("'数据-取费表'!ai"&amp;$G$1)</f>
        <v>0</v>
      </c>
      <c r="G8" s="1383"/>
      <c r="H8" s="304"/>
      <c r="I8" s="3672"/>
      <c r="J8" s="306"/>
      <c r="K8" s="307"/>
      <c r="L8" s="302" t="s">
        <v>696</v>
      </c>
      <c r="M8" s="303">
        <f ca="1">INDIRECT("'数据-取费表'!ai"&amp;$G$1)</f>
        <v>0</v>
      </c>
    </row>
    <row r="9" spans="1:37" ht="18" customHeight="1">
      <c r="A9" s="304"/>
      <c r="B9" s="3673"/>
      <c r="C9" s="306"/>
      <c r="D9" s="307"/>
      <c r="E9" s="302" t="s">
        <v>697</v>
      </c>
      <c r="F9" s="312">
        <f ca="1">INDIRECT("'数据-取费表'!w"&amp;$G$1)</f>
        <v>0</v>
      </c>
      <c r="G9" s="1383"/>
      <c r="H9" s="304"/>
      <c r="I9" s="3673"/>
      <c r="J9" s="306"/>
      <c r="K9" s="307"/>
      <c r="L9" s="313" t="s">
        <v>697</v>
      </c>
      <c r="M9" s="314">
        <f ca="1">INDIRECT("'数据-取费表'!ab"&amp;$G$1)</f>
        <v>0</v>
      </c>
    </row>
    <row r="10" spans="1:37" ht="18" customHeight="1">
      <c r="A10" s="1068" t="s">
        <v>402</v>
      </c>
      <c r="B10" s="1364" t="s">
        <v>698</v>
      </c>
      <c r="C10" s="316">
        <f ca="1">ROUND(IF(F10="押一",C6/12*F11,IF(F10="押二",C6/12*2*F11,IF(F10="押三",C6/12*3*F11,C11*F11))),0)</f>
        <v>0</v>
      </c>
      <c r="D10" s="1365" t="s">
        <v>2114</v>
      </c>
      <c r="E10" s="313" t="s">
        <v>699</v>
      </c>
      <c r="F10" s="1115"/>
      <c r="G10" s="1383"/>
      <c r="H10" s="1068" t="s">
        <v>402</v>
      </c>
      <c r="I10" s="1364" t="s">
        <v>698</v>
      </c>
      <c r="J10" s="301">
        <f ca="1">ROUND(IF(M10="押一",J6/12*M11,IF(M10="押二",J6/12*2*M11,IF(M10="押三",J6/12*3*M11,J11*M11))),0)</f>
        <v>0</v>
      </c>
      <c r="K10" s="1365" t="s">
        <v>2113</v>
      </c>
      <c r="L10" s="313" t="s">
        <v>699</v>
      </c>
      <c r="M10" s="1115"/>
    </row>
    <row r="11" spans="1:37" ht="18" customHeight="1">
      <c r="A11" s="308"/>
      <c r="B11" s="1366" t="s">
        <v>677</v>
      </c>
      <c r="C11" s="958"/>
      <c r="D11" s="1367"/>
      <c r="E11" s="313" t="s">
        <v>700</v>
      </c>
      <c r="F11" s="314">
        <f ca="1">'数据-取费表'!B39</f>
        <v>1.4999999999999999E-2</v>
      </c>
      <c r="G11" s="1383"/>
      <c r="H11" s="1076"/>
      <c r="I11" s="1366" t="s">
        <v>677</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0</v>
      </c>
      <c r="D13" s="1080" t="s">
        <v>703</v>
      </c>
      <c r="E13" s="1080" t="s">
        <v>704</v>
      </c>
      <c r="F13" s="1081">
        <f ca="1">INDIRECT("'数据-取费表'!y"&amp;$G$1)</f>
        <v>0</v>
      </c>
      <c r="G13" s="1383"/>
      <c r="H13" s="1078">
        <v>2</v>
      </c>
      <c r="I13" s="1079" t="s">
        <v>702</v>
      </c>
      <c r="J13" s="1067">
        <f ca="1">ROUND(J14*J15,0)</f>
        <v>0</v>
      </c>
      <c r="K13" s="1086" t="s">
        <v>703</v>
      </c>
      <c r="L13" s="1391"/>
      <c r="M13" s="1392"/>
    </row>
    <row r="14" spans="1:37" ht="18" customHeight="1">
      <c r="A14" s="981" t="s">
        <v>397</v>
      </c>
      <c r="B14" s="302" t="s">
        <v>705</v>
      </c>
      <c r="C14" s="318">
        <f ca="1">INDIRECT("'数据-取费表'!m"&amp;$G$1)+INDIRECT("'数据-取费表'!t"&amp;$G$1)</f>
        <v>0</v>
      </c>
      <c r="D14" s="1344" t="s">
        <v>706</v>
      </c>
      <c r="E14" s="1341"/>
      <c r="F14" s="319"/>
      <c r="G14" s="1383"/>
      <c r="H14" s="981" t="s">
        <v>398</v>
      </c>
      <c r="I14" s="302" t="s">
        <v>707</v>
      </c>
      <c r="J14" s="21">
        <f ca="1">C29</f>
        <v>0</v>
      </c>
      <c r="K14" s="12"/>
      <c r="L14" s="806"/>
      <c r="M14" s="807"/>
    </row>
    <row r="15" spans="1:37" s="1396" customFormat="1" ht="18" customHeight="1" thickBot="1">
      <c r="A15" s="981" t="s">
        <v>399</v>
      </c>
      <c r="B15" s="302" t="s">
        <v>708</v>
      </c>
      <c r="C15" s="21">
        <f ca="1">ROUND(C14*F15,0)</f>
        <v>0</v>
      </c>
      <c r="D15" s="320" t="s">
        <v>709</v>
      </c>
      <c r="E15" s="320" t="s">
        <v>710</v>
      </c>
      <c r="F15" s="321">
        <f>'数据-取费表'!B33</f>
        <v>0.05</v>
      </c>
      <c r="G15" s="1395"/>
      <c r="H15" s="1088" t="s">
        <v>402</v>
      </c>
      <c r="I15" s="1089" t="s">
        <v>704</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3"/>
      <c r="H16" s="1078" t="s">
        <v>393</v>
      </c>
      <c r="I16" s="1079" t="s">
        <v>712</v>
      </c>
      <c r="J16" s="310">
        <f ca="1">ROUND(J17+J22+J23+J24,0)</f>
        <v>0</v>
      </c>
      <c r="K16" s="1086" t="s">
        <v>713</v>
      </c>
      <c r="L16" s="1087"/>
      <c r="M16" s="1071"/>
    </row>
    <row r="17" spans="1:37" s="1396" customFormat="1" ht="18" customHeight="1">
      <c r="A17" s="981" t="s">
        <v>679</v>
      </c>
      <c r="B17" s="302" t="s">
        <v>714</v>
      </c>
      <c r="C17" s="21">
        <f ca="1">ROUND(F17*(F43+INDIRECT("'数据-取费表'!S"&amp;$G$1))/10000,0)</f>
        <v>0</v>
      </c>
      <c r="D17" s="302" t="s">
        <v>715</v>
      </c>
      <c r="E17" s="302" t="s">
        <v>716</v>
      </c>
      <c r="F17" s="23">
        <f>'数据-取费表'!B35</f>
        <v>200</v>
      </c>
      <c r="G17" s="1395"/>
      <c r="H17" s="981" t="s">
        <v>398</v>
      </c>
      <c r="I17" s="302" t="s">
        <v>717</v>
      </c>
      <c r="J17" s="2315">
        <f ca="1">ROUND(IF(AND(项目基本情况!B11="自然人",项目基本情况!B10="北京市"),J6*M17/(1+'数据-取费表'!C42),J18+J19+J20),2)</f>
        <v>0</v>
      </c>
      <c r="K17" s="1344" t="s">
        <v>718</v>
      </c>
      <c r="L17" s="1343" t="s">
        <v>719</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0</v>
      </c>
      <c r="D18" s="302" t="s">
        <v>709</v>
      </c>
      <c r="E18" s="302" t="s">
        <v>710</v>
      </c>
      <c r="F18" s="322">
        <f>'数据-取费表'!B36</f>
        <v>0.02</v>
      </c>
      <c r="G18" s="1395"/>
      <c r="H18" s="981" t="s">
        <v>397</v>
      </c>
      <c r="I18" s="302" t="s">
        <v>721</v>
      </c>
      <c r="J18" s="21">
        <f ca="1">ROUND(J6*M18/(1+'数据-取费表'!C42),2)</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0</v>
      </c>
      <c r="D19" s="131" t="s">
        <v>724</v>
      </c>
      <c r="E19" s="1359"/>
      <c r="F19" s="23"/>
      <c r="G19" s="1383"/>
      <c r="H19" s="981" t="s">
        <v>399</v>
      </c>
      <c r="I19" s="302" t="s">
        <v>725</v>
      </c>
      <c r="J19" s="21">
        <f ca="1">IF(K19="按租金收入计税",ROUND(J6*M19/(1+'数据-取费表'!C42),2),ROUND(C29*M19*0.7,2))</f>
        <v>0</v>
      </c>
      <c r="K19" s="1369" t="s">
        <v>3332</v>
      </c>
      <c r="L19" s="302" t="s">
        <v>710</v>
      </c>
      <c r="M19" s="322">
        <f>IF(K19="按租金收入计税",'数据-取费表'!B51,'数据-取费表'!B50)</f>
        <v>0.12</v>
      </c>
    </row>
    <row r="20" spans="1:37" s="1396" customFormat="1" ht="18" customHeight="1">
      <c r="A20" s="981" t="s">
        <v>402</v>
      </c>
      <c r="B20" s="302" t="s">
        <v>726</v>
      </c>
      <c r="C20" s="21">
        <f ca="1">ROUND(C19*F20,0)</f>
        <v>0</v>
      </c>
      <c r="D20" s="323" t="s">
        <v>727</v>
      </c>
      <c r="E20" s="302" t="s">
        <v>710</v>
      </c>
      <c r="F20" s="322">
        <f>'数据-取费表'!B37</f>
        <v>0.03</v>
      </c>
      <c r="G20" s="1395"/>
      <c r="H20" s="981" t="s">
        <v>678</v>
      </c>
      <c r="I20" s="155" t="s">
        <v>728</v>
      </c>
      <c r="J20" s="22">
        <f ca="1">ROUND(M20*M21/10000,2)</f>
        <v>0</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15</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ROUND(J14*M22,2)</f>
        <v>0</v>
      </c>
      <c r="K22" s="1343" t="s">
        <v>737</v>
      </c>
      <c r="L22" s="302" t="s">
        <v>710</v>
      </c>
      <c r="M22" s="328">
        <f ca="1">INDIRECT("'数据-取费表'!Ak"&amp;$G$1)</f>
        <v>0</v>
      </c>
    </row>
    <row r="23" spans="1:37" s="1396"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ROUND(J13*M23,2)</f>
        <v>0</v>
      </c>
      <c r="K23" s="1343" t="s">
        <v>741</v>
      </c>
      <c r="L23" s="302" t="s">
        <v>742</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3.1E-2</v>
      </c>
      <c r="G24" s="1395"/>
      <c r="H24" s="1088" t="s">
        <v>682</v>
      </c>
      <c r="I24" s="1089" t="s">
        <v>726</v>
      </c>
      <c r="J24" s="1090">
        <f ca="1">ROUND(J5*M24,2)</f>
        <v>0</v>
      </c>
      <c r="K24" s="1091" t="s">
        <v>746</v>
      </c>
      <c r="L24" s="1089" t="s">
        <v>742</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747</v>
      </c>
      <c r="B25" s="302" t="s">
        <v>748</v>
      </c>
      <c r="C25" s="21"/>
      <c r="D25" s="131" t="s">
        <v>749</v>
      </c>
      <c r="E25" s="1359"/>
      <c r="F25" s="23"/>
      <c r="G25" s="1383"/>
      <c r="H25" s="1078" t="s">
        <v>394</v>
      </c>
      <c r="I25" s="1093" t="s">
        <v>750</v>
      </c>
      <c r="J25" s="310">
        <f ca="1">J5-J16</f>
        <v>0</v>
      </c>
      <c r="K25" s="1094" t="s">
        <v>751</v>
      </c>
      <c r="L25" s="1095"/>
      <c r="M25" s="1096"/>
    </row>
    <row r="26" spans="1:37">
      <c r="A26" s="981" t="s">
        <v>397</v>
      </c>
      <c r="B26" s="302" t="s">
        <v>752</v>
      </c>
      <c r="C26" s="21">
        <f ca="1">ROUND((C19+C20)*F26,0)</f>
        <v>0</v>
      </c>
      <c r="D26" s="323" t="s">
        <v>753</v>
      </c>
      <c r="E26" s="313" t="s">
        <v>754</v>
      </c>
      <c r="F26" s="312">
        <f ca="1">INDIRECT("'数据-取费表'!q"&amp;$G$1)</f>
        <v>0</v>
      </c>
      <c r="G26" s="1383"/>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3"/>
      <c r="H27" s="304"/>
      <c r="I27" s="305"/>
      <c r="J27" s="306"/>
      <c r="K27" s="332" t="s">
        <v>760</v>
      </c>
      <c r="L27" s="302" t="s">
        <v>761</v>
      </c>
      <c r="M27" s="333">
        <f ca="1">INDIRECT("'数据-取费表'!ag"&amp;$G$1)</f>
        <v>0</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0</v>
      </c>
      <c r="D29" s="1091"/>
      <c r="E29" s="1089"/>
      <c r="F29" s="1092"/>
      <c r="G29" s="1395"/>
      <c r="H29" s="334" t="s">
        <v>396</v>
      </c>
      <c r="I29" s="335" t="s">
        <v>766</v>
      </c>
      <c r="J29" s="336">
        <f ca="1">ROUND(J26/(1+F40)^F41,0)</f>
        <v>0</v>
      </c>
      <c r="K29" s="337" t="s">
        <v>767</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0</v>
      </c>
      <c r="D30" s="1086" t="s">
        <v>713</v>
      </c>
      <c r="E30" s="1087"/>
      <c r="F30" s="1071"/>
      <c r="G30" s="1383"/>
      <c r="H30" s="2695"/>
      <c r="I30" s="1397"/>
      <c r="J30" s="1398"/>
      <c r="K30" s="2474"/>
      <c r="L30" s="2696"/>
      <c r="M30" s="2697"/>
    </row>
    <row r="31" spans="1:37" ht="18" customHeight="1">
      <c r="A31" s="981" t="s">
        <v>398</v>
      </c>
      <c r="B31" s="302" t="s">
        <v>717</v>
      </c>
      <c r="C31" s="2315">
        <f ca="1">ROUND(IF(AND(项目基本情况!B11="自然人",项目基本情况!B10="北京市"),C6*F31/(1+'数据-取费表'!C42),C32+C33+C34),2)</f>
        <v>0</v>
      </c>
      <c r="D31" s="1344" t="s">
        <v>718</v>
      </c>
      <c r="E31" s="1343" t="s">
        <v>768</v>
      </c>
      <c r="F31" s="2314">
        <f ca="1">IF(项目基本情况!B11="企业","——",IF(M47="住宅",IF(F6*F7*F8/12/(1+'数据-取费表'!F30)&gt;100000,4%,2.5%),IF(F6*F7*F8/12/(1+'数据-取费表'!F30)&gt;100000,12%,7%)))</f>
        <v>7.0000000000000007E-2</v>
      </c>
      <c r="G31" s="1383"/>
      <c r="H31" s="2806" t="s">
        <v>2303</v>
      </c>
      <c r="I31" s="1397"/>
      <c r="J31" s="1398"/>
      <c r="K31" s="2474"/>
      <c r="L31" s="2696"/>
      <c r="M31" s="2697"/>
    </row>
    <row r="32" spans="1:37" ht="18" customHeight="1">
      <c r="A32" s="981" t="s">
        <v>397</v>
      </c>
      <c r="B32" s="302" t="s">
        <v>721</v>
      </c>
      <c r="C32" s="21" t="str">
        <f>IF(项目基本情况!B11="自然人","——",ROUND(C6*F32/(1+'数据-取费表'!C42),2))</f>
        <v>——</v>
      </c>
      <c r="D32" s="1343" t="s">
        <v>722</v>
      </c>
      <c r="E32" s="302" t="s">
        <v>710</v>
      </c>
      <c r="F32" s="331">
        <f>'数据-取费表'!B41</f>
        <v>5.6000000000000001E-2</v>
      </c>
      <c r="G32" s="1383"/>
      <c r="H32" s="2695"/>
      <c r="I32" s="1397"/>
      <c r="J32" s="1398"/>
      <c r="K32" s="2474"/>
      <c r="L32" s="2696"/>
      <c r="M32" s="2697"/>
    </row>
    <row r="33" spans="1:18" ht="18" customHeight="1">
      <c r="A33" s="981" t="s">
        <v>399</v>
      </c>
      <c r="B33" s="302" t="s">
        <v>725</v>
      </c>
      <c r="C33" s="21" t="str">
        <f ca="1">IF(项目基本情况!B11="自然人","——",IF(D33="按租金收入计税",ROUND(C6*F33/(1+'数据-取费表'!C42),2),IF(D33="按房产原值计税",ROUND(C29*F33*0.7,2),INDIRECT("'数据-取费表'!Aj"&amp;$G$1))))</f>
        <v>——</v>
      </c>
      <c r="D33" s="1369" t="s">
        <v>3332</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t="str">
        <f>IF(项目基本情况!B11="自然人","——",ROUND(F34*F35/10000,2))</f>
        <v>——</v>
      </c>
      <c r="D34" s="324" t="s">
        <v>729</v>
      </c>
      <c r="E34" s="302" t="s">
        <v>730</v>
      </c>
      <c r="F34" s="325">
        <f>'数据-取费表'!B52</f>
        <v>0</v>
      </c>
      <c r="G34" s="1383"/>
      <c r="H34" s="2695"/>
      <c r="I34" s="1397"/>
      <c r="J34" s="1398"/>
      <c r="K34" s="2700"/>
      <c r="L34" s="2701"/>
      <c r="M34" s="2701"/>
    </row>
    <row r="35" spans="1:18" ht="18" customHeight="1">
      <c r="A35" s="1102"/>
      <c r="B35" s="1100"/>
      <c r="C35" s="26"/>
      <c r="D35" s="327"/>
      <c r="E35" s="302" t="s">
        <v>734</v>
      </c>
      <c r="F35" s="303">
        <f ca="1">INDIRECT("'数据-取费表'!r"&amp;$G$1)</f>
        <v>0</v>
      </c>
      <c r="G35" s="1383"/>
      <c r="H35" s="2695"/>
      <c r="I35" s="1397"/>
      <c r="J35" s="1398"/>
      <c r="K35" s="2699"/>
      <c r="L35" s="2698"/>
      <c r="M35" s="2698"/>
    </row>
    <row r="36" spans="1:18" ht="18" customHeight="1">
      <c r="A36" s="1101" t="s">
        <v>402</v>
      </c>
      <c r="B36" s="302" t="s">
        <v>736</v>
      </c>
      <c r="C36" s="21">
        <f ca="1">ROUND(C29*F36,2)</f>
        <v>0</v>
      </c>
      <c r="D36" s="1343" t="s">
        <v>769</v>
      </c>
      <c r="E36" s="302" t="s">
        <v>710</v>
      </c>
      <c r="F36" s="328">
        <f ca="1">INDIRECT("'数据-取费表'!Ak"&amp;$G$1)</f>
        <v>0</v>
      </c>
      <c r="G36" s="1383"/>
      <c r="H36" s="2698"/>
      <c r="I36" s="1397"/>
      <c r="J36" s="1398"/>
      <c r="K36" s="2543"/>
      <c r="L36" s="2698"/>
      <c r="M36" s="2698"/>
    </row>
    <row r="37" spans="1:18" ht="18" customHeight="1">
      <c r="A37" s="981" t="s">
        <v>437</v>
      </c>
      <c r="B37" s="302" t="s">
        <v>740</v>
      </c>
      <c r="C37" s="21">
        <f ca="1">ROUND(C13*F37,2)</f>
        <v>0</v>
      </c>
      <c r="D37" s="1343" t="s">
        <v>741</v>
      </c>
      <c r="E37" s="302" t="s">
        <v>742</v>
      </c>
      <c r="F37" s="330">
        <f ca="1">INDIRECT("'数据-取费表'!Al"&amp;$G$1)</f>
        <v>0</v>
      </c>
      <c r="G37" s="1383"/>
      <c r="H37" s="2698"/>
      <c r="I37" s="1397"/>
      <c r="J37" s="1398"/>
      <c r="K37" s="2543"/>
      <c r="L37" s="2698"/>
      <c r="M37" s="2698"/>
    </row>
    <row r="38" spans="1:18" ht="18" customHeight="1" thickBot="1">
      <c r="A38" s="1088" t="s">
        <v>682</v>
      </c>
      <c r="B38" s="1089" t="s">
        <v>726</v>
      </c>
      <c r="C38" s="1090">
        <f ca="1">ROUND(C5*F38,2)</f>
        <v>0</v>
      </c>
      <c r="D38" s="1091" t="s">
        <v>746</v>
      </c>
      <c r="E38" s="1089" t="s">
        <v>742</v>
      </c>
      <c r="F38" s="1085">
        <f ca="1">INDIRECT("'数据-取费表'!Am"&amp;$G$1)</f>
        <v>0</v>
      </c>
      <c r="G38" s="1383"/>
      <c r="H38" s="2698"/>
      <c r="I38" s="1397"/>
      <c r="J38" s="1398"/>
      <c r="K38" s="2702"/>
      <c r="L38" s="2698"/>
      <c r="M38" s="2698"/>
    </row>
    <row r="39" spans="1:18" ht="24.6" customHeight="1" thickTop="1">
      <c r="A39" s="1078" t="s">
        <v>394</v>
      </c>
      <c r="B39" s="1093" t="s">
        <v>770</v>
      </c>
      <c r="C39" s="310">
        <f ca="1">C5-C30</f>
        <v>0</v>
      </c>
      <c r="D39" s="1094" t="s">
        <v>771</v>
      </c>
      <c r="E39" s="1095"/>
      <c r="F39" s="1096"/>
      <c r="G39" s="1383"/>
      <c r="H39" s="2698"/>
      <c r="I39" s="1397"/>
      <c r="J39" s="1398"/>
      <c r="K39" s="2702"/>
      <c r="L39" s="2698"/>
      <c r="M39" s="2698"/>
    </row>
    <row r="40" spans="1:18" ht="18" customHeight="1">
      <c r="A40" s="299" t="s">
        <v>395</v>
      </c>
      <c r="B40" s="300" t="s">
        <v>772</v>
      </c>
      <c r="C40" s="301" t="e">
        <f ca="1">ROUND(C39*(1-((1+F42)/(1+F40))^F41)/(F40-F42),0)</f>
        <v>#DIV/0!</v>
      </c>
      <c r="D40" s="324" t="s">
        <v>756</v>
      </c>
      <c r="E40" s="302" t="s">
        <v>757</v>
      </c>
      <c r="F40" s="312">
        <f ca="1">INDIRECT("'数据-取费表'!I"&amp;$G$1)</f>
        <v>0</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764</v>
      </c>
      <c r="F42" s="312">
        <f ca="1">INDIRECT("'数据-取费表'!v"&amp;$G$1)</f>
        <v>0</v>
      </c>
      <c r="G42" s="1383"/>
      <c r="H42" s="1190"/>
      <c r="I42" s="1397"/>
      <c r="J42" s="1398"/>
      <c r="K42" s="2543"/>
      <c r="L42" s="1190"/>
      <c r="M42" s="1190"/>
    </row>
    <row r="43" spans="1:18" ht="18" customHeight="1" thickBot="1">
      <c r="A43" s="334" t="s">
        <v>396</v>
      </c>
      <c r="B43" s="335" t="s">
        <v>774</v>
      </c>
      <c r="C43" s="336" t="e">
        <f ca="1">ROUND(C40*10000/F43,0)</f>
        <v>#DIV/0!</v>
      </c>
      <c r="D43" s="337" t="s">
        <v>775</v>
      </c>
      <c r="E43" s="338" t="s">
        <v>776</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806</v>
      </c>
      <c r="P45" s="1460"/>
      <c r="Q45" s="1460"/>
      <c r="R45" s="1460"/>
    </row>
    <row r="46" spans="1:18" s="1383" customFormat="1" ht="13.5" thickBot="1">
      <c r="A46" s="1403" t="s">
        <v>807</v>
      </c>
      <c r="C46" s="1404" t="e">
        <f ca="1">C68-C40</f>
        <v>#DIV/0!</v>
      </c>
      <c r="D46" s="1405" t="str">
        <f>C2</f>
        <v>万元</v>
      </c>
      <c r="E46" s="1399"/>
      <c r="F46" s="1399"/>
      <c r="I46" s="1406" t="s">
        <v>808</v>
      </c>
      <c r="J46" s="1407"/>
      <c r="K46" s="1408"/>
      <c r="L46" s="1409" t="e">
        <f ca="1">IF(M47="住宅",0,IF(L48&gt;J51,L60,J60))</f>
        <v>#DIV/0!</v>
      </c>
      <c r="O46" s="1410" t="s">
        <v>809</v>
      </c>
      <c r="P46" s="1411" t="s">
        <v>810</v>
      </c>
      <c r="Q46" s="1412" t="s">
        <v>811</v>
      </c>
      <c r="R46" s="1412" t="s">
        <v>812</v>
      </c>
    </row>
    <row r="47" spans="1:18" s="1383" customFormat="1" ht="13.5" thickBot="1">
      <c r="A47" s="945" t="s">
        <v>685</v>
      </c>
      <c r="B47" s="977" t="s">
        <v>686</v>
      </c>
      <c r="C47" s="1116" t="s">
        <v>687</v>
      </c>
      <c r="D47" s="977" t="s">
        <v>688</v>
      </c>
      <c r="E47" s="1057" t="s">
        <v>689</v>
      </c>
      <c r="F47" s="1058"/>
      <c r="G47" s="721"/>
      <c r="I47" s="1413" t="s">
        <v>813</v>
      </c>
      <c r="J47" s="1414"/>
      <c r="K47" s="1415" t="s">
        <v>814</v>
      </c>
      <c r="L47" s="1416">
        <f ca="1">INDIRECT("'数据-取费表'!d"&amp;$G$1)</f>
        <v>0</v>
      </c>
      <c r="M47" s="1379" t="str">
        <f>IF(ISNUMBER(FIND("住宅",C1)),"住宅","非住宅")</f>
        <v>非住宅</v>
      </c>
      <c r="O47" s="1417" t="s">
        <v>403</v>
      </c>
      <c r="P47" s="1418" t="s">
        <v>815</v>
      </c>
      <c r="Q47" s="1419" t="e">
        <f ca="1">C40+J29</f>
        <v>#DIV/0!</v>
      </c>
      <c r="R47" s="1419" t="s">
        <v>816</v>
      </c>
    </row>
    <row r="48" spans="1:18" s="1383" customFormat="1" ht="28.5" thickBot="1">
      <c r="A48" s="1109" t="s">
        <v>438</v>
      </c>
      <c r="B48" s="300" t="s">
        <v>690</v>
      </c>
      <c r="C48" s="1358">
        <f ca="1">C49+C53+C55</f>
        <v>0</v>
      </c>
      <c r="D48" s="1111"/>
      <c r="E48" s="1112"/>
      <c r="F48" s="961"/>
      <c r="G48" s="721"/>
      <c r="H48" s="722"/>
      <c r="I48" s="1420" t="s">
        <v>817</v>
      </c>
      <c r="J48" s="1421"/>
      <c r="K48" s="1422" t="s">
        <v>818</v>
      </c>
      <c r="L48" s="1423">
        <f ca="1">INDIRECT("'数据-取费表'!f"&amp;$G$1)</f>
        <v>0</v>
      </c>
      <c r="O48" s="1417" t="s">
        <v>404</v>
      </c>
      <c r="P48" s="1418" t="s">
        <v>819</v>
      </c>
      <c r="Q48" s="1419" t="e">
        <f ca="1">J60</f>
        <v>#DIV/0!</v>
      </c>
      <c r="R48" s="1419" t="s">
        <v>820</v>
      </c>
    </row>
    <row r="49" spans="1:18" s="1383" customFormat="1" ht="13.5" thickBot="1">
      <c r="A49" s="974" t="s">
        <v>439</v>
      </c>
      <c r="B49" s="1370" t="s">
        <v>777</v>
      </c>
      <c r="C49" s="1113">
        <f ca="1">ROUND(F49*F51*F50*(1-F52)/10000,0)</f>
        <v>0</v>
      </c>
      <c r="D49" s="1054" t="s">
        <v>2107</v>
      </c>
      <c r="E49" s="1371" t="s">
        <v>778</v>
      </c>
      <c r="F49" s="1059"/>
      <c r="G49" s="1424"/>
      <c r="H49" s="722"/>
      <c r="I49" s="1420" t="s">
        <v>821</v>
      </c>
      <c r="J49" s="1425"/>
      <c r="K49" s="1422" t="s">
        <v>822</v>
      </c>
      <c r="L49" s="1426"/>
      <c r="O49" s="1427" t="s">
        <v>405</v>
      </c>
      <c r="P49" s="1418" t="s">
        <v>823</v>
      </c>
      <c r="Q49" s="1419">
        <f ca="1">C29</f>
        <v>0</v>
      </c>
      <c r="R49" s="1419" t="s">
        <v>816</v>
      </c>
    </row>
    <row r="50" spans="1:18" s="1383" customFormat="1" ht="13.5" thickBot="1">
      <c r="A50" s="975"/>
      <c r="B50" s="978"/>
      <c r="C50" s="1117"/>
      <c r="D50" s="952"/>
      <c r="E50" s="1055" t="s">
        <v>695</v>
      </c>
      <c r="F50" s="1056">
        <f ca="1">F7</f>
        <v>0</v>
      </c>
      <c r="H50" s="722"/>
      <c r="I50" s="1420" t="s">
        <v>824</v>
      </c>
      <c r="J50" s="1428">
        <f>SUMPRODUCT((I63:I65=J47)*(J62:L62=J48)*(J63:L65))</f>
        <v>0</v>
      </c>
      <c r="K50" s="1422" t="s">
        <v>825</v>
      </c>
      <c r="L50" s="1426"/>
      <c r="M50" s="1429"/>
      <c r="O50" s="1427" t="s">
        <v>406</v>
      </c>
      <c r="P50" s="1418" t="s">
        <v>826</v>
      </c>
      <c r="Q50" s="1430" t="e">
        <f ca="1">J58</f>
        <v>#DIV/0!</v>
      </c>
      <c r="R50" s="1419"/>
    </row>
    <row r="51" spans="1:18" s="1383" customFormat="1" ht="13.5" thickBot="1">
      <c r="A51" s="976"/>
      <c r="B51" s="978"/>
      <c r="C51" s="979"/>
      <c r="D51" s="952"/>
      <c r="E51" s="980" t="s">
        <v>696</v>
      </c>
      <c r="F51" s="303">
        <f ca="1">F8</f>
        <v>0</v>
      </c>
      <c r="I51" s="1431" t="s">
        <v>827</v>
      </c>
      <c r="J51" s="1432">
        <f>IF(J49="",J50,J49+J50-YEAR('数据-取费表'!B2))</f>
        <v>0</v>
      </c>
      <c r="K51" s="1433" t="s">
        <v>828</v>
      </c>
      <c r="L51" s="1434">
        <f ca="1">ROUND(-PV(INDIRECT("'数据-取费表'!h"&amp;$G$1),J51,(C39-C13*C76),0),0)</f>
        <v>0</v>
      </c>
      <c r="M51" s="1435"/>
      <c r="O51" s="1427" t="s">
        <v>407</v>
      </c>
      <c r="P51" s="1418" t="s">
        <v>829</v>
      </c>
      <c r="Q51" s="1430">
        <f>J52</f>
        <v>0</v>
      </c>
      <c r="R51" s="1419"/>
    </row>
    <row r="52" spans="1:18" s="1383" customFormat="1" ht="13.5" thickBot="1">
      <c r="A52" s="976"/>
      <c r="B52" s="978"/>
      <c r="C52" s="979"/>
      <c r="D52" s="952"/>
      <c r="E52" s="980" t="s">
        <v>697</v>
      </c>
      <c r="F52" s="1053"/>
      <c r="I52" s="1436" t="s">
        <v>830</v>
      </c>
      <c r="J52" s="1437"/>
      <c r="K52" s="1436" t="s">
        <v>831</v>
      </c>
      <c r="L52" s="1437"/>
      <c r="O52" s="1427" t="s">
        <v>408</v>
      </c>
      <c r="P52" s="1418" t="s">
        <v>832</v>
      </c>
      <c r="Q52" s="1419">
        <f ca="1">J53</f>
        <v>0</v>
      </c>
      <c r="R52" s="1419" t="s">
        <v>833</v>
      </c>
    </row>
    <row r="53" spans="1:18" s="1383" customFormat="1" ht="24.75" thickBot="1">
      <c r="A53" s="1151" t="s">
        <v>440</v>
      </c>
      <c r="B53" s="1372" t="s">
        <v>698</v>
      </c>
      <c r="C53" s="316">
        <f ca="1">ROUND(IF(F53="押一",C49/12*F11,IF(F53="押二",C49/12*2*F11,IF(F53="押三",C49/12*3*F11,C54*F11))),0)</f>
        <v>0</v>
      </c>
      <c r="D53" s="1365" t="s">
        <v>2113</v>
      </c>
      <c r="E53" s="313" t="s">
        <v>699</v>
      </c>
      <c r="F53" s="1115"/>
      <c r="I53" s="1438" t="s">
        <v>834</v>
      </c>
      <c r="J53" s="2167">
        <f ca="1">IF(M47="住宅",IF(D1="——",MAX(J51,L48),MAX(J51,L48-'数据-取费表'!B24)),IF(D1="——",MIN(J51,L48),MIN(J51,L48-'数据-取费表'!B24)))</f>
        <v>0</v>
      </c>
      <c r="K53" s="3669" t="s">
        <v>835</v>
      </c>
      <c r="L53" s="3670"/>
      <c r="O53" s="1417" t="s">
        <v>409</v>
      </c>
      <c r="P53" s="1418" t="s">
        <v>836</v>
      </c>
      <c r="Q53" s="1419" t="e">
        <f ca="1">Q47+Q48</f>
        <v>#DIV/0!</v>
      </c>
      <c r="R53" s="1419" t="s">
        <v>410</v>
      </c>
    </row>
    <row r="54" spans="1:18" s="1383" customFormat="1" ht="13.5" thickBot="1">
      <c r="A54" s="1152"/>
      <c r="B54" s="1366" t="s">
        <v>677</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t="e">
        <f ca="1">ROUND(IF(J47="钢混",J57/J50,1-(1-2%)*(J50-J57)/J50),3)</f>
        <v>#DIV/0!</v>
      </c>
      <c r="K55" s="1444" t="s">
        <v>839</v>
      </c>
      <c r="L55" s="1445"/>
      <c r="O55" s="1410" t="s">
        <v>809</v>
      </c>
      <c r="P55" s="1411" t="s">
        <v>810</v>
      </c>
      <c r="Q55" s="1412" t="s">
        <v>811</v>
      </c>
      <c r="R55" s="1412" t="s">
        <v>812</v>
      </c>
    </row>
    <row r="56" spans="1:18" s="1383" customFormat="1" ht="25.5" thickTop="1" thickBot="1">
      <c r="A56" s="956">
        <v>2</v>
      </c>
      <c r="B56" s="957" t="s">
        <v>702</v>
      </c>
      <c r="C56" s="232">
        <f ca="1">C13</f>
        <v>0</v>
      </c>
      <c r="D56" s="1446"/>
      <c r="E56" s="1447"/>
      <c r="F56" s="1439"/>
      <c r="I56" s="1448" t="s">
        <v>840</v>
      </c>
      <c r="J56" s="1449"/>
      <c r="K56" s="1420" t="s">
        <v>841</v>
      </c>
      <c r="L56" s="1423">
        <f ca="1">IF(L48&lt;J51,"——",L48-J53)</f>
        <v>0</v>
      </c>
      <c r="O56" s="1417" t="s">
        <v>403</v>
      </c>
      <c r="P56" s="1418" t="s">
        <v>815</v>
      </c>
      <c r="Q56" s="1419" t="e">
        <f ca="1">C40+J29</f>
        <v>#DIV/0!</v>
      </c>
      <c r="R56" s="1419" t="s">
        <v>816</v>
      </c>
    </row>
    <row r="57" spans="1:18" s="1383" customFormat="1" ht="24.75" thickBot="1">
      <c r="A57" s="1450"/>
      <c r="B57" s="949" t="s">
        <v>765</v>
      </c>
      <c r="C57" s="238">
        <f ca="1">C29</f>
        <v>0</v>
      </c>
      <c r="D57" s="1451"/>
      <c r="E57" s="1452"/>
      <c r="F57" s="1453"/>
      <c r="I57" s="1454" t="s">
        <v>842</v>
      </c>
      <c r="J57" s="1455">
        <f ca="1">IF(OR(M47="住宅",J51&lt;L48,J56="是"),"——",J51-L48)</f>
        <v>0</v>
      </c>
      <c r="K57" s="1420" t="s">
        <v>843</v>
      </c>
      <c r="L57" s="1423">
        <f ca="1">IF(L48&lt;J51,"——",IF(L55="比较法",L49,IF(L55="基准地价",L50,L51)))</f>
        <v>0</v>
      </c>
      <c r="O57" s="1417" t="s">
        <v>404</v>
      </c>
      <c r="P57" s="1418" t="s">
        <v>844</v>
      </c>
      <c r="Q57" s="1419" t="e">
        <f ca="1">L60</f>
        <v>#DIV/0!</v>
      </c>
      <c r="R57" s="1419" t="s">
        <v>845</v>
      </c>
    </row>
    <row r="58" spans="1:18" s="1383" customFormat="1" ht="24.75" thickBot="1">
      <c r="A58" s="315" t="s">
        <v>393</v>
      </c>
      <c r="B58" s="957" t="s">
        <v>712</v>
      </c>
      <c r="C58" s="316">
        <f ca="1">ROUND(C59+C64+C65+C66,0)</f>
        <v>0</v>
      </c>
      <c r="D58" s="959" t="s">
        <v>713</v>
      </c>
      <c r="E58" s="960"/>
      <c r="F58" s="961"/>
      <c r="I58" s="1454" t="s">
        <v>846</v>
      </c>
      <c r="J58" s="1456" t="e">
        <f ca="1">IF(J55&lt;0.4,0.4,J55)</f>
        <v>#DIV/0!</v>
      </c>
      <c r="K58" s="1433" t="s">
        <v>847</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5">
        <f ca="1">ROUND(IF(AND(项目基本情况!B11="自然人",项目基本情况!B10="北京市"),C49*F59/(1+'数据-取费表'!C42),C60+C61+C62),0)</f>
        <v>0</v>
      </c>
      <c r="D59" s="962" t="s">
        <v>718</v>
      </c>
      <c r="E59" s="963" t="s">
        <v>719</v>
      </c>
      <c r="F59" s="2314">
        <f ca="1">IF(项目基本情况!B11="企业","——",IF('数据-取费表'!B10="住宅",IF(F49*F50*F51/12/(1+'数据-取费表'!F30)&gt;100000,4%,2.5%),IF(F49*F50*F51/12/(1+'数据-取费表'!F30)&gt;100000,12%,7%)))</f>
        <v>7.0000000000000007E-2</v>
      </c>
      <c r="I59" s="1454" t="s">
        <v>849</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t="str">
        <f>IF(项目基本情况!B11="自然人","——",ROUND(C48*F60/(1+'数据-取费表'!C42),2))</f>
        <v>——</v>
      </c>
      <c r="D60" s="963" t="s">
        <v>722</v>
      </c>
      <c r="E60" s="949" t="s">
        <v>710</v>
      </c>
      <c r="F60" s="331">
        <f t="shared" ref="F60:F66" si="0">F32</f>
        <v>5.6000000000000001E-2</v>
      </c>
      <c r="I60" s="1457" t="s">
        <v>851</v>
      </c>
      <c r="J60" s="1458" t="e">
        <f ca="1">IF(OR(M47="住宅",J51&lt;L48,J56="是"),"0",ROUND(J59/(1+J52)^J53,0))</f>
        <v>#DIV/0!</v>
      </c>
      <c r="K60" s="1459" t="s">
        <v>852</v>
      </c>
      <c r="L60" s="1458" t="e">
        <f ca="1">IF(OR(M47="住宅",L48&lt;J51),0,ROUND(L57*(L58/L59-1),0))</f>
        <v>#DIV/0!</v>
      </c>
      <c r="O60" s="1427" t="s">
        <v>407</v>
      </c>
      <c r="P60" s="1418" t="s">
        <v>853</v>
      </c>
      <c r="Q60" s="1419" t="e">
        <f ca="1">L58</f>
        <v>#DIV/0!</v>
      </c>
      <c r="R60" s="1419" t="s">
        <v>854</v>
      </c>
    </row>
    <row r="61" spans="1:18" s="1383" customFormat="1" ht="13.5" thickBot="1">
      <c r="A61" s="981" t="s">
        <v>779</v>
      </c>
      <c r="B61" s="949" t="s">
        <v>780</v>
      </c>
      <c r="C61" s="21" t="str">
        <f ca="1">IF(项目基本情况!B11="自然人","——",IF(D61="按租金收入计税",ROUND(C49*F61/(1+'数据-取费表'!C42),2),IF(D61="按房产原值计税",ROUND(C57*F61*0.7,2),INDIRECT("'数据-取费表'!Aj"&amp;$G$1))))</f>
        <v>——</v>
      </c>
      <c r="D61" s="1369" t="s">
        <v>3332</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t="str">
        <f>IF(项目基本情况!B11="自然人","——",ROUND(F62*F63/10000,2))</f>
        <v>——</v>
      </c>
      <c r="D62" s="964" t="s">
        <v>784</v>
      </c>
      <c r="E62" s="949" t="s">
        <v>785</v>
      </c>
      <c r="F62" s="325">
        <f t="shared" si="0"/>
        <v>0</v>
      </c>
      <c r="I62" s="1461" t="s">
        <v>856</v>
      </c>
      <c r="J62" s="1462" t="s">
        <v>857</v>
      </c>
      <c r="K62" s="1462" t="s">
        <v>858</v>
      </c>
      <c r="L62" s="1462" t="s">
        <v>859</v>
      </c>
      <c r="M62" s="1463" t="s">
        <v>860</v>
      </c>
      <c r="O62" s="1417" t="s">
        <v>409</v>
      </c>
      <c r="P62" s="1418" t="s">
        <v>861</v>
      </c>
      <c r="Q62" s="1419" t="e">
        <f ca="1">Q56+Q57</f>
        <v>#DIV/0!</v>
      </c>
      <c r="R62" s="1419" t="s">
        <v>410</v>
      </c>
    </row>
    <row r="63" spans="1:18" s="1383" customFormat="1" ht="13.5" thickBot="1">
      <c r="A63" s="326"/>
      <c r="B63" s="955"/>
      <c r="C63" s="26"/>
      <c r="D63" s="965"/>
      <c r="E63" s="949"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ROUND(C57*F64,2)</f>
        <v>0</v>
      </c>
      <c r="D64" s="963" t="s">
        <v>789</v>
      </c>
      <c r="E64" s="949" t="s">
        <v>781</v>
      </c>
      <c r="F64" s="328">
        <f t="shared" ca="1" si="0"/>
        <v>0</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ROUND(C56*F65,2)</f>
        <v>0</v>
      </c>
      <c r="D65" s="963" t="s">
        <v>741</v>
      </c>
      <c r="E65" s="949" t="s">
        <v>742</v>
      </c>
      <c r="F65" s="330">
        <f t="shared" ca="1" si="0"/>
        <v>0</v>
      </c>
      <c r="I65" s="1461" t="s">
        <v>865</v>
      </c>
      <c r="J65" s="1462">
        <v>40</v>
      </c>
      <c r="K65" s="1462">
        <v>30</v>
      </c>
      <c r="L65" s="1462">
        <v>50</v>
      </c>
      <c r="M65" s="1464">
        <v>0.02</v>
      </c>
      <c r="O65" s="1417" t="s">
        <v>403</v>
      </c>
      <c r="P65" s="1418" t="s">
        <v>866</v>
      </c>
      <c r="Q65" s="1419" t="e">
        <f ca="1">C40+J29</f>
        <v>#DIV/0!</v>
      </c>
      <c r="R65" s="1419" t="s">
        <v>816</v>
      </c>
    </row>
    <row r="66" spans="1:18" s="1383" customFormat="1" ht="16.5" thickBot="1">
      <c r="A66" s="981" t="s">
        <v>791</v>
      </c>
      <c r="B66" s="949" t="s">
        <v>726</v>
      </c>
      <c r="C66" s="21">
        <f ca="1">ROUND(C48*F66,2)</f>
        <v>0</v>
      </c>
      <c r="D66" s="963" t="s">
        <v>792</v>
      </c>
      <c r="E66" s="949" t="s">
        <v>710</v>
      </c>
      <c r="F66" s="312">
        <f t="shared" ca="1" si="0"/>
        <v>0</v>
      </c>
      <c r="O66" s="1417" t="s">
        <v>404</v>
      </c>
      <c r="P66" s="1418" t="s">
        <v>844</v>
      </c>
      <c r="Q66" s="1419" t="e">
        <f ca="1">L60</f>
        <v>#DIV/0!</v>
      </c>
      <c r="R66" s="1419" t="s">
        <v>867</v>
      </c>
    </row>
    <row r="67" spans="1:18" s="1383" customFormat="1" ht="16.5" thickBot="1">
      <c r="A67" s="956" t="s">
        <v>394</v>
      </c>
      <c r="B67" s="966" t="s">
        <v>750</v>
      </c>
      <c r="C67" s="316">
        <f ca="1">C48-C58</f>
        <v>0</v>
      </c>
      <c r="D67" s="962" t="s">
        <v>751</v>
      </c>
      <c r="E67" s="967"/>
      <c r="F67" s="968"/>
      <c r="O67" s="1427" t="s">
        <v>405</v>
      </c>
      <c r="P67" s="1418" t="s">
        <v>848</v>
      </c>
      <c r="Q67" s="1465">
        <f ca="1">L51</f>
        <v>0</v>
      </c>
      <c r="R67" s="1419" t="s">
        <v>868</v>
      </c>
    </row>
    <row r="68" spans="1:18" s="1383" customFormat="1" ht="16.5" thickBot="1">
      <c r="A68" s="946" t="s">
        <v>395</v>
      </c>
      <c r="B68" s="947" t="s">
        <v>772</v>
      </c>
      <c r="C68" s="301" t="e">
        <f ca="1">ROUND(C67*(1-((1+F70)/(1+F68))^F69)/(F68-F70),0)</f>
        <v>#DIV/0!</v>
      </c>
      <c r="D68" s="964" t="s">
        <v>756</v>
      </c>
      <c r="E68" s="949" t="s">
        <v>757</v>
      </c>
      <c r="F68" s="312">
        <f ca="1">F40</f>
        <v>0</v>
      </c>
      <c r="O68" s="1427" t="s">
        <v>406</v>
      </c>
      <c r="P68" s="1466" t="s">
        <v>869</v>
      </c>
      <c r="Q68" s="1419">
        <f ca="1">ROUND(Q69-Q70*Q71,0)</f>
        <v>0</v>
      </c>
      <c r="R68" s="1419" t="s">
        <v>414</v>
      </c>
    </row>
    <row r="69" spans="1:18" s="1383" customFormat="1" ht="13.5" thickBot="1">
      <c r="A69" s="950"/>
      <c r="B69" s="951"/>
      <c r="C69" s="306"/>
      <c r="D69" s="969" t="s">
        <v>760</v>
      </c>
      <c r="E69" s="949" t="s">
        <v>761</v>
      </c>
      <c r="F69" s="333">
        <f ca="1">F41</f>
        <v>0</v>
      </c>
      <c r="O69" s="1427" t="s">
        <v>411</v>
      </c>
      <c r="P69" s="1466" t="s">
        <v>870</v>
      </c>
      <c r="Q69" s="1419">
        <f ca="1">C39</f>
        <v>0</v>
      </c>
      <c r="R69" s="1419" t="s">
        <v>816</v>
      </c>
    </row>
    <row r="70" spans="1:18" s="1383" customFormat="1" ht="13.5" thickBot="1">
      <c r="A70" s="953"/>
      <c r="B70" s="954"/>
      <c r="C70" s="310"/>
      <c r="D70" s="965"/>
      <c r="E70" s="949" t="s">
        <v>764</v>
      </c>
      <c r="F70" s="1053"/>
      <c r="O70" s="1427" t="s">
        <v>412</v>
      </c>
      <c r="P70" s="1466" t="s">
        <v>871</v>
      </c>
      <c r="Q70" s="1419">
        <f ca="1">C13</f>
        <v>0</v>
      </c>
      <c r="R70" s="1419" t="s">
        <v>816</v>
      </c>
    </row>
    <row r="71" spans="1:18" s="1383" customFormat="1" ht="13.5" thickBot="1">
      <c r="A71" s="970" t="s">
        <v>396</v>
      </c>
      <c r="B71" s="971" t="s">
        <v>774</v>
      </c>
      <c r="C71" s="336" t="e">
        <f ca="1">ROUND(C68*10000/F71,0)</f>
        <v>#DIV/0!</v>
      </c>
      <c r="D71" s="972" t="s">
        <v>775</v>
      </c>
      <c r="E71" s="973" t="s">
        <v>776</v>
      </c>
      <c r="F71" s="339">
        <f ca="1">F43</f>
        <v>0</v>
      </c>
      <c r="O71" s="1427" t="s">
        <v>413</v>
      </c>
      <c r="P71" s="1466" t="s">
        <v>872</v>
      </c>
      <c r="Q71" s="1430">
        <f ca="1">C76</f>
        <v>0</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0</v>
      </c>
      <c r="D75" s="1383"/>
      <c r="E75" s="1383"/>
      <c r="F75" s="1383"/>
      <c r="K75" s="1401"/>
      <c r="L75" s="1383"/>
      <c r="O75" s="1417" t="s">
        <v>409</v>
      </c>
      <c r="P75" s="1418" t="s">
        <v>836</v>
      </c>
      <c r="Q75" s="1419" t="e">
        <f ca="1">Q65+Q66</f>
        <v>#DIV/0!</v>
      </c>
      <c r="R75" s="1419" t="s">
        <v>410</v>
      </c>
    </row>
    <row r="76" spans="1:18">
      <c r="B76" s="342" t="s">
        <v>794</v>
      </c>
      <c r="C76" s="343">
        <f ca="1">INDIRECT("'数据-取费表'!j"&amp;$G$1)</f>
        <v>0</v>
      </c>
      <c r="I76" s="1383"/>
      <c r="J76" s="1383"/>
      <c r="K76" s="1401"/>
      <c r="L76" s="1383"/>
    </row>
    <row r="77" spans="1:18">
      <c r="B77" s="344" t="s">
        <v>795</v>
      </c>
      <c r="C77" s="345"/>
      <c r="I77" s="1383"/>
      <c r="J77" s="1383"/>
      <c r="K77" s="1401"/>
      <c r="L77" s="1383"/>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62.62</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142</v>
      </c>
      <c r="C2" s="1998" t="s">
        <v>1933</v>
      </c>
      <c r="D2" s="1999" t="s">
        <v>1934</v>
      </c>
      <c r="E2" s="3420" t="s">
        <v>21</v>
      </c>
      <c r="F2" s="1999" t="s">
        <v>1935</v>
      </c>
      <c r="G2" s="2000" t="str">
        <f>IF(E2="商业",项目基本情况!B37,IF(E2="办公",项目基本情况!C37,IF(E2="住宅",项目基本情况!D37,IF(E2="工业",项目基本情况!E37,项目基本情况!F37))))</f>
        <v>三级</v>
      </c>
      <c r="H2" s="1999" t="s">
        <v>1936</v>
      </c>
      <c r="I2" s="2000" t="str">
        <f>IF(E2="商业",项目基本情况!B38,IF(E2="办公",项目基本情况!C38,IF(E2="住宅",项目基本情况!D38,IF(E2="工业",项目基本情况!E38,项目基本情况!F38))))</f>
        <v>Ⅲ—06</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34138</v>
      </c>
      <c r="U2" s="1212"/>
      <c r="V2" s="3359">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22676</v>
      </c>
      <c r="C3" s="1998" t="s">
        <v>1939</v>
      </c>
      <c r="D3" s="1999" t="s">
        <v>1940</v>
      </c>
      <c r="E3" s="3418" t="s">
        <v>3466</v>
      </c>
      <c r="F3" s="2003" t="s">
        <v>3467</v>
      </c>
      <c r="G3" s="751">
        <f>IF(F3="宗地容积率",'数据-汇总表'!I4,IF(F3="估价对象容积率",'数据-汇总表'!I6,'数据-汇总表'!I7))</f>
        <v>2.5</v>
      </c>
      <c r="H3" s="170" t="s">
        <v>1941</v>
      </c>
      <c r="I3" s="774"/>
      <c r="J3" s="2001" t="s">
        <v>1942</v>
      </c>
      <c r="K3" s="1118"/>
      <c r="L3" s="2002" t="s">
        <v>1943</v>
      </c>
      <c r="M3" s="863">
        <f>SUMPRODUCT((区片价!B30:B54=I2)*(区片价!C3:G3=E2)*(区片价!C30:G54))</f>
        <v>24270</v>
      </c>
      <c r="N3" s="865">
        <f>SUMPRODUCT((因素修正幅度!B30:B54=I2)*(因素修正幅度!C3:G3=E2)*(因素修正幅度!C30:G54))</f>
        <v>9.7000000000000003E-2</v>
      </c>
      <c r="O3" s="1118"/>
      <c r="P3" s="1118"/>
      <c r="Q3" s="1118"/>
      <c r="R3" s="1211">
        <v>2</v>
      </c>
      <c r="S3" s="3359">
        <f>ROUND(SUMPRODUCT((B106:B110=R3)*(C105:N105=G2)*(C106:N110)),4)</f>
        <v>1.1838</v>
      </c>
      <c r="T3" s="3359">
        <f t="shared" si="0"/>
        <v>26908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1"/>
      <c r="B4" s="3682"/>
      <c r="C4" s="3682"/>
      <c r="D4" s="3683"/>
      <c r="E4" s="3683"/>
      <c r="F4" s="3683"/>
      <c r="G4" s="3683"/>
      <c r="H4" s="3683"/>
      <c r="I4" s="3683"/>
      <c r="J4" s="3684"/>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22742</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24254</v>
      </c>
      <c r="D5" s="1338">
        <f>ROUND(C6*C17+C20,0)</f>
        <v>24254</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20057</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24270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19275</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3234</v>
      </c>
      <c r="B7" s="2020" t="s">
        <v>1950</v>
      </c>
      <c r="C7" s="754">
        <f>IF(C8="不临65条商业街",1,ROUND(1+(1.6*E8+1.2*E9+0.8*E10+0.4*E11)*C9,4))</f>
        <v>1</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1953</v>
      </c>
      <c r="X7" s="1213" t="str">
        <f>G2</f>
        <v>三级</v>
      </c>
      <c r="Y7" s="1213" t="s">
        <v>1954</v>
      </c>
      <c r="Z7" s="1214">
        <f>G3</f>
        <v>2.5</v>
      </c>
      <c r="AA7" s="1215"/>
      <c r="AB7" s="1215"/>
      <c r="AC7" s="1216"/>
      <c r="AD7" s="1217"/>
      <c r="AE7" s="1217"/>
      <c r="AF7" s="1217"/>
      <c r="AG7" s="1217"/>
      <c r="AH7" s="1217"/>
      <c r="AI7" s="1217"/>
      <c r="AJ7" s="1218"/>
    </row>
    <row r="8" spans="1:36" ht="25.5">
      <c r="A8" s="3297"/>
      <c r="B8" s="170" t="s">
        <v>1955</v>
      </c>
      <c r="C8" s="2025" t="s">
        <v>3468</v>
      </c>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78" t="s">
        <v>1958</v>
      </c>
      <c r="X8" s="3679"/>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7"/>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0"/>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3235</v>
      </c>
      <c r="B12" s="3303" t="s">
        <v>3236</v>
      </c>
      <c r="C12" s="3304">
        <v>1</v>
      </c>
      <c r="D12" s="3305" t="s">
        <v>3237</v>
      </c>
      <c r="E12" s="3306" t="s">
        <v>3238</v>
      </c>
      <c r="F12" s="3307"/>
      <c r="G12" s="3308"/>
      <c r="H12" s="3308"/>
      <c r="I12" s="3308"/>
      <c r="J12" s="3309"/>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3239</v>
      </c>
      <c r="B13" s="2033" t="s">
        <v>1980</v>
      </c>
      <c r="C13" s="754">
        <f>ROUND(C16*D16*E16*F16*G16*H16*I16*J16,4)</f>
        <v>0</v>
      </c>
      <c r="D13" s="2034" t="s">
        <v>1981</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1983</v>
      </c>
      <c r="C14" s="2040" t="s">
        <v>1984</v>
      </c>
      <c r="D14" s="1349" t="s">
        <v>1985</v>
      </c>
      <c r="E14" s="27" t="s">
        <v>1986</v>
      </c>
      <c r="F14" s="3310" t="s">
        <v>3240</v>
      </c>
      <c r="G14" s="3310" t="s">
        <v>3240</v>
      </c>
      <c r="H14" s="3310" t="s">
        <v>3240</v>
      </c>
      <c r="I14" s="3310" t="s">
        <v>3240</v>
      </c>
      <c r="J14" s="3310" t="s">
        <v>3240</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3241</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f>ROUND(G18/I18,2)</f>
        <v>0</v>
      </c>
      <c r="F17" s="3320" t="s">
        <v>3247</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3245</v>
      </c>
      <c r="E18" s="3327"/>
      <c r="F18" s="3322" t="s">
        <v>3248</v>
      </c>
      <c r="G18" s="3326">
        <f>ROUND(1-(1/(POWER(1+G24,E18))),4)</f>
        <v>0</v>
      </c>
      <c r="H18" s="3322" t="s">
        <v>3250</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3246</v>
      </c>
      <c r="E19" s="3336"/>
      <c r="F19" s="3337" t="s">
        <v>3249</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85" t="s">
        <v>3251</v>
      </c>
      <c r="B20" s="167" t="s">
        <v>1992</v>
      </c>
      <c r="C20" s="3323">
        <f>ROUND(IF(F21="与级别开发程度一致",0,(G21-E21)/C21),0)</f>
        <v>-16</v>
      </c>
      <c r="D20" s="3339" t="s">
        <v>1996</v>
      </c>
      <c r="E20" s="3340"/>
      <c r="F20" s="3691" t="s">
        <v>1993</v>
      </c>
      <c r="G20" s="3692"/>
      <c r="H20" s="3324" t="s">
        <v>3470</v>
      </c>
      <c r="I20" s="3324" t="s">
        <v>3471</v>
      </c>
      <c r="J20" s="3325" t="s">
        <v>3472</v>
      </c>
      <c r="K20" s="2046" t="s">
        <v>3473</v>
      </c>
      <c r="L20" s="2046" t="s">
        <v>3474</v>
      </c>
      <c r="M20" s="2046" t="s">
        <v>3475</v>
      </c>
      <c r="N20" s="2046" t="s">
        <v>3476</v>
      </c>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686"/>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3469</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1999</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3" t="s">
        <v>2000</v>
      </c>
      <c r="E23" s="760">
        <v>44197</v>
      </c>
      <c r="F23" s="2053" t="s">
        <v>2001</v>
      </c>
      <c r="G23" s="761">
        <f>'数据-取费表'!B2</f>
        <v>45772</v>
      </c>
      <c r="H23" s="3341" t="s">
        <v>3252</v>
      </c>
      <c r="I23" s="3342" t="str">
        <f>IF(H23="季度增幅（自定义）",SUMIF(N25:N28,E2,O25:O28),"")</f>
        <v/>
      </c>
      <c r="J23" s="3444" t="s">
        <v>3477</v>
      </c>
      <c r="K23" s="1124"/>
      <c r="L23" s="2054" t="s">
        <v>2002</v>
      </c>
      <c r="M23" s="1327">
        <f>ROUND(SUMIF(地价!B2:G2,E2,地价!B16:G16),0)</f>
        <v>350</v>
      </c>
      <c r="N23" s="2055" t="s">
        <v>2003</v>
      </c>
      <c r="O23" s="762">
        <f>ROUNDDOWN(DATEDIF(E23,G23,"M")/3,0)</f>
        <v>17</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0.91510000000000002</v>
      </c>
      <c r="D24" s="2059" t="s">
        <v>2005</v>
      </c>
      <c r="E24" s="1334">
        <f>存贷款利率!E27/100</f>
        <v>4.3499999999999997E-2</v>
      </c>
      <c r="F24" s="2059" t="s">
        <v>1997</v>
      </c>
      <c r="G24" s="767">
        <f>SUMIF(M30:Q30,E2,M33:Q33)</f>
        <v>5.5E-2</v>
      </c>
      <c r="H24" s="2059" t="s">
        <v>2006</v>
      </c>
      <c r="I24" s="768">
        <f>SUMIF('数据-取费表'!C6:C15,E2,'数据-取费表'!F6:F15)/COUNTIF('数据-取费表'!C6:C15,E2)</f>
        <v>35.71</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3331</v>
      </c>
      <c r="C25" s="770">
        <f>IF(B25="容积率修正",IF(G3&lt;10,D26,J26),C27)</f>
        <v>1</v>
      </c>
      <c r="D25" s="2066"/>
      <c r="E25" s="2066"/>
      <c r="F25" s="2066"/>
      <c r="G25" s="2066"/>
      <c r="H25" s="2066"/>
      <c r="I25" s="2066"/>
      <c r="J25" s="2067"/>
      <c r="K25" s="1124"/>
      <c r="L25" s="2786"/>
      <c r="M25" s="2786"/>
      <c r="N25" s="2068" t="s">
        <v>2011</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3" t="s">
        <v>3253</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3254</v>
      </c>
      <c r="J26" s="771" t="str">
        <f>IF(G3&gt;=10,D115,"——")</f>
        <v>——</v>
      </c>
      <c r="K26" s="1124"/>
      <c r="L26" s="2786"/>
      <c r="M26" s="2786"/>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1.0167999999999999</v>
      </c>
      <c r="D28" s="2051"/>
      <c r="E28" s="2076"/>
      <c r="F28" s="2076"/>
      <c r="G28" s="2076"/>
      <c r="H28" s="2076"/>
      <c r="I28" s="2076"/>
      <c r="J28" s="2077"/>
      <c r="K28" s="1124"/>
      <c r="L28" s="2786"/>
      <c r="M28" s="2786"/>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3" t="s">
        <v>2021</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142</v>
      </c>
      <c r="D30" s="2082"/>
      <c r="E30" s="2045"/>
      <c r="F30" s="2083"/>
      <c r="G30" s="2045"/>
      <c r="H30" s="2045"/>
      <c r="I30" s="2045"/>
      <c r="J30" s="2084"/>
      <c r="K30" s="1118"/>
      <c r="L30" s="3349" t="s">
        <v>1934</v>
      </c>
      <c r="M30" s="3350" t="s">
        <v>1988</v>
      </c>
      <c r="N30" s="3350" t="s">
        <v>1989</v>
      </c>
      <c r="O30" s="3350" t="s">
        <v>1990</v>
      </c>
      <c r="P30" s="3350" t="s">
        <v>1991</v>
      </c>
      <c r="Q30" s="3353"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51" t="s">
        <v>1994</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2" t="s">
        <v>1997</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f>ROUND(C5*C22*C23*C24*C25*C28,0)</f>
        <v>22730</v>
      </c>
      <c r="D33" s="2097">
        <f>'数据-基础表'!I13</f>
        <v>62.62</v>
      </c>
      <c r="E33" s="772">
        <f>ROUND(C33*D33/10000,0)</f>
        <v>142</v>
      </c>
      <c r="F33" s="3344" t="s">
        <v>3256</v>
      </c>
      <c r="G33" s="2098"/>
      <c r="H33" s="2098"/>
      <c r="I33" s="2098"/>
      <c r="J33" s="2099"/>
      <c r="K33" s="1118"/>
      <c r="L33" s="3347" t="s">
        <v>3259</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f>ROUND(IF(E2="工业",C33*M42,IF(B25="楼层修正",SUM(V2:V16)*M41*10000/D34,C33*M41)),0)</f>
        <v>5683</v>
      </c>
      <c r="D34" s="2102"/>
      <c r="E34" s="772">
        <f>ROUND(IF(B25="楼层修正",SUM(V2:V16)*M40,C34*D34/10000),0)</f>
        <v>0</v>
      </c>
      <c r="F34" s="2103" t="s">
        <v>2030</v>
      </c>
      <c r="G34" s="2104"/>
      <c r="H34" s="2104"/>
      <c r="I34" s="2104"/>
      <c r="J34" s="2105"/>
      <c r="K34" s="1118"/>
      <c r="L34" s="3347" t="s">
        <v>3260</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5" t="s">
        <v>3257</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3261</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89"/>
      <c r="B37" s="2112" t="s">
        <v>2034</v>
      </c>
      <c r="C37" s="175">
        <f>ROUND(D5*C22*C23*C24*C28*F37,0)</f>
        <v>13638</v>
      </c>
      <c r="D37" s="2097"/>
      <c r="E37" s="171">
        <f>ROUND(C37*D37/10000,0)</f>
        <v>0</v>
      </c>
      <c r="F37" s="171">
        <f>SUMIF(修正!A57:A68,G2,修正!B57:B68)</f>
        <v>0.6</v>
      </c>
      <c r="G37" s="171">
        <f>ROUND(IF(E2="工业",C37*$M$42,C37*$M$41),0)</f>
        <v>3410</v>
      </c>
      <c r="H37" s="171">
        <f>D37</f>
        <v>0</v>
      </c>
      <c r="I37" s="171">
        <f>ROUND(G37*H37/10000,0)</f>
        <v>0</v>
      </c>
      <c r="J37" s="3010"/>
      <c r="K37" s="3357" t="s">
        <v>3262</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0"/>
      <c r="B38" s="2040" t="s">
        <v>2035</v>
      </c>
      <c r="C38" s="175">
        <f>ROUND(D5*C22*C23*C24*C28*F38,0)</f>
        <v>6819</v>
      </c>
      <c r="D38" s="2097"/>
      <c r="E38" s="171">
        <f t="shared" ref="E38:E42" si="4">ROUND(C38*D38/10000,0)</f>
        <v>0</v>
      </c>
      <c r="F38" s="171">
        <f>SUMIF(修正!A57:A68,G2,修正!C57:C68)</f>
        <v>0.3</v>
      </c>
      <c r="G38" s="171">
        <f>ROUND(IF(E2="工业",C38*$M$42,C38*$M$41),0)</f>
        <v>1705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0"/>
      <c r="B39" s="2040" t="s">
        <v>3255</v>
      </c>
      <c r="C39" s="175">
        <f>ROUND(D5*C22*C23*C24*C28*F39,0)</f>
        <v>5683</v>
      </c>
      <c r="D39" s="2097"/>
      <c r="E39" s="171">
        <f t="shared" si="4"/>
        <v>0</v>
      </c>
      <c r="F39" s="171">
        <f>SUMIF(修正!A57:A68,G2,修正!D57:D68)</f>
        <v>0.25</v>
      </c>
      <c r="G39" s="171">
        <f>ROUND(IF(E2="工业",C39*$M$42,C39*$M$41),0)</f>
        <v>1421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f>ROUND(D5*C22*C23*C24*C28*F40,0)</f>
        <v>5683</v>
      </c>
      <c r="D40" s="2097"/>
      <c r="E40" s="171">
        <f t="shared" si="4"/>
        <v>0</v>
      </c>
      <c r="F40" s="175">
        <f>SUMIF(修正!A57:A68,G2,修正!E57:E68)</f>
        <v>0.25</v>
      </c>
      <c r="G40" s="171">
        <f>ROUND(IF(E2="工业",C40*$M$42,C40*$M$41),0)</f>
        <v>1421</v>
      </c>
      <c r="H40" s="171">
        <f t="shared" si="5"/>
        <v>0</v>
      </c>
      <c r="I40" s="171">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3263</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1997</v>
      </c>
      <c r="E44" s="2152">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2050</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2051</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3265</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2057</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2058</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2059</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1.0167999999999999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2062</v>
      </c>
      <c r="B61" s="2132" t="str">
        <f>估价对象房地状况!C17</f>
        <v>估价对象位于XX商圈，周边办公楼项目较多，入驻率高，办公集聚程度较好</v>
      </c>
      <c r="C61" s="2043" t="s">
        <v>3464</v>
      </c>
      <c r="D61" s="1064">
        <f t="shared" ref="D61:D69" si="12">SUMIF($J$60:$N$60,C61,J61:N61)</f>
        <v>0</v>
      </c>
      <c r="E61" s="743">
        <f>ROUND(SUM(D61:D69),4)</f>
        <v>1.6799999999999999E-2</v>
      </c>
      <c r="F61" s="1813">
        <f>IF(E2="办公",SUMIF(L1:L12,G2,N1:N12),"——")</f>
        <v>9.7000000000000003E-2</v>
      </c>
      <c r="G61" s="1062">
        <f>H61</f>
        <v>1.21E-2</v>
      </c>
      <c r="H61" s="1065">
        <f t="shared" ref="H61:H69" si="13">IFERROR(ROUNDDOWN($F$61*I61/2,4),"——")</f>
        <v>1.21E-2</v>
      </c>
      <c r="I61" s="3365">
        <v>0.25</v>
      </c>
      <c r="J61" s="1063">
        <f t="shared" ref="J61:J69" si="14">K61+$G61</f>
        <v>2.4199999999999999E-2</v>
      </c>
      <c r="K61" s="1063">
        <f t="shared" ref="K61:K69" si="15">$L61+$G61</f>
        <v>1.21E-2</v>
      </c>
      <c r="L61" s="1063">
        <v>0</v>
      </c>
      <c r="M61" s="1063">
        <f t="shared" ref="M61:N69" si="16">L61-$G61</f>
        <v>-1.21E-2</v>
      </c>
      <c r="N61" s="1063">
        <f t="shared" si="16"/>
        <v>-2.4199999999999999E-2</v>
      </c>
      <c r="AA61" s="1119"/>
      <c r="AB61" s="1119"/>
      <c r="AC61" s="1119"/>
      <c r="AD61" s="1119"/>
      <c r="AE61" s="1119"/>
      <c r="AF61" s="1119"/>
      <c r="AG61" s="1119"/>
      <c r="AH61" s="1119"/>
      <c r="AI61" s="1119"/>
      <c r="AJ61" s="1119"/>
      <c r="AK61" s="1119"/>
    </row>
    <row r="62" spans="1:37" s="1118" customFormat="1" ht="38.25">
      <c r="A62" s="2129" t="s">
        <v>2051</v>
      </c>
      <c r="B62" s="2133" t="str">
        <f>估价对象房地状况!C18</f>
        <v>估价对象周边道路状况、公共交通通达情况、停车便捷程度，综合评价交通便捷度较好</v>
      </c>
      <c r="C62" s="2043" t="s">
        <v>3464</v>
      </c>
      <c r="D62" s="1064">
        <f t="shared" si="12"/>
        <v>0</v>
      </c>
      <c r="E62" s="744"/>
      <c r="F62" s="1813"/>
      <c r="G62" s="1062">
        <f t="shared" ref="G62:G69" si="17">H62</f>
        <v>1.26E-2</v>
      </c>
      <c r="H62" s="1065">
        <f t="shared" si="13"/>
        <v>1.26E-2</v>
      </c>
      <c r="I62" s="3365">
        <v>0.26</v>
      </c>
      <c r="J62" s="1063">
        <f t="shared" si="14"/>
        <v>2.52E-2</v>
      </c>
      <c r="K62" s="1063">
        <f t="shared" si="15"/>
        <v>1.26E-2</v>
      </c>
      <c r="L62" s="1063">
        <v>0</v>
      </c>
      <c r="M62" s="1063">
        <f t="shared" si="16"/>
        <v>-1.26E-2</v>
      </c>
      <c r="N62" s="1063">
        <f t="shared" si="16"/>
        <v>-2.52E-2</v>
      </c>
      <c r="AA62" s="1119"/>
      <c r="AB62" s="1119"/>
      <c r="AC62" s="1119"/>
      <c r="AD62" s="1119"/>
      <c r="AE62" s="1119"/>
      <c r="AF62" s="1119"/>
      <c r="AG62" s="1119"/>
      <c r="AH62" s="1119"/>
      <c r="AI62" s="1119"/>
      <c r="AJ62" s="1119"/>
      <c r="AK62" s="1119"/>
    </row>
    <row r="63" spans="1:37" s="1118" customFormat="1" ht="36">
      <c r="A63" s="3367" t="s">
        <v>3265</v>
      </c>
      <c r="B63" s="2133">
        <f>估价对象房地状况!C19</f>
        <v>0</v>
      </c>
      <c r="C63" s="2043" t="s">
        <v>3465</v>
      </c>
      <c r="D63" s="1064">
        <f t="shared" si="12"/>
        <v>5.3E-3</v>
      </c>
      <c r="E63" s="744"/>
      <c r="F63" s="1813"/>
      <c r="G63" s="1062">
        <f t="shared" si="17"/>
        <v>5.3E-3</v>
      </c>
      <c r="H63" s="1065">
        <f t="shared" si="13"/>
        <v>5.3E-3</v>
      </c>
      <c r="I63" s="3365">
        <v>0.11</v>
      </c>
      <c r="J63" s="1063">
        <f t="shared" si="14"/>
        <v>1.06E-2</v>
      </c>
      <c r="K63" s="1063">
        <f t="shared" si="15"/>
        <v>5.3E-3</v>
      </c>
      <c r="L63" s="1063">
        <v>0</v>
      </c>
      <c r="M63" s="1063">
        <f t="shared" si="16"/>
        <v>-5.3E-3</v>
      </c>
      <c r="N63" s="1063">
        <f t="shared" si="16"/>
        <v>-1.06E-2</v>
      </c>
      <c r="AA63" s="1119"/>
      <c r="AB63" s="1119"/>
      <c r="AC63" s="1119"/>
      <c r="AD63" s="1119"/>
      <c r="AE63" s="1119"/>
      <c r="AF63" s="1119"/>
      <c r="AG63" s="1119"/>
      <c r="AH63" s="1119"/>
      <c r="AI63" s="1119"/>
      <c r="AJ63" s="1119"/>
      <c r="AK63" s="1119"/>
    </row>
    <row r="64" spans="1:37" s="1118" customFormat="1" ht="36.75">
      <c r="A64" s="2129" t="s">
        <v>2052</v>
      </c>
      <c r="B64" s="2134" t="s">
        <v>2053</v>
      </c>
      <c r="C64" s="2043" t="s">
        <v>3465</v>
      </c>
      <c r="D64" s="1064">
        <f t="shared" si="12"/>
        <v>2.3999999999999998E-3</v>
      </c>
      <c r="E64" s="744"/>
      <c r="F64" s="1813"/>
      <c r="G64" s="1062">
        <f t="shared" si="17"/>
        <v>2.3999999999999998E-3</v>
      </c>
      <c r="H64" s="1065">
        <f t="shared" si="13"/>
        <v>2.3999999999999998E-3</v>
      </c>
      <c r="I64" s="3365">
        <v>0.05</v>
      </c>
      <c r="J64" s="1063">
        <f t="shared" si="14"/>
        <v>4.7999999999999996E-3</v>
      </c>
      <c r="K64" s="1063">
        <f t="shared" si="15"/>
        <v>2.3999999999999998E-3</v>
      </c>
      <c r="L64" s="1063">
        <v>0</v>
      </c>
      <c r="M64" s="1063">
        <f t="shared" si="16"/>
        <v>-2.3999999999999998E-3</v>
      </c>
      <c r="N64" s="1063">
        <f t="shared" si="16"/>
        <v>-4.7999999999999996E-3</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t="s">
        <v>3478</v>
      </c>
      <c r="D65" s="1064">
        <f t="shared" si="12"/>
        <v>-2.3999999999999998E-3</v>
      </c>
      <c r="E65" s="744"/>
      <c r="F65" s="1813"/>
      <c r="G65" s="1062">
        <f t="shared" si="17"/>
        <v>2.3999999999999998E-3</v>
      </c>
      <c r="H65" s="1065">
        <f t="shared" si="13"/>
        <v>2.3999999999999998E-3</v>
      </c>
      <c r="I65" s="3365">
        <v>0.05</v>
      </c>
      <c r="J65" s="1063">
        <f t="shared" si="14"/>
        <v>4.7999999999999996E-3</v>
      </c>
      <c r="K65" s="1063">
        <f t="shared" si="15"/>
        <v>2.3999999999999998E-3</v>
      </c>
      <c r="L65" s="1063">
        <v>0</v>
      </c>
      <c r="M65" s="1063">
        <f t="shared" si="16"/>
        <v>-2.3999999999999998E-3</v>
      </c>
      <c r="N65" s="1063">
        <f t="shared" si="16"/>
        <v>-4.7999999999999996E-3</v>
      </c>
      <c r="AA65" s="1119"/>
      <c r="AB65" s="1119"/>
      <c r="AC65" s="1119"/>
      <c r="AD65" s="1119"/>
      <c r="AE65" s="1119"/>
      <c r="AF65" s="1119"/>
      <c r="AG65" s="1119"/>
      <c r="AH65" s="1119"/>
      <c r="AI65" s="1119"/>
      <c r="AJ65" s="1119"/>
      <c r="AK65" s="1119"/>
    </row>
    <row r="66" spans="1:37" s="1118" customFormat="1" ht="24">
      <c r="A66" s="2129" t="s">
        <v>2055</v>
      </c>
      <c r="B66" s="2135" t="s">
        <v>2056</v>
      </c>
      <c r="C66" s="2043" t="s">
        <v>3465</v>
      </c>
      <c r="D66" s="1064">
        <f t="shared" si="12"/>
        <v>2.8999999999999998E-3</v>
      </c>
      <c r="E66" s="744"/>
      <c r="F66" s="1813"/>
      <c r="G66" s="1062">
        <f t="shared" si="17"/>
        <v>2.8999999999999998E-3</v>
      </c>
      <c r="H66" s="1065">
        <f t="shared" si="13"/>
        <v>2.8999999999999998E-3</v>
      </c>
      <c r="I66" s="3365">
        <v>0.06</v>
      </c>
      <c r="J66" s="1063">
        <f t="shared" si="14"/>
        <v>5.7999999999999996E-3</v>
      </c>
      <c r="K66" s="1063">
        <f t="shared" si="15"/>
        <v>2.8999999999999998E-3</v>
      </c>
      <c r="L66" s="1063">
        <v>0</v>
      </c>
      <c r="M66" s="1063">
        <f t="shared" si="16"/>
        <v>-2.8999999999999998E-3</v>
      </c>
      <c r="N66" s="1063">
        <f t="shared" si="16"/>
        <v>-5.7999999999999996E-3</v>
      </c>
      <c r="AA66" s="1119"/>
      <c r="AB66" s="1119"/>
      <c r="AC66" s="1119"/>
      <c r="AD66" s="1119"/>
      <c r="AE66" s="1119"/>
      <c r="AF66" s="1119"/>
      <c r="AG66" s="1119"/>
      <c r="AH66" s="1119"/>
      <c r="AI66" s="1119"/>
      <c r="AJ66" s="1119"/>
      <c r="AK66" s="1119"/>
    </row>
    <row r="67" spans="1:37" s="1118" customFormat="1" ht="25.5">
      <c r="A67" s="2129" t="s">
        <v>2057</v>
      </c>
      <c r="B67" s="1325" t="str">
        <f>估价对象房地状况!C21</f>
        <v>估价对象所在区域公共配套设施齐备情况</v>
      </c>
      <c r="C67" s="2043" t="s">
        <v>3464</v>
      </c>
      <c r="D67" s="1064">
        <f t="shared" si="12"/>
        <v>0</v>
      </c>
      <c r="E67" s="744"/>
      <c r="F67" s="1813"/>
      <c r="G67" s="1062">
        <f t="shared" si="17"/>
        <v>2.8999999999999998E-3</v>
      </c>
      <c r="H67" s="1065">
        <f t="shared" si="13"/>
        <v>2.8999999999999998E-3</v>
      </c>
      <c r="I67" s="3365">
        <v>0.06</v>
      </c>
      <c r="J67" s="1063">
        <f t="shared" si="14"/>
        <v>5.7999999999999996E-3</v>
      </c>
      <c r="K67" s="1063">
        <f t="shared" si="15"/>
        <v>2.8999999999999998E-3</v>
      </c>
      <c r="L67" s="1063">
        <v>0</v>
      </c>
      <c r="M67" s="1063">
        <f t="shared" si="16"/>
        <v>-2.8999999999999998E-3</v>
      </c>
      <c r="N67" s="1063">
        <f t="shared" si="16"/>
        <v>-5.7999999999999996E-3</v>
      </c>
      <c r="AA67" s="1119"/>
      <c r="AB67" s="1119"/>
      <c r="AC67" s="1119"/>
      <c r="AD67" s="1119"/>
      <c r="AE67" s="1119"/>
      <c r="AF67" s="1119"/>
      <c r="AG67" s="1119"/>
      <c r="AH67" s="1119"/>
      <c r="AI67" s="1119"/>
      <c r="AJ67" s="1119"/>
      <c r="AK67" s="1119"/>
    </row>
    <row r="68" spans="1:37" s="1118" customFormat="1" ht="25.5">
      <c r="A68" s="2129" t="s">
        <v>2058</v>
      </c>
      <c r="B68" s="1325" t="str">
        <f>估价对象房地状况!C22</f>
        <v>估价对象所在区域基础设施水平</v>
      </c>
      <c r="C68" s="3481" t="s">
        <v>3485</v>
      </c>
      <c r="D68" s="1064">
        <f t="shared" si="12"/>
        <v>8.6E-3</v>
      </c>
      <c r="E68" s="744"/>
      <c r="F68" s="1813"/>
      <c r="G68" s="1062">
        <f t="shared" si="17"/>
        <v>4.3E-3</v>
      </c>
      <c r="H68" s="1065">
        <f t="shared" si="13"/>
        <v>4.3E-3</v>
      </c>
      <c r="I68" s="3365">
        <v>0.09</v>
      </c>
      <c r="J68" s="1063">
        <f t="shared" si="14"/>
        <v>8.6E-3</v>
      </c>
      <c r="K68" s="1063">
        <f t="shared" si="15"/>
        <v>4.3E-3</v>
      </c>
      <c r="L68" s="1063">
        <v>0</v>
      </c>
      <c r="M68" s="1063">
        <f t="shared" si="16"/>
        <v>-4.3E-3</v>
      </c>
      <c r="N68" s="1063">
        <f t="shared" si="16"/>
        <v>-8.6E-3</v>
      </c>
      <c r="AA68" s="1119"/>
      <c r="AB68" s="1119"/>
      <c r="AC68" s="1119"/>
      <c r="AD68" s="1119"/>
      <c r="AE68" s="1119"/>
      <c r="AF68" s="1119"/>
      <c r="AG68" s="1119"/>
      <c r="AH68" s="1119"/>
      <c r="AI68" s="1119"/>
      <c r="AJ68" s="1119"/>
      <c r="AK68" s="1119"/>
    </row>
    <row r="69" spans="1:37" s="1118" customFormat="1" ht="26.25" thickBot="1">
      <c r="A69" s="2137" t="s">
        <v>2059</v>
      </c>
      <c r="B69" s="2139" t="str">
        <f>估价对象房地状况!C20</f>
        <v>区域自然环境：；人文环境；综合评价环境状况一般</v>
      </c>
      <c r="C69" s="2043" t="s">
        <v>3464</v>
      </c>
      <c r="D69" s="1064">
        <f t="shared" si="12"/>
        <v>0</v>
      </c>
      <c r="E69" s="745"/>
      <c r="F69" s="1813"/>
      <c r="G69" s="1062">
        <f t="shared" si="17"/>
        <v>3.3E-3</v>
      </c>
      <c r="H69" s="1065">
        <f t="shared" si="13"/>
        <v>3.3E-3</v>
      </c>
      <c r="I69" s="3366">
        <v>7.0000000000000007E-2</v>
      </c>
      <c r="J69" s="1063">
        <f t="shared" si="14"/>
        <v>6.6E-3</v>
      </c>
      <c r="K69" s="1063">
        <f t="shared" si="15"/>
        <v>3.3E-3</v>
      </c>
      <c r="L69" s="1063">
        <v>0</v>
      </c>
      <c r="M69" s="1063">
        <f t="shared" si="16"/>
        <v>-3.3E-3</v>
      </c>
      <c r="N69" s="1063">
        <f t="shared" si="16"/>
        <v>-6.6E-3</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2064</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2051</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3265</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2057</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2058</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2055</v>
      </c>
      <c r="B78" s="2135" t="s">
        <v>2056</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2059</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2066</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3266</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2065</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2057</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2058</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2055</v>
      </c>
      <c r="B89" s="2135" t="s">
        <v>2069</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2070</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2609</v>
      </c>
      <c r="B91" s="3376">
        <f>1+E93</f>
        <v>1</v>
      </c>
      <c r="C91" s="3369"/>
      <c r="D91" s="3370"/>
      <c r="E91" s="1813"/>
      <c r="F91" s="1813"/>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3269</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3265</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3270</v>
      </c>
      <c r="B96" s="3383" t="s">
        <v>3281</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3271</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3272</v>
      </c>
      <c r="B98" s="3384" t="s">
        <v>3282</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3273</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3274</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3275</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7" t="s">
        <v>3290</v>
      </c>
      <c r="B103" s="3687"/>
      <c r="C103" s="3687"/>
      <c r="D103" s="3687"/>
      <c r="E103" s="3687"/>
      <c r="F103" s="3687"/>
      <c r="G103" s="3687"/>
      <c r="H103" s="3687"/>
      <c r="I103" s="3687"/>
      <c r="J103" s="3687"/>
      <c r="K103" s="3388"/>
      <c r="L103" s="3388"/>
      <c r="M103" s="3388"/>
      <c r="N103" s="3388"/>
    </row>
    <row r="104" spans="1:14">
      <c r="A104" s="3688" t="s">
        <v>3291</v>
      </c>
      <c r="B104" s="3688" t="s">
        <v>3292</v>
      </c>
      <c r="C104" s="3389" t="s">
        <v>3293</v>
      </c>
      <c r="D104" s="3390"/>
      <c r="E104" s="3390"/>
      <c r="F104" s="3390"/>
      <c r="G104" s="3390"/>
      <c r="H104" s="3390"/>
      <c r="I104" s="3390"/>
      <c r="J104" s="3391"/>
      <c r="K104" s="3392"/>
      <c r="L104" s="3392"/>
      <c r="M104" s="3392"/>
      <c r="N104" s="3392"/>
    </row>
    <row r="105" spans="1:14">
      <c r="A105" s="3688"/>
      <c r="B105" s="3688"/>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674"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5"/>
      <c r="B111" s="3393" t="s">
        <v>3264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76"/>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77" t="s">
        <v>3307</v>
      </c>
      <c r="B113" s="3677"/>
      <c r="C113" s="3677"/>
      <c r="D113" s="3677"/>
      <c r="E113" s="3677"/>
      <c r="F113" s="3677"/>
      <c r="G113" s="3677"/>
      <c r="H113" s="3677"/>
      <c r="I113" s="3677"/>
      <c r="J113" s="367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2.5</v>
      </c>
      <c r="C116" s="3398" t="s">
        <v>3309</v>
      </c>
      <c r="D116" s="3399">
        <f>SUMPRODUCT((A118:A122=F116)*(B117:M117=H116)*B118:M122)</f>
        <v>0.90600000000000003</v>
      </c>
      <c r="E116" s="1999" t="s">
        <v>3310</v>
      </c>
      <c r="F116" s="3400" t="str">
        <f>E2</f>
        <v>办公</v>
      </c>
      <c r="G116" s="1999" t="s">
        <v>3311</v>
      </c>
      <c r="H116" s="3400" t="str">
        <f>G2</f>
        <v>三级</v>
      </c>
      <c r="I116" s="1999"/>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3325</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3326</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3327</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2609</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I23" sqref="I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3488</v>
      </c>
      <c r="E1" s="3431" t="s">
        <v>3433</v>
      </c>
      <c r="F1" s="1878" t="s">
        <v>3428</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238.01240000000001</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38009</v>
      </c>
      <c r="C3" s="354" t="s">
        <v>1766</v>
      </c>
      <c r="D3" s="353">
        <f>IF(D1="",'数据-汇总表'!E3,SUMIF('数据-汇总表'!$C19:$C33,D1,'数据-汇总表'!$E19:$E33))</f>
        <v>62.62</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15" t="s">
        <v>1773</v>
      </c>
      <c r="Q4" s="3716"/>
      <c r="R4" s="3721" t="s">
        <v>1769</v>
      </c>
      <c r="S4" s="3722"/>
      <c r="T4" s="3721" t="s">
        <v>1770</v>
      </c>
      <c r="U4" s="3722"/>
      <c r="V4" s="3727" t="s">
        <v>1771</v>
      </c>
      <c r="W4" s="3727"/>
      <c r="X4" s="1957"/>
      <c r="Y4" s="3721" t="s">
        <v>1773</v>
      </c>
      <c r="Z4" s="3722"/>
      <c r="AA4" s="3739" t="s">
        <v>1769</v>
      </c>
      <c r="AB4" s="3739" t="s">
        <v>1770</v>
      </c>
      <c r="AC4" s="3708" t="s">
        <v>1771</v>
      </c>
    </row>
    <row r="5" spans="1:29" ht="15">
      <c r="A5" s="358"/>
      <c r="B5" s="359"/>
      <c r="C5" s="3731" t="s">
        <v>3490</v>
      </c>
      <c r="D5" s="3732"/>
      <c r="E5" s="3731" t="s">
        <v>3490</v>
      </c>
      <c r="F5" s="3732"/>
      <c r="G5" s="3731" t="s">
        <v>3490</v>
      </c>
      <c r="H5" s="3732"/>
      <c r="I5" s="3731" t="s">
        <v>3490</v>
      </c>
      <c r="J5" s="3732"/>
      <c r="K5" s="559"/>
      <c r="L5" s="2713"/>
      <c r="M5" s="2714"/>
      <c r="N5" s="2714"/>
      <c r="O5" s="2714"/>
      <c r="P5" s="3717"/>
      <c r="Q5" s="3718"/>
      <c r="R5" s="3723"/>
      <c r="S5" s="3724"/>
      <c r="T5" s="3723"/>
      <c r="U5" s="3724"/>
      <c r="V5" s="3728"/>
      <c r="W5" s="3728"/>
      <c r="X5" s="1354"/>
      <c r="Y5" s="3723"/>
      <c r="Z5" s="3724"/>
      <c r="AA5" s="3740"/>
      <c r="AB5" s="3740"/>
      <c r="AC5" s="3709"/>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19"/>
      <c r="Q6" s="3720"/>
      <c r="R6" s="3723"/>
      <c r="S6" s="3724"/>
      <c r="T6" s="3725"/>
      <c r="U6" s="3726"/>
      <c r="V6" s="3728"/>
      <c r="W6" s="3728"/>
      <c r="X6" s="1354"/>
      <c r="Y6" s="3725"/>
      <c r="Z6" s="3726"/>
      <c r="AA6" s="3741"/>
      <c r="AB6" s="3741"/>
      <c r="AC6" s="3710"/>
    </row>
    <row r="7" spans="1:29" s="108" customFormat="1" ht="15.75" thickBot="1">
      <c r="A7" s="362" t="s">
        <v>1677</v>
      </c>
      <c r="B7" s="363"/>
      <c r="C7" s="364">
        <f>'数据-取费表'!B2</f>
        <v>45772</v>
      </c>
      <c r="D7" s="365">
        <v>100</v>
      </c>
      <c r="E7" s="366">
        <f>C7</f>
        <v>45772</v>
      </c>
      <c r="F7" s="367">
        <f>SUMIF(59:59,YEAR(E7)&amp;"-"&amp;MONTH(E7),60:60)</f>
        <v>100</v>
      </c>
      <c r="G7" s="366">
        <f>C7</f>
        <v>45772</v>
      </c>
      <c r="H7" s="365">
        <f>SUMIF(59:59,YEAR(G7)&amp;"-"&amp;MONTH(G7),60:60)</f>
        <v>100</v>
      </c>
      <c r="I7" s="366">
        <f>C7</f>
        <v>45772</v>
      </c>
      <c r="J7" s="365">
        <f>SUMIF(59:59,YEAR(I7)&amp;"-"&amp;MONTH(I7),60:60)</f>
        <v>100</v>
      </c>
      <c r="K7" s="560"/>
      <c r="L7" s="2715"/>
      <c r="M7" s="2716"/>
      <c r="N7" s="2716"/>
      <c r="O7" s="2716"/>
      <c r="P7" s="3733" t="s">
        <v>1678</v>
      </c>
      <c r="Q7" s="3736"/>
      <c r="R7" s="700" t="s">
        <v>14</v>
      </c>
      <c r="S7" s="701">
        <f t="shared" ref="S7:S15" si="0">F7</f>
        <v>100</v>
      </c>
      <c r="T7" s="700" t="s">
        <v>14</v>
      </c>
      <c r="U7" s="701">
        <f t="shared" ref="U7:U15" si="1">H7</f>
        <v>100</v>
      </c>
      <c r="V7" s="700" t="s">
        <v>14</v>
      </c>
      <c r="W7" s="701">
        <f t="shared" ref="W7:W15" si="2">J7</f>
        <v>100</v>
      </c>
      <c r="X7" s="702"/>
      <c r="Y7" s="3735" t="s">
        <v>1678</v>
      </c>
      <c r="Z7" s="3734"/>
      <c r="AA7" s="703">
        <f>D7/F7</f>
        <v>1</v>
      </c>
      <c r="AB7" s="703">
        <f>D7/H7</f>
        <v>1</v>
      </c>
      <c r="AC7" s="1958">
        <f>D7/J7</f>
        <v>1</v>
      </c>
    </row>
    <row r="8" spans="1:29" s="108" customFormat="1" ht="15.75" thickBot="1">
      <c r="A8" s="362" t="s">
        <v>1679</v>
      </c>
      <c r="B8" s="363"/>
      <c r="C8" s="368" t="s">
        <v>3434</v>
      </c>
      <c r="D8" s="365">
        <v>100</v>
      </c>
      <c r="E8" s="368" t="s">
        <v>3441</v>
      </c>
      <c r="F8" s="367">
        <f>SUMIF(62:62,E8,63:63)-SUMIF(62:62,C8,63:63)+100</f>
        <v>103</v>
      </c>
      <c r="G8" s="368" t="s">
        <v>3441</v>
      </c>
      <c r="H8" s="365">
        <f>SUMIF(62:62,G8,63:63)-SUMIF(62:62,C8,63:63)+100</f>
        <v>103</v>
      </c>
      <c r="I8" s="368" t="s">
        <v>3441</v>
      </c>
      <c r="J8" s="365">
        <f>SUMIF(62:62,I8,63:63)-SUMIF(62:62,C8,63:63)+100</f>
        <v>103</v>
      </c>
      <c r="K8" s="560"/>
      <c r="L8" s="2715"/>
      <c r="M8" s="2716"/>
      <c r="N8" s="2716"/>
      <c r="O8" s="2716"/>
      <c r="P8" s="3733" t="s">
        <v>1681</v>
      </c>
      <c r="Q8" s="3734"/>
      <c r="R8" s="700" t="s">
        <v>14</v>
      </c>
      <c r="S8" s="701">
        <f t="shared" si="0"/>
        <v>103</v>
      </c>
      <c r="T8" s="700" t="s">
        <v>14</v>
      </c>
      <c r="U8" s="701">
        <f t="shared" si="1"/>
        <v>103</v>
      </c>
      <c r="V8" s="700" t="s">
        <v>14</v>
      </c>
      <c r="W8" s="701">
        <f t="shared" si="2"/>
        <v>103</v>
      </c>
      <c r="X8" s="702"/>
      <c r="Y8" s="3735" t="s">
        <v>1681</v>
      </c>
      <c r="Z8" s="3734"/>
      <c r="AA8" s="703">
        <f t="shared" ref="AA8:AA47" si="3">D8/F8</f>
        <v>0.970873786407767</v>
      </c>
      <c r="AB8" s="703">
        <f t="shared" ref="AB8:AB47" si="4">D8/H8</f>
        <v>0.970873786407767</v>
      </c>
      <c r="AC8" s="1958">
        <f t="shared" ref="AC8:AC47" si="5">D8/J8</f>
        <v>0.970873786407767</v>
      </c>
    </row>
    <row r="9" spans="1:29" s="108" customFormat="1">
      <c r="A9" s="369" t="s">
        <v>1682</v>
      </c>
      <c r="B9" s="63" t="s">
        <v>1683</v>
      </c>
      <c r="C9" s="3476"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1958">
        <f t="shared" si="5"/>
        <v>1</v>
      </c>
    </row>
    <row r="10" spans="1:29" s="378" customFormat="1" ht="27">
      <c r="A10" s="374"/>
      <c r="B10" s="375" t="s">
        <v>1686</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9" t="s">
        <v>1689</v>
      </c>
      <c r="Q15" s="1351" t="str">
        <f t="shared" si="6"/>
        <v>办公集聚程度</v>
      </c>
      <c r="R15" s="704" t="s">
        <v>14</v>
      </c>
      <c r="S15" s="705">
        <f t="shared" si="0"/>
        <v>100</v>
      </c>
      <c r="T15" s="704" t="s">
        <v>14</v>
      </c>
      <c r="U15" s="705">
        <f t="shared" si="1"/>
        <v>100</v>
      </c>
      <c r="V15" s="704" t="s">
        <v>14</v>
      </c>
      <c r="W15" s="705">
        <f t="shared" si="2"/>
        <v>100</v>
      </c>
      <c r="X15" s="1354"/>
      <c r="Y15" s="3701" t="s">
        <v>1689</v>
      </c>
      <c r="Z15" s="1355" t="str">
        <f t="shared" si="7"/>
        <v>办公集聚程度</v>
      </c>
      <c r="AA15" s="1352">
        <f t="shared" si="3"/>
        <v>1</v>
      </c>
      <c r="AB15" s="1352">
        <f t="shared" si="4"/>
        <v>1</v>
      </c>
      <c r="AC15" s="1961">
        <f t="shared" si="5"/>
        <v>1</v>
      </c>
    </row>
    <row r="16" spans="1:29" ht="15">
      <c r="A16" s="379"/>
      <c r="B16" s="578"/>
      <c r="C16" s="1903" t="s">
        <v>3485</v>
      </c>
      <c r="D16" s="399"/>
      <c r="E16" s="1903" t="s">
        <v>3485</v>
      </c>
      <c r="F16" s="399"/>
      <c r="G16" s="1903" t="s">
        <v>3485</v>
      </c>
      <c r="H16" s="401"/>
      <c r="I16" s="1903" t="s">
        <v>3485</v>
      </c>
      <c r="J16" s="399"/>
      <c r="K16" s="564"/>
      <c r="L16" s="2720"/>
      <c r="M16" s="2714"/>
      <c r="N16" s="2714"/>
      <c r="O16" s="2714"/>
      <c r="P16" s="3700"/>
      <c r="Q16" s="1351"/>
      <c r="R16" s="704"/>
      <c r="S16" s="705"/>
      <c r="T16" s="704"/>
      <c r="U16" s="705"/>
      <c r="V16" s="704"/>
      <c r="W16" s="705"/>
      <c r="X16" s="1354"/>
      <c r="Y16" s="3702"/>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9"/>
      <c r="B18" s="580"/>
      <c r="C18" s="1963" t="s">
        <v>3485</v>
      </c>
      <c r="D18" s="401"/>
      <c r="E18" s="1963" t="s">
        <v>3485</v>
      </c>
      <c r="F18" s="401"/>
      <c r="G18" s="1963" t="s">
        <v>3485</v>
      </c>
      <c r="H18" s="399"/>
      <c r="I18" s="1963" t="s">
        <v>3485</v>
      </c>
      <c r="J18" s="399"/>
      <c r="K18" s="564"/>
      <c r="L18" s="2720"/>
      <c r="M18" s="2714"/>
      <c r="N18" s="2714"/>
      <c r="O18" s="2714"/>
      <c r="P18" s="3700"/>
      <c r="Q18" s="1351"/>
      <c r="R18" s="704"/>
      <c r="S18" s="705"/>
      <c r="T18" s="704"/>
      <c r="U18" s="705"/>
      <c r="V18" s="704"/>
      <c r="W18" s="705"/>
      <c r="X18" s="1354"/>
      <c r="Y18" s="3702"/>
      <c r="Z18" s="1355"/>
      <c r="AA18" s="1352">
        <v>1</v>
      </c>
      <c r="AB18" s="1352">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9"/>
      <c r="B20" s="580"/>
      <c r="C20" s="1903" t="s">
        <v>3485</v>
      </c>
      <c r="D20" s="399"/>
      <c r="E20" s="1903" t="s">
        <v>3485</v>
      </c>
      <c r="F20" s="399"/>
      <c r="G20" s="1903" t="s">
        <v>3485</v>
      </c>
      <c r="H20" s="399"/>
      <c r="I20" s="1903" t="s">
        <v>3485</v>
      </c>
      <c r="J20" s="399"/>
      <c r="K20" s="564"/>
      <c r="L20" s="2720"/>
      <c r="M20" s="2714"/>
      <c r="N20" s="2714"/>
      <c r="O20" s="2714"/>
      <c r="P20" s="3700"/>
      <c r="Q20" s="1351"/>
      <c r="R20" s="704"/>
      <c r="S20" s="705"/>
      <c r="T20" s="704"/>
      <c r="U20" s="705"/>
      <c r="V20" s="704"/>
      <c r="W20" s="705"/>
      <c r="X20" s="1354"/>
      <c r="Y20" s="3702"/>
      <c r="Z20" s="1355"/>
      <c r="AA20" s="1352">
        <v>1</v>
      </c>
      <c r="AB20" s="1352">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1"/>
      <c r="C22" s="1963" t="s">
        <v>3458</v>
      </c>
      <c r="D22" s="399"/>
      <c r="E22" s="1963" t="s">
        <v>3458</v>
      </c>
      <c r="F22" s="399"/>
      <c r="G22" s="1963" t="s">
        <v>3458</v>
      </c>
      <c r="H22" s="399"/>
      <c r="I22" s="1963" t="s">
        <v>3458</v>
      </c>
      <c r="J22" s="399"/>
      <c r="K22" s="1129"/>
      <c r="L22" s="2720"/>
      <c r="M22" s="2714"/>
      <c r="N22" s="2714"/>
      <c r="O22" s="2714"/>
      <c r="P22" s="3700"/>
      <c r="Q22" s="1351"/>
      <c r="R22" s="704"/>
      <c r="S22" s="705"/>
      <c r="T22" s="704"/>
      <c r="U22" s="705"/>
      <c r="V22" s="704"/>
      <c r="W22" s="705"/>
      <c r="X22" s="1354"/>
      <c r="Y22" s="3702"/>
      <c r="Z22" s="1355"/>
      <c r="AA22" s="1352">
        <v>1</v>
      </c>
      <c r="AB22" s="1352">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0"/>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9"/>
      <c r="B24" s="581"/>
      <c r="C24" s="1903" t="s">
        <v>3465</v>
      </c>
      <c r="D24" s="399"/>
      <c r="E24" s="1903" t="s">
        <v>3465</v>
      </c>
      <c r="F24" s="399"/>
      <c r="G24" s="1903" t="s">
        <v>3465</v>
      </c>
      <c r="H24" s="399"/>
      <c r="I24" s="1903" t="s">
        <v>3465</v>
      </c>
      <c r="J24" s="399"/>
      <c r="K24" s="564"/>
      <c r="L24" s="2720"/>
      <c r="M24" s="2714"/>
      <c r="N24" s="2714"/>
      <c r="O24" s="2714"/>
      <c r="P24" s="3700"/>
      <c r="Q24" s="1351"/>
      <c r="R24" s="704"/>
      <c r="S24" s="705"/>
      <c r="T24" s="704"/>
      <c r="U24" s="705"/>
      <c r="V24" s="704"/>
      <c r="W24" s="705"/>
      <c r="X24" s="1354"/>
      <c r="Y24" s="3702"/>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0"/>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0"/>
      <c r="Q26" s="1351"/>
      <c r="R26" s="704"/>
      <c r="S26" s="705"/>
      <c r="T26" s="704"/>
      <c r="U26" s="705"/>
      <c r="V26" s="704"/>
      <c r="W26" s="705"/>
      <c r="X26" s="1354"/>
      <c r="Y26" s="3702"/>
      <c r="Z26" s="1355"/>
      <c r="AA26" s="1352">
        <v>1</v>
      </c>
      <c r="AB26" s="1352">
        <v>1</v>
      </c>
      <c r="AC26" s="1961">
        <v>1</v>
      </c>
    </row>
    <row r="27" spans="1:29" ht="15">
      <c r="A27" s="379"/>
      <c r="B27" s="580" t="s">
        <v>1781</v>
      </c>
      <c r="C27" s="582" t="s">
        <v>3445</v>
      </c>
      <c r="D27" s="386">
        <v>100</v>
      </c>
      <c r="E27" s="565" t="s">
        <v>3445</v>
      </c>
      <c r="F27" s="386">
        <f>SUMIF(89:89,E27,90:90)-SUMIF(89:89,C27,90:90)+100</f>
        <v>100</v>
      </c>
      <c r="G27" s="582" t="s">
        <v>3445</v>
      </c>
      <c r="H27" s="386">
        <f>SUMIF(89:89,G27,90:90)-SUMIF(89:89,C27,90:90)+100</f>
        <v>100</v>
      </c>
      <c r="I27" s="565" t="s">
        <v>3445</v>
      </c>
      <c r="J27" s="386">
        <f>SUMIF(89:89,I27,90:90)-SUMIF(89:89,C27,90:90)+100</f>
        <v>100</v>
      </c>
      <c r="K27" s="561">
        <v>2</v>
      </c>
      <c r="L27" s="2720"/>
      <c r="M27" s="2714"/>
      <c r="N27" s="2714"/>
      <c r="O27" s="2714"/>
      <c r="P27" s="3700"/>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0"/>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0"/>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0"/>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1" t="s">
        <v>1692</v>
      </c>
      <c r="B33" s="63" t="s">
        <v>1815</v>
      </c>
      <c r="C33" s="1966" t="s">
        <v>3447</v>
      </c>
      <c r="D33" s="418">
        <v>100</v>
      </c>
      <c r="E33" s="1966" t="s">
        <v>3447</v>
      </c>
      <c r="F33" s="412">
        <f>SUMIF(101:101,E33,102:102)-SUMIF(101:101,C33,102:102)+100</f>
        <v>100</v>
      </c>
      <c r="G33" s="1966" t="s">
        <v>3447</v>
      </c>
      <c r="H33" s="386">
        <f>SUMIF(101:101,G33,102:102)-SUMIF(101:101,C33,102:102)+100</f>
        <v>100</v>
      </c>
      <c r="I33" s="1966" t="s">
        <v>3447</v>
      </c>
      <c r="J33" s="418">
        <f>SUMIF(101:101,I33,102:102)-SUMIF(101:101,C33,102:102)+100</f>
        <v>100</v>
      </c>
      <c r="K33" s="561">
        <v>2</v>
      </c>
      <c r="L33" s="2720"/>
      <c r="M33" s="2714"/>
      <c r="N33" s="2714"/>
      <c r="O33" s="2714"/>
      <c r="P33" s="3703" t="s">
        <v>1694</v>
      </c>
      <c r="Q33" s="1351" t="str">
        <f t="shared" si="11"/>
        <v>建筑类型</v>
      </c>
      <c r="R33" s="704" t="s">
        <v>14</v>
      </c>
      <c r="S33" s="705">
        <f t="shared" si="12"/>
        <v>100</v>
      </c>
      <c r="T33" s="704" t="s">
        <v>14</v>
      </c>
      <c r="U33" s="705">
        <f t="shared" si="13"/>
        <v>100</v>
      </c>
      <c r="V33" s="704" t="s">
        <v>14</v>
      </c>
      <c r="W33" s="705">
        <f t="shared" si="14"/>
        <v>100</v>
      </c>
      <c r="X33" s="1354"/>
      <c r="Y33" s="3706" t="s">
        <v>1694</v>
      </c>
      <c r="Z33" s="1355" t="str">
        <f t="shared" si="15"/>
        <v>建筑类型</v>
      </c>
      <c r="AA33" s="1352">
        <f t="shared" si="3"/>
        <v>1</v>
      </c>
      <c r="AB33" s="1352">
        <f t="shared" si="4"/>
        <v>1</v>
      </c>
      <c r="AC33" s="1961">
        <f t="shared" si="5"/>
        <v>1</v>
      </c>
    </row>
    <row r="34" spans="1:29" s="422" customFormat="1" ht="15">
      <c r="A34" s="419"/>
      <c r="B34" s="375" t="s">
        <v>1695</v>
      </c>
      <c r="C34" s="420">
        <f>'数据-汇总表'!E3</f>
        <v>62.62</v>
      </c>
      <c r="D34" s="127">
        <v>100</v>
      </c>
      <c r="E34" s="420">
        <v>80.25</v>
      </c>
      <c r="F34" s="376">
        <f>LOOKUP(E34,104:104,105:105)-LOOKUP(C34,104:104,105:105)+100</f>
        <v>100</v>
      </c>
      <c r="G34" s="420">
        <v>68.64</v>
      </c>
      <c r="H34" s="127">
        <f>LOOKUP(G34,104:104,105:105)-LOOKUP(C34,104:104,105:105)+100</f>
        <v>100</v>
      </c>
      <c r="I34" s="420">
        <v>58.31</v>
      </c>
      <c r="J34" s="127">
        <f>LOOKUP(I34,104:104,105:105)-LOOKUP(C34,104:104,105:105)+100</f>
        <v>100</v>
      </c>
      <c r="K34" s="562"/>
      <c r="L34" s="2719"/>
      <c r="M34" s="2721"/>
      <c r="N34" s="2721"/>
      <c r="O34" s="2721"/>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1352">
        <f t="shared" si="3"/>
        <v>1</v>
      </c>
      <c r="AB34" s="1352">
        <f t="shared" si="4"/>
        <v>1</v>
      </c>
      <c r="AC34" s="1961">
        <f t="shared" si="5"/>
        <v>1</v>
      </c>
    </row>
    <row r="35" spans="1:29" ht="15">
      <c r="A35" s="423"/>
      <c r="B35" s="375" t="s">
        <v>1696</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1</v>
      </c>
      <c r="L36" s="2720"/>
      <c r="M36" s="2714"/>
      <c r="N36" s="2714"/>
      <c r="O36" s="2714"/>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3"/>
      <c r="B37" s="375" t="s">
        <v>1784</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4"/>
      <c r="Q37" s="1351" t="str">
        <f t="shared" si="11"/>
        <v>成新度</v>
      </c>
      <c r="R37" s="704" t="s">
        <v>14</v>
      </c>
      <c r="S37" s="705">
        <f t="shared" si="12"/>
        <v>100</v>
      </c>
      <c r="T37" s="704" t="s">
        <v>14</v>
      </c>
      <c r="U37" s="705">
        <f t="shared" si="13"/>
        <v>100</v>
      </c>
      <c r="V37" s="704" t="s">
        <v>14</v>
      </c>
      <c r="W37" s="705">
        <f t="shared" si="14"/>
        <v>100</v>
      </c>
      <c r="X37" s="1354"/>
      <c r="Y37" s="3706"/>
      <c r="Z37" s="1355" t="str">
        <f t="shared" si="15"/>
        <v>成新度</v>
      </c>
      <c r="AA37" s="1352">
        <f t="shared" si="3"/>
        <v>1</v>
      </c>
      <c r="AB37" s="1352">
        <f t="shared" si="4"/>
        <v>1</v>
      </c>
      <c r="AC37" s="1961">
        <f t="shared" si="5"/>
        <v>1</v>
      </c>
    </row>
    <row r="38" spans="1:29" s="108" customFormat="1" ht="15" hidden="1">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3"/>
      <c r="B39" s="375" t="s">
        <v>1817</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0"/>
      <c r="M39" s="2714"/>
      <c r="N39" s="2714"/>
      <c r="O39" s="2714"/>
      <c r="P39" s="3704" t="s">
        <v>1694</v>
      </c>
      <c r="Q39" s="1351" t="str">
        <f t="shared" si="11"/>
        <v>物业管理</v>
      </c>
      <c r="R39" s="704" t="s">
        <v>14</v>
      </c>
      <c r="S39" s="705">
        <f t="shared" si="12"/>
        <v>100</v>
      </c>
      <c r="T39" s="704" t="s">
        <v>14</v>
      </c>
      <c r="U39" s="705">
        <f t="shared" si="13"/>
        <v>100</v>
      </c>
      <c r="V39" s="704" t="s">
        <v>14</v>
      </c>
      <c r="W39" s="705">
        <f t="shared" si="14"/>
        <v>100</v>
      </c>
      <c r="X39" s="1354"/>
      <c r="Y39" s="3706" t="s">
        <v>1694</v>
      </c>
      <c r="Z39" s="1355" t="str">
        <f t="shared" si="15"/>
        <v>物业管理</v>
      </c>
      <c r="AA39" s="1352">
        <f t="shared" si="3"/>
        <v>1</v>
      </c>
      <c r="AB39" s="1352">
        <f t="shared" si="4"/>
        <v>1</v>
      </c>
      <c r="AC39" s="1961">
        <f t="shared" si="5"/>
        <v>1</v>
      </c>
    </row>
    <row r="40" spans="1:29" ht="15" hidden="1">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3"/>
      <c r="B41" s="375" t="s">
        <v>1787</v>
      </c>
      <c r="C41" s="565" t="s">
        <v>3462</v>
      </c>
      <c r="D41" s="386">
        <v>100</v>
      </c>
      <c r="E41" s="565" t="s">
        <v>3462</v>
      </c>
      <c r="F41" s="412">
        <f>SUMIF(119:119,E41,120:120)-SUMIF(119:119,C41,120:120)+100</f>
        <v>100</v>
      </c>
      <c r="G41" s="565" t="s">
        <v>3462</v>
      </c>
      <c r="H41" s="386">
        <f>SUMIF(119:119,G41,120:120)-SUMIF(119:119,C41,120:120)+100</f>
        <v>100</v>
      </c>
      <c r="I41" s="565" t="s">
        <v>3462</v>
      </c>
      <c r="J41" s="386">
        <f>SUMIF(119:119,I41,120:120)-SUMIF(119:119,C41,120:120)+100</f>
        <v>100</v>
      </c>
      <c r="K41" s="561">
        <v>2</v>
      </c>
      <c r="L41" s="2720"/>
      <c r="M41" s="2714"/>
      <c r="N41" s="2714"/>
      <c r="O41" s="2714"/>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 hidden="1">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3"/>
      <c r="B43" s="375" t="s">
        <v>1790</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v>1</v>
      </c>
      <c r="L43" s="2720"/>
      <c r="M43" s="2714"/>
      <c r="N43" s="2714"/>
      <c r="O43" s="2714"/>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15">
      <c r="A44" s="423"/>
      <c r="B44" s="375" t="s">
        <v>1705</v>
      </c>
      <c r="C44" s="411" t="s">
        <v>3465</v>
      </c>
      <c r="D44" s="386">
        <v>100</v>
      </c>
      <c r="E44" s="411" t="s">
        <v>3465</v>
      </c>
      <c r="F44" s="412">
        <f>SUMIF(125:125,E44,126:126)-SUMIF(125:125,C44,126:126)+100</f>
        <v>100</v>
      </c>
      <c r="G44" s="411" t="s">
        <v>3465</v>
      </c>
      <c r="H44" s="386">
        <f>SUMIF(125:125,G44,126:126)-SUMIF(125:125,C44,126:126)+100</f>
        <v>100</v>
      </c>
      <c r="I44" s="411" t="s">
        <v>3465</v>
      </c>
      <c r="J44" s="386">
        <f>SUMIF(125:125,I44,126:126)-SUMIF(125:125,C44,126:126)+100</f>
        <v>100</v>
      </c>
      <c r="K44" s="561">
        <v>1</v>
      </c>
      <c r="L44" s="2720"/>
      <c r="M44" s="2714"/>
      <c r="N44" s="2714"/>
      <c r="O44" s="2714"/>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5">
      <c r="A48" s="430" t="s">
        <v>1706</v>
      </c>
      <c r="B48" s="431"/>
      <c r="C48" s="1153" t="s">
        <v>0</v>
      </c>
      <c r="D48" s="1154"/>
      <c r="E48" s="1155">
        <v>39876</v>
      </c>
      <c r="F48" s="1156"/>
      <c r="G48" s="1157">
        <v>37442</v>
      </c>
      <c r="H48" s="1158"/>
      <c r="I48" s="1155">
        <v>40131</v>
      </c>
      <c r="J48" s="436"/>
      <c r="K48" s="713"/>
      <c r="L48" s="2722"/>
      <c r="M48" s="2714"/>
      <c r="N48" s="2714"/>
      <c r="O48" s="2714"/>
      <c r="P48" s="3693" t="str">
        <f>A48</f>
        <v>成交单价（元/平方米）</v>
      </c>
      <c r="Q48" s="3694"/>
      <c r="R48" s="3695">
        <f>E48</f>
        <v>39876</v>
      </c>
      <c r="S48" s="3695"/>
      <c r="T48" s="3695">
        <f>G48</f>
        <v>37442</v>
      </c>
      <c r="U48" s="3695"/>
      <c r="V48" s="3695">
        <f>I48</f>
        <v>40131</v>
      </c>
      <c r="W48" s="3695"/>
      <c r="X48" s="397"/>
      <c r="Y48" s="711"/>
      <c r="Z48" s="397"/>
      <c r="AA48" s="397"/>
      <c r="AB48" s="397"/>
      <c r="AC48" s="578"/>
    </row>
    <row r="49" spans="1:29" ht="15.75" thickBot="1">
      <c r="A49" s="437" t="s">
        <v>1791</v>
      </c>
      <c r="B49" s="438"/>
      <c r="C49" s="1159">
        <f>R50</f>
        <v>38009</v>
      </c>
      <c r="D49" s="2316" t="s">
        <v>2135</v>
      </c>
      <c r="E49" s="1160">
        <f>R49</f>
        <v>38715</v>
      </c>
      <c r="F49" s="2317"/>
      <c r="G49" s="1159">
        <f>T49</f>
        <v>36351</v>
      </c>
      <c r="H49" s="2317"/>
      <c r="I49" s="1160">
        <f>V49</f>
        <v>38962</v>
      </c>
      <c r="J49" s="2317"/>
      <c r="K49" s="2319">
        <f>F49+H49+J49</f>
        <v>0</v>
      </c>
      <c r="L49" s="2722"/>
      <c r="M49" s="2714"/>
      <c r="N49" s="2714"/>
      <c r="O49" s="2714"/>
      <c r="P49" s="3693" t="str">
        <f>A49</f>
        <v>比较价值（元/平方米）</v>
      </c>
      <c r="Q49" s="3694"/>
      <c r="R49" s="3695">
        <f>IF(F1="售价",ROUND(PRODUCT(R48,AA7:AA47),0),ROUND(PRODUCT(R48,AA7:AA47),1))</f>
        <v>38715</v>
      </c>
      <c r="S49" s="3695"/>
      <c r="T49" s="3695">
        <f>IF(F1="售价",ROUND(PRODUCT(T48,AB7:AB47),0),ROUND(PRODUCT(T48,AB7:AB47),1))</f>
        <v>36351</v>
      </c>
      <c r="U49" s="3695"/>
      <c r="V49" s="3695">
        <f>IF(F1="售价",ROUND(PRODUCT(V48,AC7:AC47),0),ROUND(PRODUCT(V48,AC7:AC47),1))</f>
        <v>38962</v>
      </c>
      <c r="W49" s="3695"/>
      <c r="X49" s="397"/>
      <c r="Y49" s="397"/>
      <c r="Z49" s="397"/>
      <c r="AA49" s="397"/>
      <c r="AB49" s="397"/>
      <c r="AC49" s="578"/>
    </row>
    <row r="50" spans="1:29" ht="15.75" thickBot="1">
      <c r="A50" s="441" t="s">
        <v>1792</v>
      </c>
      <c r="B50" s="442"/>
      <c r="C50" s="1162">
        <f>R50</f>
        <v>38009</v>
      </c>
      <c r="D50" s="1162"/>
      <c r="E50" s="1162"/>
      <c r="F50" s="1162"/>
      <c r="G50" s="1162"/>
      <c r="H50" s="1162"/>
      <c r="I50" s="1162"/>
      <c r="J50" s="443"/>
      <c r="K50" s="714"/>
      <c r="L50" s="2722"/>
      <c r="M50" s="2714"/>
      <c r="N50" s="2714"/>
      <c r="O50" s="2714"/>
      <c r="P50" s="3696" t="str">
        <f>A50</f>
        <v>估价对象XX用房的比较价值（楼面单价，元/平方米）</v>
      </c>
      <c r="Q50" s="3697"/>
      <c r="R50" s="3698">
        <f>IF(F1="售价",ROUND(IF(D49="简单平均",AVERAGE(R49:V49),R49*F49+T49*H49+V49*J49),0),ROUND(IF(D49="简单平均",AVERAGE(R49:V49),R49*F49+T49*H49+V49*J49),1))</f>
        <v>38009</v>
      </c>
      <c r="S50" s="3698"/>
      <c r="T50" s="3698"/>
      <c r="U50" s="3698"/>
      <c r="V50" s="3698"/>
      <c r="W50" s="369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f>IF(E48&lt;E49,E49/E48-1,E48/E49-1)</f>
        <v>2.9988376598217847E-2</v>
      </c>
      <c r="F53" s="449" t="str">
        <f>IF(OR(E53&gt;=0.3,E53&lt;=-0.3),"超过30%","")</f>
        <v/>
      </c>
      <c r="G53" s="448">
        <f>IF(G48&lt;G49,G49/G48-1,G48/G49-1)</f>
        <v>3.0012929492998719E-2</v>
      </c>
      <c r="H53" s="449" t="str">
        <f>IF(OR(G53&gt;=0.3,G53&lt;=-0.3),"超过30%","")</f>
        <v/>
      </c>
      <c r="I53" s="448">
        <f>IF(I48&lt;I49,I49/I48-1,I48/I49-1)</f>
        <v>3.0003593244700033E-2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f>IF(E49&lt;G49,G49/E49-1,E49/G49-1)</f>
        <v>6.5032598828092869E-2</v>
      </c>
      <c r="F54" s="449" t="str">
        <f>IF(OR(E54&gt;=0.2,E54&lt;=-0.2),"超过20%","")</f>
        <v/>
      </c>
      <c r="G54" s="448">
        <f>IF(G49&lt;I49,I49/G49-1,G49/I49-1)</f>
        <v>7.1827460042364732E-2</v>
      </c>
      <c r="H54" s="449" t="str">
        <f>IF(OR(G54&gt;=0.2,G54&lt;=-0.2),"超过20%","")</f>
        <v/>
      </c>
      <c r="I54" s="448">
        <f>IF(I49&lt;E49,E49/I49-1,I49/E49-1)</f>
        <v>6.3799560893711416E-3</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f>IF(E48&lt;G48,G48/E48-1,E48/G48-1)</f>
        <v>6.5007211153250255E-2</v>
      </c>
      <c r="F55" s="449" t="str">
        <f>IF(OR(E55&gt;=0.3,E55&lt;=-0.3),"超过30%","")</f>
        <v/>
      </c>
      <c r="G55" s="448">
        <f>IF(G48&lt;I48,I48/G48-1,G48/I48-1)</f>
        <v>7.181774477859082E-2</v>
      </c>
      <c r="H55" s="449" t="str">
        <f>IF(OR(G55&gt;=0.3,G55&lt;=-0.3),"超过30%","")</f>
        <v/>
      </c>
      <c r="I55" s="448">
        <f>IF(I48&lt;E48,E48/I48-1,I48/E48-1)</f>
        <v>6.3948239542581664E-3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1796</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3477" t="s">
        <v>3442</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t="s">
        <v>3436</v>
      </c>
      <c r="D66" s="532" t="s">
        <v>3437</v>
      </c>
      <c r="E66" s="532" t="s">
        <v>3438</v>
      </c>
      <c r="F66" s="532" t="s">
        <v>3439</v>
      </c>
      <c r="G66" s="532" t="s">
        <v>3440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78" t="s">
        <v>3443</v>
      </c>
      <c r="D89" s="3478" t="s">
        <v>3444</v>
      </c>
      <c r="E89" s="3478" t="s">
        <v>3446</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3479"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3478"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3478" t="s">
        <v>3451</v>
      </c>
      <c r="D108" s="3478" t="s">
        <v>3452</v>
      </c>
      <c r="E108" s="3478" t="s">
        <v>3453</v>
      </c>
      <c r="F108" s="3480"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3478" t="s">
        <v>3456</v>
      </c>
      <c r="D115" s="3478" t="s">
        <v>3457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3478" t="s">
        <v>3459</v>
      </c>
      <c r="D117" s="3478" t="s">
        <v>3460</v>
      </c>
      <c r="E117" s="3478" t="s">
        <v>3461</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3480" t="s">
        <v>3463</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3478" t="s">
        <v>3451</v>
      </c>
      <c r="D123" s="3478" t="s">
        <v>3452</v>
      </c>
      <c r="E123" s="3478" t="s">
        <v>3453</v>
      </c>
      <c r="F123" s="3480"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H59" sqref="H5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t="s">
        <v>3488</v>
      </c>
      <c r="D1" s="1361" t="s">
        <v>43</v>
      </c>
      <c r="E1" s="1362" t="s">
        <v>676</v>
      </c>
      <c r="F1" s="1061">
        <f ca="1">J53</f>
        <v>35.71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876</v>
      </c>
      <c r="B2" s="3423">
        <f ca="1">ROUND(D2/10000,4)</f>
        <v>163.8759</v>
      </c>
      <c r="C2" s="1386" t="s">
        <v>877</v>
      </c>
      <c r="D2" s="1470">
        <f ca="1">C40+J29+L46</f>
        <v>1638759</v>
      </c>
      <c r="E2" s="1387" t="s">
        <v>878</v>
      </c>
      <c r="F2" s="1388"/>
      <c r="G2" s="2704"/>
      <c r="H2" s="2693"/>
      <c r="I2" s="2693"/>
      <c r="J2" s="2693"/>
      <c r="K2" s="2694"/>
      <c r="L2" s="2693"/>
      <c r="M2" s="2693"/>
    </row>
    <row r="3" spans="1:37" ht="18" customHeight="1" thickBot="1">
      <c r="A3" s="1389" t="s">
        <v>879</v>
      </c>
      <c r="B3" s="1390">
        <f ca="1">IF(ISERROR(D2/F43),0,ROUND(D2/F43,0))</f>
        <v>26170</v>
      </c>
      <c r="C3" s="1386" t="s">
        <v>880</v>
      </c>
      <c r="D3" s="1386"/>
      <c r="E3" s="1387"/>
      <c r="F3" s="1388"/>
      <c r="G3" s="2704"/>
      <c r="H3" s="682" t="s">
        <v>874</v>
      </c>
      <c r="I3" s="1381"/>
      <c r="J3" s="1381"/>
      <c r="K3" s="1382"/>
      <c r="L3" s="1381"/>
      <c r="M3" s="1381"/>
    </row>
    <row r="4" spans="1:37" ht="18" customHeight="1">
      <c r="A4" s="295" t="s">
        <v>881</v>
      </c>
      <c r="B4" s="296" t="s">
        <v>882</v>
      </c>
      <c r="C4" s="296" t="s">
        <v>883</v>
      </c>
      <c r="D4" s="296" t="s">
        <v>884</v>
      </c>
      <c r="E4" s="297" t="s">
        <v>885</v>
      </c>
      <c r="F4" s="298"/>
      <c r="G4" s="1383"/>
      <c r="H4" s="295" t="s">
        <v>881</v>
      </c>
      <c r="I4" s="296" t="s">
        <v>882</v>
      </c>
      <c r="J4" s="296" t="s">
        <v>883</v>
      </c>
      <c r="K4" s="296" t="s">
        <v>884</v>
      </c>
      <c r="L4" s="297" t="s">
        <v>885</v>
      </c>
      <c r="M4" s="298"/>
    </row>
    <row r="5" spans="1:37" ht="18" customHeight="1">
      <c r="A5" s="299">
        <v>1</v>
      </c>
      <c r="B5" s="300" t="s">
        <v>886</v>
      </c>
      <c r="C5" s="1069">
        <f ca="1">C6+C10+C12</f>
        <v>90624</v>
      </c>
      <c r="D5" s="1363" t="s">
        <v>887</v>
      </c>
      <c r="E5" s="1070"/>
      <c r="F5" s="1071"/>
      <c r="G5" s="1383"/>
      <c r="H5" s="299">
        <v>1</v>
      </c>
      <c r="I5" s="300" t="s">
        <v>886</v>
      </c>
      <c r="J5" s="1069">
        <f ca="1">J6+J10+J12</f>
        <v>0</v>
      </c>
      <c r="K5" s="1363" t="s">
        <v>887</v>
      </c>
      <c r="L5" s="1070"/>
      <c r="M5" s="1071"/>
    </row>
    <row r="6" spans="1:37" ht="18" customHeight="1">
      <c r="A6" s="1068" t="s">
        <v>398</v>
      </c>
      <c r="B6" s="3671" t="s">
        <v>692</v>
      </c>
      <c r="C6" s="1073">
        <f ca="1">ROUND(F6*F8*F7*(1-F9),0)</f>
        <v>90511</v>
      </c>
      <c r="D6" s="155" t="s">
        <v>2103</v>
      </c>
      <c r="E6" s="302" t="s">
        <v>694</v>
      </c>
      <c r="F6" s="303">
        <f ca="1">INDIRECT("'数据-取费表'!u"&amp;$G$1)</f>
        <v>4.4000000000000004</v>
      </c>
      <c r="G6" s="1383"/>
      <c r="H6" s="1068" t="s">
        <v>398</v>
      </c>
      <c r="I6" s="3671" t="s">
        <v>692</v>
      </c>
      <c r="J6" s="301">
        <f ca="1">ROUND(M6*M8*M7*(1-M9),0)</f>
        <v>0</v>
      </c>
      <c r="K6" s="1375" t="s">
        <v>2104</v>
      </c>
      <c r="L6" s="302" t="s">
        <v>694</v>
      </c>
      <c r="M6" s="303">
        <f ca="1">INDIRECT("'数据-取费表'!z"&amp;$G$1)</f>
        <v>0</v>
      </c>
    </row>
    <row r="7" spans="1:37" ht="18" customHeight="1">
      <c r="A7" s="1072"/>
      <c r="B7" s="3672"/>
      <c r="C7" s="1074"/>
      <c r="D7" s="307"/>
      <c r="E7" s="1075" t="s">
        <v>695</v>
      </c>
      <c r="F7" s="303">
        <f ca="1">IF(INDIRECT("'数据-取费表'!ah"&amp;$G$1)="",INDIRECT("'数据-取费表'!k"&amp;$G$1),INDIRECT("'数据-取费表'!ah"&amp;$G$1))</f>
        <v>62.62</v>
      </c>
      <c r="G7" s="1383"/>
      <c r="H7" s="304"/>
      <c r="I7" s="3672"/>
      <c r="J7" s="306"/>
      <c r="K7" s="307"/>
      <c r="L7" s="302" t="s">
        <v>695</v>
      </c>
      <c r="M7" s="303">
        <f ca="1">F7</f>
        <v>62.62</v>
      </c>
    </row>
    <row r="8" spans="1:37" ht="18" customHeight="1">
      <c r="A8" s="304"/>
      <c r="B8" s="3672"/>
      <c r="C8" s="306"/>
      <c r="D8" s="307"/>
      <c r="E8" s="302" t="s">
        <v>696</v>
      </c>
      <c r="F8" s="303">
        <f ca="1">INDIRECT("'数据-取费表'!ai"&amp;$G$1)</f>
        <v>365</v>
      </c>
      <c r="G8" s="1383"/>
      <c r="H8" s="304"/>
      <c r="I8" s="3672"/>
      <c r="J8" s="306"/>
      <c r="K8" s="307"/>
      <c r="L8" s="302" t="s">
        <v>696</v>
      </c>
      <c r="M8" s="303">
        <f ca="1">INDIRECT("'数据-取费表'!ai"&amp;$G$1)</f>
        <v>365</v>
      </c>
    </row>
    <row r="9" spans="1:37" ht="18" customHeight="1">
      <c r="A9" s="304"/>
      <c r="B9" s="3673"/>
      <c r="C9" s="306"/>
      <c r="D9" s="307"/>
      <c r="E9" s="302" t="s">
        <v>697</v>
      </c>
      <c r="F9" s="312">
        <f ca="1">INDIRECT("'数据-取费表'!w"&amp;$G$1)</f>
        <v>0.1</v>
      </c>
      <c r="G9" s="1383"/>
      <c r="H9" s="304"/>
      <c r="I9" s="3673"/>
      <c r="J9" s="306"/>
      <c r="K9" s="307"/>
      <c r="L9" s="313" t="s">
        <v>697</v>
      </c>
      <c r="M9" s="314">
        <f ca="1">INDIRECT("'数据-取费表'!ab"&amp;$G$1)</f>
        <v>0</v>
      </c>
    </row>
    <row r="10" spans="1:37" ht="18" customHeight="1">
      <c r="A10" s="1068" t="s">
        <v>402</v>
      </c>
      <c r="B10" s="1364" t="s">
        <v>698</v>
      </c>
      <c r="C10" s="316">
        <f ca="1">ROUND(IF(F10="押一",C6/12*F11,IF(F10="押二",C6/12*2*F11,IF(F10="押三",C6/12*3*F11,C11*F11))),0)</f>
        <v>113</v>
      </c>
      <c r="D10" s="1365" t="s">
        <v>2113</v>
      </c>
      <c r="E10" s="313" t="s">
        <v>699</v>
      </c>
      <c r="F10" s="1115" t="s">
        <v>3423</v>
      </c>
      <c r="G10" s="1383"/>
      <c r="H10" s="1068" t="s">
        <v>402</v>
      </c>
      <c r="I10" s="1364" t="s">
        <v>698</v>
      </c>
      <c r="J10" s="301">
        <f ca="1">ROUND(IF(M10="押一",J6/12*M11,IF(M10="押二",J6/12*2*M11,IF(M10="押三",J6/12*3*M11,J11*M11))),0)</f>
        <v>0</v>
      </c>
      <c r="K10" s="1376" t="s">
        <v>2115</v>
      </c>
      <c r="L10" s="313" t="s">
        <v>699</v>
      </c>
      <c r="M10" s="1115"/>
    </row>
    <row r="11" spans="1:37" ht="18" customHeight="1">
      <c r="A11" s="308"/>
      <c r="B11" s="1366" t="s">
        <v>888</v>
      </c>
      <c r="C11" s="958"/>
      <c r="D11" s="307"/>
      <c r="E11" s="313" t="s">
        <v>700</v>
      </c>
      <c r="F11" s="314">
        <f ca="1">'数据-取费表'!B39</f>
        <v>1.4999999999999999E-2</v>
      </c>
      <c r="G11" s="1383"/>
      <c r="H11" s="1076"/>
      <c r="I11" s="1366" t="s">
        <v>889</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331065</v>
      </c>
      <c r="D13" s="1080" t="s">
        <v>703</v>
      </c>
      <c r="E13" s="1080" t="s">
        <v>704</v>
      </c>
      <c r="F13" s="1081">
        <f ca="1">INDIRECT("'数据-取费表'!y"&amp;$G$1)</f>
        <v>0.8</v>
      </c>
      <c r="G13" s="1383"/>
      <c r="H13" s="1078">
        <v>2</v>
      </c>
      <c r="I13" s="1079" t="s">
        <v>702</v>
      </c>
      <c r="J13" s="1067">
        <f ca="1">ROUND(J14*J15,0)</f>
        <v>0</v>
      </c>
      <c r="K13" s="1086" t="s">
        <v>703</v>
      </c>
      <c r="L13" s="1391"/>
      <c r="M13" s="1392"/>
    </row>
    <row r="14" spans="1:37" ht="18" customHeight="1">
      <c r="A14" s="981" t="s">
        <v>397</v>
      </c>
      <c r="B14" s="302" t="s">
        <v>705</v>
      </c>
      <c r="C14" s="318">
        <f ca="1">ROUND(INDIRECT("'数据-取费表'!l"&amp;$G$1)*F43+'数据-取费表'!L14*INDIRECT("'数据-取费表'!S"&amp;$G$1),0)</f>
        <v>281790</v>
      </c>
      <c r="D14" s="1344" t="s">
        <v>706</v>
      </c>
      <c r="E14" s="1341"/>
      <c r="F14" s="319"/>
      <c r="G14" s="1383"/>
      <c r="H14" s="981" t="s">
        <v>398</v>
      </c>
      <c r="I14" s="302" t="s">
        <v>707</v>
      </c>
      <c r="J14" s="21">
        <f ca="1">C29</f>
        <v>413831</v>
      </c>
      <c r="K14" s="12"/>
      <c r="L14" s="806"/>
      <c r="M14" s="807"/>
    </row>
    <row r="15" spans="1:37" s="1396" customFormat="1" ht="18" customHeight="1" thickBot="1">
      <c r="A15" s="981" t="s">
        <v>399</v>
      </c>
      <c r="B15" s="302" t="s">
        <v>708</v>
      </c>
      <c r="C15" s="21">
        <f ca="1">ROUND(C14*F15,0)</f>
        <v>14090</v>
      </c>
      <c r="D15" s="320" t="s">
        <v>709</v>
      </c>
      <c r="E15" s="320" t="s">
        <v>710</v>
      </c>
      <c r="F15" s="321">
        <f>'数据-取费表'!B33</f>
        <v>0.05</v>
      </c>
      <c r="G15" s="1395"/>
      <c r="H15" s="1088" t="s">
        <v>402</v>
      </c>
      <c r="I15" s="1089" t="s">
        <v>704</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3"/>
      <c r="H16" s="1078" t="s">
        <v>393</v>
      </c>
      <c r="I16" s="1079" t="s">
        <v>712</v>
      </c>
      <c r="J16" s="310">
        <f ca="1">ROUND(J17+J22+J23+J24,0)</f>
        <v>2069</v>
      </c>
      <c r="K16" s="1086" t="s">
        <v>713</v>
      </c>
      <c r="L16" s="1087"/>
      <c r="M16" s="1071"/>
    </row>
    <row r="17" spans="1:37" s="1396" customFormat="1" ht="18" customHeight="1">
      <c r="A17" s="981" t="s">
        <v>679</v>
      </c>
      <c r="B17" s="302" t="s">
        <v>714</v>
      </c>
      <c r="C17" s="21">
        <f ca="1">ROUND(F17*(F43+INDIRECT("'数据-取费表'!S"&amp;$G$1)),0)</f>
        <v>12524</v>
      </c>
      <c r="D17" s="302" t="s">
        <v>715</v>
      </c>
      <c r="E17" s="302" t="s">
        <v>716</v>
      </c>
      <c r="F17" s="23">
        <f>'数据-取费表'!B35</f>
        <v>200</v>
      </c>
      <c r="G17" s="1395"/>
      <c r="H17" s="981" t="s">
        <v>398</v>
      </c>
      <c r="I17" s="302" t="s">
        <v>717</v>
      </c>
      <c r="J17" s="2315">
        <f ca="1">ROUND(IF(AND(项目基本情况!B11="自然人",项目基本情况!B10="北京市"),J6*M17/(1+'数据-取费表'!C42),J18+J19+J20),0)</f>
        <v>0</v>
      </c>
      <c r="K17" s="1344" t="s">
        <v>718</v>
      </c>
      <c r="L17" s="1343" t="s">
        <v>719</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5636</v>
      </c>
      <c r="D18" s="302" t="s">
        <v>709</v>
      </c>
      <c r="E18" s="302" t="s">
        <v>710</v>
      </c>
      <c r="F18" s="322">
        <f>'数据-取费表'!B36</f>
        <v>0.02</v>
      </c>
      <c r="G18" s="1395"/>
      <c r="H18" s="981" t="s">
        <v>397</v>
      </c>
      <c r="I18" s="302" t="s">
        <v>721</v>
      </c>
      <c r="J18" s="21">
        <f ca="1">ROUND(J6*M18/(1+'数据-取费表'!C42),0)</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314040</v>
      </c>
      <c r="D19" s="131" t="s">
        <v>724</v>
      </c>
      <c r="E19" s="1359"/>
      <c r="F19" s="23"/>
      <c r="G19" s="1383"/>
      <c r="H19" s="981" t="s">
        <v>399</v>
      </c>
      <c r="I19" s="302" t="s">
        <v>725</v>
      </c>
      <c r="J19" s="21">
        <f ca="1">IF(K19="按租金收入计税",ROUND(J6*M19/(1+'数据-取费表'!C42),0),ROUND(C29*M19*0.7,0))</f>
        <v>0</v>
      </c>
      <c r="K19" s="1369" t="s">
        <v>3332</v>
      </c>
      <c r="L19" s="302" t="s">
        <v>710</v>
      </c>
      <c r="M19" s="322">
        <f>IF(K19="按租金收入计税",'数据-取费表'!B51,'数据-取费表'!B50)</f>
        <v>0.12</v>
      </c>
    </row>
    <row r="20" spans="1:37" s="1396" customFormat="1" ht="18" customHeight="1">
      <c r="A20" s="981" t="s">
        <v>402</v>
      </c>
      <c r="B20" s="302" t="s">
        <v>726</v>
      </c>
      <c r="C20" s="21">
        <f ca="1">ROUND(C19*F20,0)</f>
        <v>9421</v>
      </c>
      <c r="D20" s="323" t="s">
        <v>727</v>
      </c>
      <c r="E20" s="302" t="s">
        <v>710</v>
      </c>
      <c r="F20" s="322">
        <f>'数据-取费表'!B37</f>
        <v>0.03</v>
      </c>
      <c r="G20" s="1395"/>
      <c r="H20" s="981" t="s">
        <v>678</v>
      </c>
      <c r="I20" s="155" t="s">
        <v>728</v>
      </c>
      <c r="J20" s="22">
        <f ca="1">ROUND(M20*M21,0)</f>
        <v>0</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0</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ROUND(J14*M22,0)</f>
        <v>2069</v>
      </c>
      <c r="K22" s="1343" t="s">
        <v>737</v>
      </c>
      <c r="L22" s="302" t="s">
        <v>710</v>
      </c>
      <c r="M22" s="328">
        <f ca="1">INDIRECT("'数据-取费表'!Ak"&amp;$G$1)</f>
        <v>5.0000000000000001E-3</v>
      </c>
    </row>
    <row r="23" spans="1:37" s="1396" customFormat="1" ht="18" customHeight="1">
      <c r="A23" s="981" t="s">
        <v>397</v>
      </c>
      <c r="B23" s="302" t="s">
        <v>738</v>
      </c>
      <c r="C23" s="21">
        <f ca="1">IF('数据-取费表'!B22&lt;=1,ROUND(C19*F24*F23/2,0)+ROUND(C20*F24*F23/2,0),ROUND(C19*(POWER((1+F24),F23/2)-1),0)+ROUND(C20*(POWER((1+F24),F23/2)-1),0))</f>
        <v>10027</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ROUND(J13*M23,0)</f>
        <v>0</v>
      </c>
      <c r="K23" s="1343" t="s">
        <v>741</v>
      </c>
      <c r="L23" s="302" t="s">
        <v>742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3.1E-2</v>
      </c>
      <c r="G24" s="1395"/>
      <c r="H24" s="1088" t="s">
        <v>682</v>
      </c>
      <c r="I24" s="1089" t="s">
        <v>726</v>
      </c>
      <c r="J24" s="1090">
        <f ca="1">ROUND(J5*M24,0)</f>
        <v>0</v>
      </c>
      <c r="K24" s="1091" t="s">
        <v>746</v>
      </c>
      <c r="L24" s="1089" t="s">
        <v>742</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747</v>
      </c>
      <c r="B25" s="302" t="s">
        <v>748</v>
      </c>
      <c r="C25" s="21"/>
      <c r="D25" s="131" t="s">
        <v>749</v>
      </c>
      <c r="E25" s="1359"/>
      <c r="F25" s="23"/>
      <c r="G25" s="1383"/>
      <c r="H25" s="1078" t="s">
        <v>394</v>
      </c>
      <c r="I25" s="1093" t="s">
        <v>750</v>
      </c>
      <c r="J25" s="310">
        <f ca="1">J5-J16</f>
        <v>-2069</v>
      </c>
      <c r="K25" s="1094" t="s">
        <v>751</v>
      </c>
      <c r="L25" s="1095"/>
      <c r="M25" s="1096"/>
    </row>
    <row r="26" spans="1:37" ht="18" customHeight="1">
      <c r="A26" s="981" t="s">
        <v>397</v>
      </c>
      <c r="B26" s="302" t="s">
        <v>752</v>
      </c>
      <c r="C26" s="21">
        <f ca="1">ROUND((C19+C20)*F26,0)</f>
        <v>48519</v>
      </c>
      <c r="D26" s="323" t="s">
        <v>753</v>
      </c>
      <c r="E26" s="313" t="s">
        <v>754</v>
      </c>
      <c r="F26" s="312">
        <f ca="1">INDIRECT("'数据-取费表'!q"&amp;$G$1)</f>
        <v>0.15</v>
      </c>
      <c r="G26" s="1383"/>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3"/>
      <c r="H27" s="304"/>
      <c r="I27" s="305"/>
      <c r="J27" s="306"/>
      <c r="K27" s="332" t="s">
        <v>760</v>
      </c>
      <c r="L27" s="302" t="s">
        <v>761</v>
      </c>
      <c r="M27" s="333">
        <f ca="1">INDIRECT("'数据-取费表'!ag"&amp;$G$1)</f>
        <v>0</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413831</v>
      </c>
      <c r="D29" s="1091"/>
      <c r="E29" s="1089"/>
      <c r="F29" s="1092"/>
      <c r="G29" s="1395"/>
      <c r="H29" s="334" t="s">
        <v>396</v>
      </c>
      <c r="I29" s="335" t="s">
        <v>766</v>
      </c>
      <c r="J29" s="336">
        <f ca="1">ROUND(J26/(1+F40)^F41,0)</f>
        <v>0</v>
      </c>
      <c r="K29" s="337" t="s">
        <v>767</v>
      </c>
      <c r="L29" s="338"/>
      <c r="M29" s="339">
        <f ca="1">INDIRECT("'数据-取费表'!k"&amp;$G$1)</f>
        <v>62.62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9340</v>
      </c>
      <c r="D30" s="1086" t="s">
        <v>713</v>
      </c>
      <c r="E30" s="1087"/>
      <c r="F30" s="1071"/>
      <c r="G30" s="1383"/>
      <c r="H30" s="2695"/>
      <c r="I30" s="1397"/>
      <c r="J30" s="1398"/>
      <c r="K30" s="2474"/>
      <c r="L30" s="2696"/>
      <c r="M30" s="2697"/>
    </row>
    <row r="31" spans="1:37" ht="18" customHeight="1">
      <c r="A31" s="981" t="s">
        <v>398</v>
      </c>
      <c r="B31" s="302" t="s">
        <v>717</v>
      </c>
      <c r="C31" s="2315">
        <f ca="1">ROUND(IF(AND(项目基本情况!B11="自然人",项目基本情况!B10="北京市"),C6*F31/(1+'数据-取费表'!C42),C32+C33+C34),0)</f>
        <v>6034</v>
      </c>
      <c r="D31" s="1344" t="s">
        <v>718</v>
      </c>
      <c r="E31" s="1343" t="s">
        <v>768</v>
      </c>
      <c r="F31" s="2314">
        <f ca="1">IF(项目基本情况!B11="企业","——",IF(M47="住宅",IF(F6*F7*F8/12/(1+'数据-取费表'!F30)&gt;100000,4%,2.5%),IF(F6*F7*F8/12/(1+'数据-取费表'!F30)&gt;100000,12%,7%)))</f>
        <v>7.0000000000000007E-2</v>
      </c>
      <c r="G31" s="1383"/>
      <c r="H31" s="2806" t="s">
        <v>2303</v>
      </c>
      <c r="I31" s="1397"/>
      <c r="J31" s="1398"/>
      <c r="K31" s="2474"/>
      <c r="L31" s="2696"/>
      <c r="M31" s="2697"/>
    </row>
    <row r="32" spans="1:37" ht="18" customHeight="1">
      <c r="A32" s="981" t="s">
        <v>397</v>
      </c>
      <c r="B32" s="302" t="s">
        <v>721</v>
      </c>
      <c r="C32" s="21" t="str">
        <f>IF(项目基本情况!B11="自然人","——",ROUND(C6*F32/(1+'数据-取费表'!C42),0))</f>
        <v>——</v>
      </c>
      <c r="D32" s="1343" t="s">
        <v>722</v>
      </c>
      <c r="E32" s="302" t="s">
        <v>710</v>
      </c>
      <c r="F32" s="331">
        <f>'数据-取费表'!B41</f>
        <v>5.6000000000000001E-2</v>
      </c>
      <c r="G32" s="1383"/>
      <c r="H32" s="2695"/>
      <c r="I32" s="1397"/>
      <c r="J32" s="1398"/>
      <c r="K32" s="2474"/>
      <c r="L32" s="2696"/>
      <c r="M32" s="2697"/>
    </row>
    <row r="33" spans="1:18" ht="18" customHeight="1">
      <c r="A33" s="981" t="s">
        <v>399</v>
      </c>
      <c r="B33" s="302" t="s">
        <v>725</v>
      </c>
      <c r="C33" s="21" t="str">
        <f ca="1">IF(项目基本情况!B11="自然人","——",IF(D33="按租金收入计税",ROUND(C6*F33/(1+'数据-取费表'!C42),0),IF(D33="按房产原值计税",ROUND(C29*F33*0.7,0),INDIRECT("'数据-取费表'!Aj"&amp;$G$1))))</f>
        <v>——</v>
      </c>
      <c r="D33" s="1369" t="s">
        <v>3332</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t="str">
        <f>IF(项目基本情况!B11="自然人","——",ROUND(F34*F35,0))</f>
        <v>——</v>
      </c>
      <c r="D34" s="324" t="s">
        <v>729</v>
      </c>
      <c r="E34" s="302" t="s">
        <v>730</v>
      </c>
      <c r="F34" s="325">
        <f>'数据-取费表'!B52</f>
        <v>0</v>
      </c>
      <c r="G34" s="1383"/>
      <c r="H34" s="2695"/>
      <c r="I34" s="1397"/>
      <c r="J34" s="1398"/>
      <c r="K34" s="2700"/>
      <c r="L34" s="2701"/>
      <c r="M34" s="2701"/>
    </row>
    <row r="35" spans="1:18" ht="18" customHeight="1">
      <c r="A35" s="1102"/>
      <c r="B35" s="1100"/>
      <c r="C35" s="26"/>
      <c r="D35" s="327"/>
      <c r="E35" s="302" t="s">
        <v>734</v>
      </c>
      <c r="F35" s="303">
        <f ca="1">INDIRECT("'数据-取费表'!r"&amp;$G$1)</f>
        <v>0</v>
      </c>
      <c r="G35" s="1383"/>
      <c r="H35" s="2695"/>
      <c r="I35" s="1397"/>
      <c r="J35" s="1398"/>
      <c r="K35" s="2699"/>
      <c r="L35" s="2698"/>
      <c r="M35" s="2698"/>
    </row>
    <row r="36" spans="1:18" ht="18" customHeight="1">
      <c r="A36" s="1101" t="s">
        <v>402</v>
      </c>
      <c r="B36" s="302" t="s">
        <v>736</v>
      </c>
      <c r="C36" s="21">
        <f ca="1">ROUND(C29*F36,0)</f>
        <v>2069</v>
      </c>
      <c r="D36" s="1343" t="s">
        <v>769</v>
      </c>
      <c r="E36" s="302" t="s">
        <v>710</v>
      </c>
      <c r="F36" s="328">
        <f ca="1">INDIRECT("'数据-取费表'!Ak"&amp;$G$1)</f>
        <v>5.0000000000000001E-3</v>
      </c>
      <c r="G36" s="1383"/>
      <c r="H36" s="2698"/>
      <c r="I36" s="1397"/>
      <c r="J36" s="1398"/>
      <c r="K36" s="2543"/>
      <c r="L36" s="2698"/>
      <c r="M36" s="2698"/>
    </row>
    <row r="37" spans="1:18" ht="18" customHeight="1">
      <c r="A37" s="981" t="s">
        <v>437</v>
      </c>
      <c r="B37" s="302" t="s">
        <v>740</v>
      </c>
      <c r="C37" s="21">
        <f ca="1">ROUND(C13*F37,0)</f>
        <v>331</v>
      </c>
      <c r="D37" s="1343" t="s">
        <v>741</v>
      </c>
      <c r="E37" s="302" t="s">
        <v>742</v>
      </c>
      <c r="F37" s="330">
        <f ca="1">INDIRECT("'数据-取费表'!Al"&amp;$G$1)</f>
        <v>1E-3</v>
      </c>
      <c r="G37" s="1383"/>
      <c r="H37" s="2698"/>
      <c r="I37" s="1397"/>
      <c r="J37" s="1398"/>
      <c r="K37" s="2543"/>
      <c r="L37" s="2698"/>
      <c r="M37" s="2698"/>
    </row>
    <row r="38" spans="1:18" ht="18" customHeight="1" thickBot="1">
      <c r="A38" s="1088" t="s">
        <v>682</v>
      </c>
      <c r="B38" s="1089" t="s">
        <v>726</v>
      </c>
      <c r="C38" s="1090">
        <f ca="1">ROUND(C5*F38,0)</f>
        <v>906</v>
      </c>
      <c r="D38" s="1091" t="s">
        <v>746</v>
      </c>
      <c r="E38" s="1089" t="s">
        <v>742</v>
      </c>
      <c r="F38" s="1085">
        <f ca="1">INDIRECT("'数据-取费表'!Am"&amp;$G$1)</f>
        <v>0.01</v>
      </c>
      <c r="G38" s="1383"/>
      <c r="H38" s="2698"/>
      <c r="I38" s="1397"/>
      <c r="J38" s="1398"/>
      <c r="K38" s="2702"/>
      <c r="L38" s="2698"/>
      <c r="M38" s="2698"/>
    </row>
    <row r="39" spans="1:18" ht="24.6" customHeight="1" thickTop="1">
      <c r="A39" s="1078" t="s">
        <v>394</v>
      </c>
      <c r="B39" s="1093" t="s">
        <v>770</v>
      </c>
      <c r="C39" s="310">
        <f ca="1">C5-C30</f>
        <v>81284</v>
      </c>
      <c r="D39" s="1094" t="s">
        <v>771</v>
      </c>
      <c r="E39" s="1095"/>
      <c r="F39" s="1096"/>
      <c r="G39" s="1383"/>
      <c r="H39" s="2698"/>
      <c r="I39" s="1397"/>
      <c r="J39" s="1398"/>
      <c r="K39" s="2702"/>
      <c r="L39" s="2698"/>
      <c r="M39" s="2698"/>
    </row>
    <row r="40" spans="1:18" ht="18" customHeight="1">
      <c r="A40" s="299" t="s">
        <v>395</v>
      </c>
      <c r="B40" s="300" t="s">
        <v>772</v>
      </c>
      <c r="C40" s="301">
        <f ca="1">ROUND(C39*(1-((1+F42)/(1+F40))^F41)/(F40-F42),0)</f>
        <v>1626248</v>
      </c>
      <c r="D40" s="324" t="s">
        <v>756</v>
      </c>
      <c r="E40" s="302" t="s">
        <v>757</v>
      </c>
      <c r="F40" s="312">
        <f ca="1">INDIRECT("'数据-取费表'!I"&amp;$G$1)</f>
        <v>5.5E-2</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35.71</v>
      </c>
      <c r="G41" s="1383"/>
      <c r="H41" s="1190"/>
      <c r="I41" s="1397"/>
      <c r="J41" s="1398"/>
      <c r="K41" s="2543"/>
      <c r="L41" s="1190"/>
      <c r="M41" s="1190"/>
    </row>
    <row r="42" spans="1:18" ht="18" customHeight="1">
      <c r="A42" s="308"/>
      <c r="B42" s="309"/>
      <c r="C42" s="310"/>
      <c r="D42" s="327"/>
      <c r="E42" s="302" t="s">
        <v>764</v>
      </c>
      <c r="F42" s="312">
        <f ca="1">INDIRECT("'数据-取费表'!v"&amp;$G$1)</f>
        <v>0.02</v>
      </c>
      <c r="G42" s="1383"/>
      <c r="H42" s="1190"/>
      <c r="I42" s="1397"/>
      <c r="J42" s="1398"/>
      <c r="K42" s="2543"/>
      <c r="L42" s="1190"/>
      <c r="M42" s="1190"/>
    </row>
    <row r="43" spans="1:18" ht="18" customHeight="1" thickBot="1">
      <c r="A43" s="334" t="s">
        <v>396</v>
      </c>
      <c r="B43" s="335" t="s">
        <v>774</v>
      </c>
      <c r="C43" s="336">
        <f ca="1">ROUND(C40/F43,0)</f>
        <v>25970</v>
      </c>
      <c r="D43" s="337" t="s">
        <v>775</v>
      </c>
      <c r="E43" s="338" t="s">
        <v>776</v>
      </c>
      <c r="F43" s="339">
        <f ca="1">INDIRECT("'数据-取费表'!k"&amp;$G$1)</f>
        <v>62.62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3348</v>
      </c>
      <c r="B45" s="1399"/>
      <c r="C45" s="1471">
        <f ca="1">ROUND((C68-C40)/10000,4)</f>
        <v>-166.34350000000001</v>
      </c>
      <c r="D45" s="3430" t="s">
        <v>3349</v>
      </c>
      <c r="E45" s="1399"/>
      <c r="F45" s="1399"/>
      <c r="O45" s="1402" t="s">
        <v>806</v>
      </c>
      <c r="P45" s="1460"/>
      <c r="Q45" s="1460"/>
      <c r="R45" s="1460"/>
    </row>
    <row r="46" spans="1:18" s="1383" customFormat="1" ht="13.5" thickBot="1">
      <c r="A46" s="1403" t="s">
        <v>807</v>
      </c>
      <c r="C46" s="1404">
        <f ca="1">ROUND(C45,0)</f>
        <v>-166</v>
      </c>
      <c r="D46" s="1405" t="str">
        <f>C2</f>
        <v>万元</v>
      </c>
      <c r="I46" s="1406" t="s">
        <v>808</v>
      </c>
      <c r="J46" s="1407"/>
      <c r="K46" s="1408"/>
      <c r="L46" s="1409">
        <f ca="1">IF(M47="住宅",0,IF(L48&gt;J51,L60,J60))</f>
        <v>12511</v>
      </c>
      <c r="O46" s="1410" t="s">
        <v>809</v>
      </c>
      <c r="P46" s="1411" t="s">
        <v>810</v>
      </c>
      <c r="Q46" s="1412" t="s">
        <v>811</v>
      </c>
      <c r="R46" s="1412" t="s">
        <v>812</v>
      </c>
    </row>
    <row r="47" spans="1:18" s="1383" customFormat="1" ht="13.5" thickBot="1">
      <c r="A47" s="945" t="s">
        <v>685</v>
      </c>
      <c r="B47" s="977" t="s">
        <v>686</v>
      </c>
      <c r="C47" s="977" t="s">
        <v>687</v>
      </c>
      <c r="D47" s="977" t="s">
        <v>688</v>
      </c>
      <c r="E47" s="1057" t="s">
        <v>689</v>
      </c>
      <c r="F47" s="1058"/>
      <c r="G47" s="721"/>
      <c r="I47" s="1413" t="s">
        <v>813</v>
      </c>
      <c r="J47" s="1414" t="s">
        <v>3424</v>
      </c>
      <c r="K47" s="1415" t="s">
        <v>814</v>
      </c>
      <c r="L47" s="1416">
        <f ca="1">INDIRECT("'数据-取费表'!d"&amp;$G$1)</f>
        <v>50</v>
      </c>
      <c r="M47" s="1379" t="str">
        <f>IF(ISNUMBER(FIND("住宅",C1)),"住宅","非住宅")</f>
        <v>非住宅</v>
      </c>
      <c r="O47" s="1417" t="s">
        <v>403</v>
      </c>
      <c r="P47" s="1418" t="s">
        <v>815</v>
      </c>
      <c r="Q47" s="1419">
        <f ca="1">C40+J29</f>
        <v>1626248</v>
      </c>
      <c r="R47" s="1419" t="s">
        <v>816</v>
      </c>
    </row>
    <row r="48" spans="1:18" s="1383" customFormat="1" ht="28.5" thickBot="1">
      <c r="A48" s="1109" t="s">
        <v>438</v>
      </c>
      <c r="B48" s="300" t="s">
        <v>690</v>
      </c>
      <c r="C48" s="1358">
        <f ca="1">C49+C53+C55</f>
        <v>0</v>
      </c>
      <c r="D48" s="1111"/>
      <c r="E48" s="1112"/>
      <c r="F48" s="961"/>
      <c r="G48" s="721"/>
      <c r="H48" s="722"/>
      <c r="I48" s="1420" t="s">
        <v>817</v>
      </c>
      <c r="J48" s="1421" t="s">
        <v>3425</v>
      </c>
      <c r="K48" s="1422" t="s">
        <v>818</v>
      </c>
      <c r="L48" s="1423">
        <f ca="1">INDIRECT("'数据-取费表'!f"&amp;$G$1)</f>
        <v>35.71</v>
      </c>
      <c r="O48" s="1417" t="s">
        <v>404</v>
      </c>
      <c r="P48" s="1418" t="s">
        <v>819</v>
      </c>
      <c r="Q48" s="1419">
        <f ca="1">J60</f>
        <v>12511</v>
      </c>
      <c r="R48" s="1419" t="s">
        <v>820</v>
      </c>
    </row>
    <row r="49" spans="1:18" s="1383" customFormat="1" ht="13.5" thickBot="1">
      <c r="A49" s="974" t="s">
        <v>439</v>
      </c>
      <c r="B49" s="1370" t="s">
        <v>777</v>
      </c>
      <c r="C49" s="1113">
        <f ca="1">ROUND(F49*F51*F50*(1-F52),0)</f>
        <v>0</v>
      </c>
      <c r="D49" s="1054" t="s">
        <v>693</v>
      </c>
      <c r="E49" s="1371" t="s">
        <v>778</v>
      </c>
      <c r="F49" s="1059"/>
      <c r="G49" s="1424"/>
      <c r="H49" s="722"/>
      <c r="I49" s="1420" t="s">
        <v>821</v>
      </c>
      <c r="J49" s="1425">
        <f>'数据-取费表'!N19</f>
        <v>2013</v>
      </c>
      <c r="K49" s="1422" t="s">
        <v>822</v>
      </c>
      <c r="L49" s="1426"/>
      <c r="O49" s="1427" t="s">
        <v>405</v>
      </c>
      <c r="P49" s="1418" t="s">
        <v>823</v>
      </c>
      <c r="Q49" s="1419">
        <f ca="1">C29</f>
        <v>413831</v>
      </c>
      <c r="R49" s="1419" t="s">
        <v>816</v>
      </c>
    </row>
    <row r="50" spans="1:18" s="1383" customFormat="1" ht="13.5" thickBot="1">
      <c r="A50" s="975"/>
      <c r="B50" s="978"/>
      <c r="C50" s="979"/>
      <c r="D50" s="952"/>
      <c r="E50" s="1055" t="s">
        <v>695</v>
      </c>
      <c r="F50" s="1056">
        <f ca="1">F7</f>
        <v>62.62</v>
      </c>
      <c r="H50" s="722"/>
      <c r="I50" s="1420" t="s">
        <v>824</v>
      </c>
      <c r="J50" s="1428">
        <f>SUMPRODUCT((I63:I65=J47)*(J62:L62=J48)*(J63:L65))</f>
        <v>60</v>
      </c>
      <c r="K50" s="1422" t="s">
        <v>825</v>
      </c>
      <c r="L50" s="1426"/>
      <c r="M50" s="1429"/>
      <c r="O50" s="1427" t="s">
        <v>406</v>
      </c>
      <c r="P50" s="1418" t="s">
        <v>826</v>
      </c>
      <c r="Q50" s="1430">
        <f ca="1">J58</f>
        <v>0.4</v>
      </c>
      <c r="R50" s="1419"/>
    </row>
    <row r="51" spans="1:18" s="1383" customFormat="1" ht="13.5" thickBot="1">
      <c r="A51" s="976"/>
      <c r="B51" s="978"/>
      <c r="C51" s="979"/>
      <c r="D51" s="952"/>
      <c r="E51" s="980" t="s">
        <v>696</v>
      </c>
      <c r="F51" s="303">
        <f ca="1">F8</f>
        <v>365</v>
      </c>
      <c r="I51" s="1431" t="s">
        <v>827</v>
      </c>
      <c r="J51" s="1432">
        <f>IF(J49="",J50,J49+J50-YEAR('数据-取费表'!B2))</f>
        <v>48</v>
      </c>
      <c r="K51" s="1433" t="s">
        <v>828</v>
      </c>
      <c r="L51" s="1434">
        <f ca="1">ROUND(-PV(INDIRECT("'数据-取费表'!h"&amp;$G$1),J51,(C39-C13*C76),0),0)</f>
        <v>1050454</v>
      </c>
      <c r="M51" s="1435"/>
      <c r="O51" s="1427" t="s">
        <v>407</v>
      </c>
      <c r="P51" s="1418" t="s">
        <v>829</v>
      </c>
      <c r="Q51" s="1430">
        <f>J52</f>
        <v>7.4999999999999997E-2</v>
      </c>
      <c r="R51" s="1419"/>
    </row>
    <row r="52" spans="1:18" s="1383" customFormat="1" ht="13.5" thickBot="1">
      <c r="A52" s="976"/>
      <c r="B52" s="978"/>
      <c r="C52" s="979"/>
      <c r="D52" s="952"/>
      <c r="E52" s="980" t="s">
        <v>697</v>
      </c>
      <c r="F52" s="1053"/>
      <c r="I52" s="1436" t="s">
        <v>830</v>
      </c>
      <c r="J52" s="1437">
        <v>7.4999999999999997E-2</v>
      </c>
      <c r="K52" s="1436" t="s">
        <v>831</v>
      </c>
      <c r="L52" s="1437"/>
      <c r="O52" s="1427" t="s">
        <v>408</v>
      </c>
      <c r="P52" s="1418" t="s">
        <v>832</v>
      </c>
      <c r="Q52" s="1419">
        <f ca="1">J53</f>
        <v>35.71</v>
      </c>
      <c r="R52" s="1419" t="s">
        <v>833</v>
      </c>
    </row>
    <row r="53" spans="1:18" s="1383" customFormat="1" ht="30.75" customHeight="1" thickBot="1">
      <c r="A53" s="1110" t="s">
        <v>440</v>
      </c>
      <c r="B53" s="323" t="s">
        <v>698</v>
      </c>
      <c r="C53" s="316">
        <f ca="1">ROUND(IF(F53="押一",C49/12*F11,IF(F53="押二",C49/12*2*F11,IF(F53="押三",C49/12*3*F11,C54*F11))),0)</f>
        <v>0</v>
      </c>
      <c r="D53" s="1365" t="s">
        <v>2116</v>
      </c>
      <c r="E53" s="313" t="s">
        <v>699</v>
      </c>
      <c r="F53" s="1115"/>
      <c r="I53" s="1438" t="s">
        <v>834</v>
      </c>
      <c r="J53" s="2167">
        <f ca="1">IF(M47="住宅",IF(D1="——",MAX(J51,L48),MAX(J51,L48-'数据-取费表'!B24)),IF(D1="——",MIN(J51,L48),MIN(J51,L48-'数据-取费表'!B24)))</f>
        <v>35.71</v>
      </c>
      <c r="K53" s="3669" t="s">
        <v>835</v>
      </c>
      <c r="L53" s="3670"/>
      <c r="O53" s="1417" t="s">
        <v>409</v>
      </c>
      <c r="P53" s="1418" t="s">
        <v>836</v>
      </c>
      <c r="Q53" s="1419">
        <f ca="1">Q47+Q48</f>
        <v>1638759</v>
      </c>
      <c r="R53" s="1419" t="s">
        <v>410</v>
      </c>
    </row>
    <row r="54" spans="1:18" s="1383" customFormat="1" ht="13.5" thickBot="1">
      <c r="A54" s="974"/>
      <c r="B54" s="1472" t="s">
        <v>889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f ca="1">ROUND(IF(J47="钢混",J57/J50,1-(1-2%)*(J50-J57)/J50),3)</f>
        <v>0.20499999999999999</v>
      </c>
      <c r="K55" s="1444" t="s">
        <v>839</v>
      </c>
      <c r="L55" s="1445"/>
      <c r="O55" s="1410" t="s">
        <v>809</v>
      </c>
      <c r="P55" s="1411" t="s">
        <v>810</v>
      </c>
      <c r="Q55" s="1412" t="s">
        <v>811</v>
      </c>
      <c r="R55" s="1412" t="s">
        <v>812</v>
      </c>
    </row>
    <row r="56" spans="1:18" s="1383" customFormat="1" ht="36" customHeight="1" thickTop="1" thickBot="1">
      <c r="A56" s="956">
        <v>2</v>
      </c>
      <c r="B56" s="957" t="s">
        <v>702</v>
      </c>
      <c r="C56" s="232">
        <f ca="1">C13</f>
        <v>331065</v>
      </c>
      <c r="D56" s="1446"/>
      <c r="E56" s="1447"/>
      <c r="F56" s="1439"/>
      <c r="I56" s="1448" t="s">
        <v>840</v>
      </c>
      <c r="J56" s="1449" t="s">
        <v>3416</v>
      </c>
      <c r="K56" s="1420" t="s">
        <v>841</v>
      </c>
      <c r="L56" s="1423" t="str">
        <f ca="1">IF(L48&lt;J51,"——",L48-J51)</f>
        <v>——</v>
      </c>
      <c r="O56" s="1417" t="s">
        <v>403</v>
      </c>
      <c r="P56" s="1418" t="s">
        <v>815</v>
      </c>
      <c r="Q56" s="1419">
        <f ca="1">C40+J29</f>
        <v>1626248</v>
      </c>
      <c r="R56" s="1419" t="s">
        <v>816</v>
      </c>
    </row>
    <row r="57" spans="1:18" s="1383" customFormat="1" ht="24.75" thickBot="1">
      <c r="A57" s="1450"/>
      <c r="B57" s="949" t="s">
        <v>765</v>
      </c>
      <c r="C57" s="238">
        <f ca="1">C29</f>
        <v>413831</v>
      </c>
      <c r="D57" s="1451"/>
      <c r="E57" s="1452"/>
      <c r="F57" s="1453"/>
      <c r="I57" s="1454" t="s">
        <v>842</v>
      </c>
      <c r="J57" s="1455">
        <f ca="1">IF(OR(M47="住宅",J51&lt;L48,J56="是"),"——",J51-L48)</f>
        <v>12.29</v>
      </c>
      <c r="K57" s="1420" t="s">
        <v>890</v>
      </c>
      <c r="L57" s="1423" t="str">
        <f ca="1">IF(L48&lt;J51,"——",IF(L55="比较法",L49,IF(L55="基准地价",L50,L51)))</f>
        <v>——</v>
      </c>
      <c r="O57" s="1417" t="s">
        <v>404</v>
      </c>
      <c r="P57" s="1418" t="s">
        <v>891</v>
      </c>
      <c r="Q57" s="1419">
        <f ca="1">L60</f>
        <v>0</v>
      </c>
      <c r="R57" s="1419" t="s">
        <v>892</v>
      </c>
    </row>
    <row r="58" spans="1:18" s="1383" customFormat="1" ht="24.75" thickBot="1">
      <c r="A58" s="315" t="s">
        <v>393</v>
      </c>
      <c r="B58" s="957" t="s">
        <v>712</v>
      </c>
      <c r="C58" s="316">
        <f ca="1">ROUND(C59+C64+C65+C66,0)</f>
        <v>2400</v>
      </c>
      <c r="D58" s="959" t="s">
        <v>713</v>
      </c>
      <c r="E58" s="960"/>
      <c r="F58" s="961"/>
      <c r="I58" s="1454" t="s">
        <v>846</v>
      </c>
      <c r="J58" s="1456">
        <f ca="1">IF(J55&lt;0.4,0.4,J55)</f>
        <v>0.4</v>
      </c>
      <c r="K58" s="1433" t="s">
        <v>893</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5">
        <f ca="1">ROUND(IF(AND(项目基本情况!B11="自然人",项目基本情况!B10="北京市"),C49*F59/(1+'数据-取费表'!C42),C60+C61+C62),0)</f>
        <v>0</v>
      </c>
      <c r="D59" s="962" t="s">
        <v>718</v>
      </c>
      <c r="E59" s="963" t="s">
        <v>719</v>
      </c>
      <c r="F59" s="2314">
        <f ca="1">IF(项目基本情况!B11="企业","——",IF('数据-取费表'!B10="住宅",IF(F49*F50*F51/12/(1+'数据-取费表'!F30)&gt;100000,4%,2.5%),IF(F49*F50*F51/12/(1+'数据-取费表'!F30)&gt;100000,12%,7%)))</f>
        <v>7.0000000000000007E-2</v>
      </c>
      <c r="I59" s="1454" t="s">
        <v>849</v>
      </c>
      <c r="J59" s="1455">
        <f ca="1">IF(OR(M47="住宅",J51&lt;L48,J56="是"),"——",ROUND(C29*J58,0))</f>
        <v>165532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t="str">
        <f>IF(项目基本情况!B11="自然人","——",ROUND(C48*F60/(1+'数据-取费表'!C42),0))</f>
        <v>——</v>
      </c>
      <c r="D60" s="963" t="s">
        <v>722</v>
      </c>
      <c r="E60" s="949" t="s">
        <v>710</v>
      </c>
      <c r="F60" s="331">
        <f t="shared" ref="F60:F66" si="0">F32</f>
        <v>5.6000000000000001E-2</v>
      </c>
      <c r="I60" s="1457" t="s">
        <v>851</v>
      </c>
      <c r="J60" s="1458">
        <f ca="1">IF(OR(M47="住宅",J51&lt;L48,J56="是"),"0",ROUND(J59/(1+J52)^J53,0))</f>
        <v>12511</v>
      </c>
      <c r="K60" s="1459" t="s">
        <v>852</v>
      </c>
      <c r="L60" s="1458">
        <f ca="1">IF(OR(M47="住宅",L48&lt;J51),0,ROUND(L57*(L58/L59-1),0))</f>
        <v>0</v>
      </c>
      <c r="O60" s="1427" t="s">
        <v>407</v>
      </c>
      <c r="P60" s="1418" t="s">
        <v>853</v>
      </c>
      <c r="Q60" s="1419" t="e">
        <f ca="1">L58</f>
        <v>#DIV/0!</v>
      </c>
      <c r="R60" s="1419" t="s">
        <v>854</v>
      </c>
    </row>
    <row r="61" spans="1:18" s="1383" customFormat="1" ht="13.5" thickBot="1">
      <c r="A61" s="981" t="s">
        <v>779</v>
      </c>
      <c r="B61" s="949" t="s">
        <v>780</v>
      </c>
      <c r="C61" s="21" t="str">
        <f ca="1">IF(项目基本情况!B11="自然人","——",IF(D61="按租金收入计税",ROUND(C49*F61/(1+'数据-取费表'!C42),0),IF(D61="按房产原值计税",ROUND(C57*F61*0.7,0),INDIRECT("'数据-取费表'!Aj"&amp;$G$1))))</f>
        <v>——</v>
      </c>
      <c r="D61" s="1369" t="s">
        <v>3332</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t="str">
        <f>IF(项目基本情况!B11="自然人","——",ROUND(F62*F63,0))</f>
        <v>——</v>
      </c>
      <c r="D62" s="964" t="s">
        <v>784</v>
      </c>
      <c r="E62" s="949" t="s">
        <v>785</v>
      </c>
      <c r="F62" s="325">
        <f t="shared" si="0"/>
        <v>0</v>
      </c>
      <c r="I62" s="1461" t="s">
        <v>856</v>
      </c>
      <c r="J62" s="1462" t="s">
        <v>857</v>
      </c>
      <c r="K62" s="1462" t="s">
        <v>858</v>
      </c>
      <c r="L62" s="1462" t="s">
        <v>859</v>
      </c>
      <c r="M62" s="1463" t="s">
        <v>860</v>
      </c>
      <c r="O62" s="1417" t="s">
        <v>409</v>
      </c>
      <c r="P62" s="1418" t="s">
        <v>861</v>
      </c>
      <c r="Q62" s="1419">
        <f ca="1">Q56+Q57</f>
        <v>1626248</v>
      </c>
      <c r="R62" s="1419" t="s">
        <v>410</v>
      </c>
    </row>
    <row r="63" spans="1:18" s="1383" customFormat="1" ht="13.5" thickBot="1">
      <c r="A63" s="326"/>
      <c r="B63" s="955"/>
      <c r="C63" s="26"/>
      <c r="D63" s="965"/>
      <c r="E63" s="949"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ROUND(C57*F64,0)</f>
        <v>2069</v>
      </c>
      <c r="D64" s="963" t="s">
        <v>789</v>
      </c>
      <c r="E64" s="949" t="s">
        <v>781</v>
      </c>
      <c r="F64" s="328">
        <f t="shared" ca="1" si="0"/>
        <v>5.0000000000000001E-3</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ROUND(C56*F65,0)</f>
        <v>331</v>
      </c>
      <c r="D65" s="963" t="s">
        <v>741</v>
      </c>
      <c r="E65" s="949" t="s">
        <v>742</v>
      </c>
      <c r="F65" s="330">
        <f t="shared" ca="1" si="0"/>
        <v>1E-3</v>
      </c>
      <c r="I65" s="1461" t="s">
        <v>865</v>
      </c>
      <c r="J65" s="1462">
        <v>40</v>
      </c>
      <c r="K65" s="1462">
        <v>30</v>
      </c>
      <c r="L65" s="1462">
        <v>50</v>
      </c>
      <c r="M65" s="1464">
        <v>0.02</v>
      </c>
      <c r="O65" s="1417" t="s">
        <v>403</v>
      </c>
      <c r="P65" s="1418" t="s">
        <v>866</v>
      </c>
      <c r="Q65" s="1419">
        <f ca="1">C40+J29</f>
        <v>1626248</v>
      </c>
      <c r="R65" s="1419" t="s">
        <v>816</v>
      </c>
    </row>
    <row r="66" spans="1:18" s="1383" customFormat="1" ht="16.5" thickBot="1">
      <c r="A66" s="981" t="s">
        <v>791</v>
      </c>
      <c r="B66" s="949" t="s">
        <v>726</v>
      </c>
      <c r="C66" s="21">
        <f ca="1">ROUND(C48*F66,0)</f>
        <v>0</v>
      </c>
      <c r="D66" s="963" t="s">
        <v>792</v>
      </c>
      <c r="E66" s="949" t="s">
        <v>710</v>
      </c>
      <c r="F66" s="312">
        <f t="shared" ca="1" si="0"/>
        <v>0.01</v>
      </c>
      <c r="O66" s="1417" t="s">
        <v>404</v>
      </c>
      <c r="P66" s="1418" t="s">
        <v>844</v>
      </c>
      <c r="Q66" s="1419">
        <f ca="1">L60</f>
        <v>0</v>
      </c>
      <c r="R66" s="1419" t="s">
        <v>867</v>
      </c>
    </row>
    <row r="67" spans="1:18" s="1383" customFormat="1" ht="16.5" thickBot="1">
      <c r="A67" s="956" t="s">
        <v>394</v>
      </c>
      <c r="B67" s="966" t="s">
        <v>750</v>
      </c>
      <c r="C67" s="316">
        <f ca="1">C48-C58</f>
        <v>-2400</v>
      </c>
      <c r="D67" s="962" t="s">
        <v>751</v>
      </c>
      <c r="E67" s="967"/>
      <c r="F67" s="968"/>
      <c r="O67" s="1427" t="s">
        <v>405</v>
      </c>
      <c r="P67" s="1418" t="s">
        <v>848</v>
      </c>
      <c r="Q67" s="1465">
        <f ca="1">L51</f>
        <v>1050454</v>
      </c>
      <c r="R67" s="1419" t="s">
        <v>868</v>
      </c>
    </row>
    <row r="68" spans="1:18" s="1383" customFormat="1" ht="16.5" thickBot="1">
      <c r="A68" s="946" t="s">
        <v>395</v>
      </c>
      <c r="B68" s="947" t="s">
        <v>772</v>
      </c>
      <c r="C68" s="301">
        <f ca="1">ROUND(C67*(1-((1+F70)/(1+F68))^F69)/(F68-F70),0)</f>
        <v>-37187</v>
      </c>
      <c r="D68" s="964" t="s">
        <v>756</v>
      </c>
      <c r="E68" s="949" t="s">
        <v>757</v>
      </c>
      <c r="F68" s="312">
        <f ca="1">F40</f>
        <v>5.5E-2</v>
      </c>
      <c r="O68" s="1427" t="s">
        <v>406</v>
      </c>
      <c r="P68" s="1466" t="s">
        <v>869</v>
      </c>
      <c r="Q68" s="1419">
        <f ca="1">ROUND(Q69-Q70*Q71,0)</f>
        <v>58109</v>
      </c>
      <c r="R68" s="1419" t="s">
        <v>414</v>
      </c>
    </row>
    <row r="69" spans="1:18" s="1383" customFormat="1" ht="13.5" thickBot="1">
      <c r="A69" s="950"/>
      <c r="B69" s="951"/>
      <c r="C69" s="306"/>
      <c r="D69" s="969" t="s">
        <v>760</v>
      </c>
      <c r="E69" s="949" t="s">
        <v>761</v>
      </c>
      <c r="F69" s="333">
        <f ca="1">F41</f>
        <v>35.71</v>
      </c>
      <c r="O69" s="1427" t="s">
        <v>411</v>
      </c>
      <c r="P69" s="1466" t="s">
        <v>870</v>
      </c>
      <c r="Q69" s="1419">
        <f ca="1">C39</f>
        <v>81284</v>
      </c>
      <c r="R69" s="1419" t="s">
        <v>816</v>
      </c>
    </row>
    <row r="70" spans="1:18" s="1383" customFormat="1" ht="13.5" thickBot="1">
      <c r="A70" s="953"/>
      <c r="B70" s="954"/>
      <c r="C70" s="310"/>
      <c r="D70" s="965"/>
      <c r="E70" s="949" t="s">
        <v>764</v>
      </c>
      <c r="F70" s="1053"/>
      <c r="O70" s="1427" t="s">
        <v>412</v>
      </c>
      <c r="P70" s="1466" t="s">
        <v>871</v>
      </c>
      <c r="Q70" s="1419">
        <f ca="1">C13</f>
        <v>331065</v>
      </c>
      <c r="R70" s="1419" t="s">
        <v>816</v>
      </c>
    </row>
    <row r="71" spans="1:18" s="1383" customFormat="1" ht="13.5" thickBot="1">
      <c r="A71" s="970" t="s">
        <v>396</v>
      </c>
      <c r="B71" s="971" t="s">
        <v>774</v>
      </c>
      <c r="C71" s="336">
        <f ca="1">ROUND(C68/F71,0)</f>
        <v>-594</v>
      </c>
      <c r="D71" s="972" t="s">
        <v>775</v>
      </c>
      <c r="E71" s="973" t="s">
        <v>776</v>
      </c>
      <c r="F71" s="339">
        <f ca="1">F43</f>
        <v>62.62</v>
      </c>
      <c r="O71" s="1427" t="s">
        <v>413</v>
      </c>
      <c r="P71" s="1466" t="s">
        <v>872</v>
      </c>
      <c r="Q71" s="1430">
        <f ca="1">C76</f>
        <v>7.0000000000000007E-2</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23175</v>
      </c>
      <c r="D75" s="1383"/>
      <c r="E75" s="1383"/>
      <c r="F75" s="1383"/>
      <c r="K75" s="1401"/>
      <c r="L75" s="1383"/>
      <c r="O75" s="1417" t="s">
        <v>409</v>
      </c>
      <c r="P75" s="1418" t="s">
        <v>836</v>
      </c>
      <c r="Q75" s="1419">
        <f ca="1">Q65+Q66</f>
        <v>1626248</v>
      </c>
      <c r="R75" s="1419" t="s">
        <v>410</v>
      </c>
    </row>
    <row r="76" spans="1:18">
      <c r="B76" s="342" t="s">
        <v>794</v>
      </c>
      <c r="C76" s="343">
        <f ca="1">INDIRECT("'数据-取费表'!j"&amp;$G$1)</f>
        <v>7.0000000000000007E-2</v>
      </c>
      <c r="I76" s="1383"/>
      <c r="J76" s="1383"/>
      <c r="K76" s="1401"/>
      <c r="L76" s="1383"/>
    </row>
    <row r="77" spans="1:18">
      <c r="B77" s="344" t="s">
        <v>795</v>
      </c>
      <c r="C77" s="345"/>
      <c r="I77" s="1383"/>
      <c r="J77" s="1383"/>
      <c r="K77" s="1401"/>
      <c r="L77" s="1383"/>
    </row>
    <row r="78" spans="1:18">
      <c r="B78" s="270" t="s">
        <v>796</v>
      </c>
      <c r="C78" s="346"/>
    </row>
    <row r="79" spans="1:18">
      <c r="B79" s="340" t="s">
        <v>797</v>
      </c>
      <c r="C79" s="274">
        <f ca="1">1-C80</f>
        <v>0.71500000000000008</v>
      </c>
    </row>
    <row r="80" spans="1:18">
      <c r="B80" s="340" t="s">
        <v>798</v>
      </c>
      <c r="C80" s="274">
        <f ca="1">ROUND(C75/C39,3)</f>
        <v>0.28499999999999998</v>
      </c>
    </row>
    <row r="81" spans="2:3">
      <c r="B81" s="270" t="s">
        <v>799</v>
      </c>
      <c r="C81" s="238"/>
    </row>
    <row r="82" spans="2:3">
      <c r="B82" s="273" t="s">
        <v>800</v>
      </c>
      <c r="C82" s="275">
        <f ca="1">1-C83</f>
        <v>0.79600000000000004</v>
      </c>
    </row>
    <row r="83" spans="2:3">
      <c r="B83" s="273" t="s">
        <v>801</v>
      </c>
      <c r="C83" s="274">
        <f ca="1">ROUND(C13/C40,3)</f>
        <v>0.20399999999999999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90" zoomScaleNormal="70" zoomScaleSheetLayoutView="90" workbookViewId="0">
      <selection activeCell="N24" sqref="N2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3488</v>
      </c>
      <c r="E1" s="3431" t="s">
        <v>3433</v>
      </c>
      <c r="F1" s="1878" t="s">
        <v>3430</v>
      </c>
      <c r="G1" s="1234" t="s">
        <v>1661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683</v>
      </c>
      <c r="B2" s="1163">
        <f>IF(E1="项目模式",IF(C2="——",ROUND(C50*D3/10000,0),ROUND(C50*D3/10000,0)-D2),IF(E1="单套模式",IF(C2="——",ROUND(C50*D3/10000,4),ROUND(C50*D3/10000,4)-D2)))</f>
        <v>2.76E-2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684</v>
      </c>
      <c r="B3" s="558">
        <f>IF(C2="——",C50,ROUND(B2*10000/D3,0))</f>
        <v>4.4000000000000004</v>
      </c>
      <c r="C3" s="354" t="s">
        <v>1663</v>
      </c>
      <c r="D3" s="353">
        <f>IF(D1="",'数据-汇总表'!E3,SUMIF('数据-汇总表'!$C19:$C33,D1,'数据-汇总表'!$E19:$E33))</f>
        <v>62.62</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1664</v>
      </c>
      <c r="B4" s="356"/>
      <c r="C4" s="3711" t="s">
        <v>1665</v>
      </c>
      <c r="D4" s="3712"/>
      <c r="E4" s="3713" t="s">
        <v>1666</v>
      </c>
      <c r="F4" s="3714"/>
      <c r="G4" s="3711" t="s">
        <v>1667</v>
      </c>
      <c r="H4" s="3712"/>
      <c r="I4" s="3711" t="s">
        <v>1668</v>
      </c>
      <c r="J4" s="3712"/>
      <c r="K4" s="559" t="s">
        <v>1669</v>
      </c>
      <c r="L4" s="2713"/>
      <c r="M4" s="2714"/>
      <c r="N4" s="2714"/>
      <c r="O4" s="2714"/>
      <c r="P4" s="3715" t="s">
        <v>1670</v>
      </c>
      <c r="Q4" s="3716"/>
      <c r="R4" s="3721" t="s">
        <v>1666</v>
      </c>
      <c r="S4" s="3722"/>
      <c r="T4" s="3721" t="s">
        <v>1667</v>
      </c>
      <c r="U4" s="3722"/>
      <c r="V4" s="3727" t="s">
        <v>1668</v>
      </c>
      <c r="W4" s="3727"/>
      <c r="X4" s="3472"/>
      <c r="Y4" s="3721" t="s">
        <v>1670</v>
      </c>
      <c r="Z4" s="3722"/>
      <c r="AA4" s="3739" t="s">
        <v>1666</v>
      </c>
      <c r="AB4" s="3739" t="s">
        <v>1667</v>
      </c>
      <c r="AC4" s="3708" t="s">
        <v>1668</v>
      </c>
    </row>
    <row r="5" spans="1:29" ht="15">
      <c r="A5" s="358"/>
      <c r="B5" s="359"/>
      <c r="C5" s="3731" t="s">
        <v>3490</v>
      </c>
      <c r="D5" s="3732"/>
      <c r="E5" s="3731" t="s">
        <v>3490</v>
      </c>
      <c r="F5" s="3732"/>
      <c r="G5" s="3731" t="s">
        <v>3490</v>
      </c>
      <c r="H5" s="3732"/>
      <c r="I5" s="3731" t="s">
        <v>3490</v>
      </c>
      <c r="J5" s="3732"/>
      <c r="K5" s="559"/>
      <c r="L5" s="2713"/>
      <c r="M5" s="2714"/>
      <c r="N5" s="2714"/>
      <c r="O5" s="2714"/>
      <c r="P5" s="3717"/>
      <c r="Q5" s="3718"/>
      <c r="R5" s="3723"/>
      <c r="S5" s="3724"/>
      <c r="T5" s="3723"/>
      <c r="U5" s="3724"/>
      <c r="V5" s="3728"/>
      <c r="W5" s="3728"/>
      <c r="X5" s="3467"/>
      <c r="Y5" s="3723"/>
      <c r="Z5" s="3724"/>
      <c r="AA5" s="3740"/>
      <c r="AB5" s="3740"/>
      <c r="AC5" s="3709"/>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19"/>
      <c r="Q6" s="3720"/>
      <c r="R6" s="3723"/>
      <c r="S6" s="3724"/>
      <c r="T6" s="3725"/>
      <c r="U6" s="3726"/>
      <c r="V6" s="3728"/>
      <c r="W6" s="3728"/>
      <c r="X6" s="3467"/>
      <c r="Y6" s="3725"/>
      <c r="Z6" s="3726"/>
      <c r="AA6" s="3741"/>
      <c r="AB6" s="3741"/>
      <c r="AC6" s="3710"/>
    </row>
    <row r="7" spans="1:29" s="108" customFormat="1" ht="15.75" thickBot="1">
      <c r="A7" s="362" t="s">
        <v>1677</v>
      </c>
      <c r="B7" s="363"/>
      <c r="C7" s="364">
        <f>'数据-取费表'!B2</f>
        <v>45772</v>
      </c>
      <c r="D7" s="365">
        <v>100</v>
      </c>
      <c r="E7" s="366">
        <f>C7</f>
        <v>45772</v>
      </c>
      <c r="F7" s="367">
        <f>SUMIF(59:59,YEAR(E7)&amp;"-"&amp;MONTH(E7),60:60)</f>
        <v>100</v>
      </c>
      <c r="G7" s="366">
        <f>C7</f>
        <v>45772</v>
      </c>
      <c r="H7" s="365">
        <f>SUMIF(59:59,YEAR(G7)&amp;"-"&amp;MONTH(G7),60:60)</f>
        <v>100</v>
      </c>
      <c r="I7" s="366">
        <f>C7</f>
        <v>45772</v>
      </c>
      <c r="J7" s="365">
        <f>SUMIF(59:59,YEAR(I7)&amp;"-"&amp;MONTH(I7),60:60)</f>
        <v>100</v>
      </c>
      <c r="K7" s="560"/>
      <c r="L7" s="2715"/>
      <c r="M7" s="2716"/>
      <c r="N7" s="2716"/>
      <c r="O7" s="2716"/>
      <c r="P7" s="3733" t="s">
        <v>1678</v>
      </c>
      <c r="Q7" s="3736"/>
      <c r="R7" s="700" t="s">
        <v>14</v>
      </c>
      <c r="S7" s="701">
        <f t="shared" ref="S7:S15" si="0">F7</f>
        <v>100</v>
      </c>
      <c r="T7" s="700" t="s">
        <v>14</v>
      </c>
      <c r="U7" s="701">
        <f t="shared" ref="U7:U15" si="1">H7</f>
        <v>100</v>
      </c>
      <c r="V7" s="700" t="s">
        <v>14</v>
      </c>
      <c r="W7" s="701">
        <f t="shared" ref="W7:W15" si="2">J7</f>
        <v>100</v>
      </c>
      <c r="X7" s="702"/>
      <c r="Y7" s="3735" t="s">
        <v>1678</v>
      </c>
      <c r="Z7" s="3734"/>
      <c r="AA7" s="703">
        <f>D7/F7</f>
        <v>1</v>
      </c>
      <c r="AB7" s="703">
        <f>D7/H7</f>
        <v>1</v>
      </c>
      <c r="AC7" s="1958">
        <f>D7/J7</f>
        <v>1</v>
      </c>
    </row>
    <row r="8" spans="1:29" s="108" customFormat="1" ht="15.75" thickBot="1">
      <c r="A8" s="362" t="s">
        <v>1679</v>
      </c>
      <c r="B8" s="363"/>
      <c r="C8" s="368" t="s">
        <v>3434</v>
      </c>
      <c r="D8" s="365">
        <v>100</v>
      </c>
      <c r="E8" s="368" t="s">
        <v>3441</v>
      </c>
      <c r="F8" s="367">
        <f>SUMIF(62:62,E8,63:63)-SUMIF(62:62,C8,63:63)+100</f>
        <v>103</v>
      </c>
      <c r="G8" s="368" t="s">
        <v>3441</v>
      </c>
      <c r="H8" s="365">
        <f>SUMIF(62:62,G8,63:63)-SUMIF(62:62,C8,63:63)+100</f>
        <v>103</v>
      </c>
      <c r="I8" s="368" t="s">
        <v>3441</v>
      </c>
      <c r="J8" s="365">
        <f>SUMIF(62:62,I8,63:63)-SUMIF(62:62,C8,63:63)+100</f>
        <v>103</v>
      </c>
      <c r="K8" s="560"/>
      <c r="L8" s="2715"/>
      <c r="M8" s="2716"/>
      <c r="N8" s="2716"/>
      <c r="O8" s="2716"/>
      <c r="P8" s="3733" t="s">
        <v>1681</v>
      </c>
      <c r="Q8" s="3734"/>
      <c r="R8" s="700" t="s">
        <v>14</v>
      </c>
      <c r="S8" s="701">
        <f t="shared" si="0"/>
        <v>103</v>
      </c>
      <c r="T8" s="700" t="s">
        <v>14</v>
      </c>
      <c r="U8" s="701">
        <f t="shared" si="1"/>
        <v>103</v>
      </c>
      <c r="V8" s="700" t="s">
        <v>14</v>
      </c>
      <c r="W8" s="701">
        <f t="shared" si="2"/>
        <v>103</v>
      </c>
      <c r="X8" s="702"/>
      <c r="Y8" s="3735" t="s">
        <v>1681</v>
      </c>
      <c r="Z8" s="3734"/>
      <c r="AA8" s="703">
        <f t="shared" ref="AA8:AA47" si="3">D8/F8</f>
        <v>0.970873786407767</v>
      </c>
      <c r="AB8" s="703">
        <f t="shared" ref="AB8:AB47" si="4">D8/H8</f>
        <v>0.970873786407767</v>
      </c>
      <c r="AC8" s="1958">
        <f t="shared" ref="AC8:AC47" si="5">D8/J8</f>
        <v>0.970873786407767</v>
      </c>
    </row>
    <row r="9" spans="1:29" s="108" customFormat="1">
      <c r="A9" s="369" t="s">
        <v>1682</v>
      </c>
      <c r="B9" s="63" t="s">
        <v>1683</v>
      </c>
      <c r="C9" s="3476"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3" t="s">
        <v>1684</v>
      </c>
      <c r="Q9" s="3466" t="str">
        <f t="shared" ref="Q9:Q15" si="6">B9</f>
        <v>用途</v>
      </c>
      <c r="R9" s="700" t="s">
        <v>14</v>
      </c>
      <c r="S9" s="701">
        <f t="shared" si="0"/>
        <v>100</v>
      </c>
      <c r="T9" s="700" t="s">
        <v>14</v>
      </c>
      <c r="U9" s="701">
        <f t="shared" si="1"/>
        <v>100</v>
      </c>
      <c r="V9" s="700" t="s">
        <v>14</v>
      </c>
      <c r="W9" s="701">
        <f t="shared" si="2"/>
        <v>100</v>
      </c>
      <c r="X9" s="702"/>
      <c r="Y9" s="3573" t="s">
        <v>1685</v>
      </c>
      <c r="Z9" s="3465" t="str">
        <f t="shared" ref="Z9:Z15" si="7">Q9</f>
        <v>用途</v>
      </c>
      <c r="AA9" s="703">
        <f t="shared" si="3"/>
        <v>1</v>
      </c>
      <c r="AB9" s="703">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3"/>
      <c r="Q10" s="3466" t="str">
        <f t="shared" si="6"/>
        <v>土地使用年限（年）</v>
      </c>
      <c r="R10" s="700" t="s">
        <v>14</v>
      </c>
      <c r="S10" s="701">
        <f t="shared" si="0"/>
        <v>100</v>
      </c>
      <c r="T10" s="700" t="s">
        <v>14</v>
      </c>
      <c r="U10" s="701">
        <f t="shared" si="1"/>
        <v>100</v>
      </c>
      <c r="V10" s="700" t="s">
        <v>14</v>
      </c>
      <c r="W10" s="701">
        <f t="shared" si="2"/>
        <v>100</v>
      </c>
      <c r="X10" s="702"/>
      <c r="Y10" s="3573"/>
      <c r="Z10" s="3465"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3466" t="str">
        <f t="shared" si="6"/>
        <v>容积率</v>
      </c>
      <c r="R11" s="700" t="s">
        <v>14</v>
      </c>
      <c r="S11" s="701">
        <f t="shared" si="0"/>
        <v>100</v>
      </c>
      <c r="T11" s="700" t="s">
        <v>14</v>
      </c>
      <c r="U11" s="701">
        <f t="shared" si="1"/>
        <v>100</v>
      </c>
      <c r="V11" s="700" t="s">
        <v>14</v>
      </c>
      <c r="W11" s="701">
        <f t="shared" si="2"/>
        <v>100</v>
      </c>
      <c r="X11" s="702"/>
      <c r="Y11" s="3573"/>
      <c r="Z11" s="3465"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3"/>
      <c r="Q12" s="3466">
        <f t="shared" si="6"/>
        <v>111</v>
      </c>
      <c r="R12" s="700" t="s">
        <v>14</v>
      </c>
      <c r="S12" s="701">
        <f t="shared" si="0"/>
        <v>100</v>
      </c>
      <c r="T12" s="700" t="s">
        <v>14</v>
      </c>
      <c r="U12" s="701">
        <f t="shared" si="1"/>
        <v>100</v>
      </c>
      <c r="V12" s="700" t="s">
        <v>14</v>
      </c>
      <c r="W12" s="701">
        <f t="shared" si="2"/>
        <v>100</v>
      </c>
      <c r="X12" s="702"/>
      <c r="Y12" s="3573"/>
      <c r="Z12" s="3465">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3"/>
      <c r="Q13" s="3466">
        <f t="shared" si="6"/>
        <v>111</v>
      </c>
      <c r="R13" s="700" t="s">
        <v>14</v>
      </c>
      <c r="S13" s="701">
        <f t="shared" si="0"/>
        <v>100</v>
      </c>
      <c r="T13" s="700" t="s">
        <v>14</v>
      </c>
      <c r="U13" s="701">
        <f t="shared" si="1"/>
        <v>100</v>
      </c>
      <c r="V13" s="700" t="s">
        <v>14</v>
      </c>
      <c r="W13" s="701">
        <f t="shared" si="2"/>
        <v>100</v>
      </c>
      <c r="X13" s="702"/>
      <c r="Y13" s="3573"/>
      <c r="Z13" s="3465">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3"/>
      <c r="Q14" s="3466">
        <f t="shared" si="6"/>
        <v>111</v>
      </c>
      <c r="R14" s="700" t="s">
        <v>14</v>
      </c>
      <c r="S14" s="701">
        <f t="shared" si="0"/>
        <v>100</v>
      </c>
      <c r="T14" s="700" t="s">
        <v>14</v>
      </c>
      <c r="U14" s="701">
        <f t="shared" si="1"/>
        <v>100</v>
      </c>
      <c r="V14" s="700" t="s">
        <v>14</v>
      </c>
      <c r="W14" s="701">
        <f t="shared" si="2"/>
        <v>100</v>
      </c>
      <c r="X14" s="702"/>
      <c r="Y14" s="3573"/>
      <c r="Z14" s="3465">
        <f t="shared" si="7"/>
        <v>111</v>
      </c>
      <c r="AA14" s="703">
        <f t="shared" si="3"/>
        <v>1</v>
      </c>
      <c r="AB14" s="703">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9" t="s">
        <v>1689</v>
      </c>
      <c r="Q15" s="3470" t="str">
        <f t="shared" si="6"/>
        <v>办公集聚程度</v>
      </c>
      <c r="R15" s="704" t="s">
        <v>14</v>
      </c>
      <c r="S15" s="705">
        <f t="shared" si="0"/>
        <v>100</v>
      </c>
      <c r="T15" s="704" t="s">
        <v>14</v>
      </c>
      <c r="U15" s="705">
        <f t="shared" si="1"/>
        <v>100</v>
      </c>
      <c r="V15" s="704" t="s">
        <v>14</v>
      </c>
      <c r="W15" s="705">
        <f t="shared" si="2"/>
        <v>100</v>
      </c>
      <c r="X15" s="3467"/>
      <c r="Y15" s="3701" t="s">
        <v>1689</v>
      </c>
      <c r="Z15" s="3468" t="str">
        <f t="shared" si="7"/>
        <v>办公集聚程度</v>
      </c>
      <c r="AA15" s="3471">
        <f t="shared" si="3"/>
        <v>1</v>
      </c>
      <c r="AB15" s="3471">
        <f t="shared" si="4"/>
        <v>1</v>
      </c>
      <c r="AC15" s="1961">
        <f t="shared" si="5"/>
        <v>1</v>
      </c>
    </row>
    <row r="16" spans="1:29" ht="15">
      <c r="A16" s="379"/>
      <c r="B16" s="578"/>
      <c r="C16" s="1903" t="s">
        <v>3485</v>
      </c>
      <c r="D16" s="399"/>
      <c r="E16" s="1903" t="s">
        <v>3485</v>
      </c>
      <c r="F16" s="399"/>
      <c r="G16" s="1903" t="s">
        <v>3485</v>
      </c>
      <c r="H16" s="401"/>
      <c r="I16" s="1903" t="s">
        <v>3485</v>
      </c>
      <c r="J16" s="399"/>
      <c r="K16" s="564"/>
      <c r="L16" s="2720"/>
      <c r="M16" s="2714"/>
      <c r="N16" s="2714"/>
      <c r="O16" s="2714"/>
      <c r="P16" s="3700"/>
      <c r="Q16" s="3470"/>
      <c r="R16" s="704"/>
      <c r="S16" s="705"/>
      <c r="T16" s="704"/>
      <c r="U16" s="705"/>
      <c r="V16" s="704"/>
      <c r="W16" s="705"/>
      <c r="X16" s="3467"/>
      <c r="Y16" s="3702"/>
      <c r="Z16" s="3468"/>
      <c r="AA16" s="3471">
        <v>1</v>
      </c>
      <c r="AB16" s="3471">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0"/>
      <c r="Q17" s="3470" t="str">
        <f>B17</f>
        <v>交通便捷度</v>
      </c>
      <c r="R17" s="704" t="s">
        <v>14</v>
      </c>
      <c r="S17" s="705">
        <f>F17</f>
        <v>100</v>
      </c>
      <c r="T17" s="704" t="s">
        <v>14</v>
      </c>
      <c r="U17" s="705">
        <f>H17</f>
        <v>100</v>
      </c>
      <c r="V17" s="704" t="s">
        <v>14</v>
      </c>
      <c r="W17" s="705">
        <f>J17</f>
        <v>100</v>
      </c>
      <c r="X17" s="3467"/>
      <c r="Y17" s="3702"/>
      <c r="Z17" s="3468" t="str">
        <f>Q17</f>
        <v>交通便捷度</v>
      </c>
      <c r="AA17" s="3471">
        <f t="shared" si="3"/>
        <v>1</v>
      </c>
      <c r="AB17" s="3471">
        <f t="shared" si="4"/>
        <v>1</v>
      </c>
      <c r="AC17" s="1961">
        <f t="shared" si="5"/>
        <v>1</v>
      </c>
    </row>
    <row r="18" spans="1:29" ht="15">
      <c r="A18" s="379"/>
      <c r="B18" s="580"/>
      <c r="C18" s="1963" t="s">
        <v>3485</v>
      </c>
      <c r="D18" s="401"/>
      <c r="E18" s="1963" t="s">
        <v>3485</v>
      </c>
      <c r="F18" s="401"/>
      <c r="G18" s="1963" t="s">
        <v>3485</v>
      </c>
      <c r="H18" s="399"/>
      <c r="I18" s="1963" t="s">
        <v>3485</v>
      </c>
      <c r="J18" s="399"/>
      <c r="K18" s="564"/>
      <c r="L18" s="2720"/>
      <c r="M18" s="2714"/>
      <c r="N18" s="2714"/>
      <c r="O18" s="2714"/>
      <c r="P18" s="3700"/>
      <c r="Q18" s="3470"/>
      <c r="R18" s="704"/>
      <c r="S18" s="705"/>
      <c r="T18" s="704"/>
      <c r="U18" s="705"/>
      <c r="V18" s="704"/>
      <c r="W18" s="705"/>
      <c r="X18" s="3467"/>
      <c r="Y18" s="3702"/>
      <c r="Z18" s="3468"/>
      <c r="AA18" s="3471">
        <v>1</v>
      </c>
      <c r="AB18" s="3471">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0"/>
      <c r="Q19" s="3470" t="str">
        <f>B19</f>
        <v>公共配套设施</v>
      </c>
      <c r="R19" s="704" t="s">
        <v>14</v>
      </c>
      <c r="S19" s="705">
        <f>F19</f>
        <v>100</v>
      </c>
      <c r="T19" s="704" t="s">
        <v>14</v>
      </c>
      <c r="U19" s="705">
        <f>H19</f>
        <v>100</v>
      </c>
      <c r="V19" s="704" t="s">
        <v>14</v>
      </c>
      <c r="W19" s="705">
        <f>J19</f>
        <v>100</v>
      </c>
      <c r="X19" s="3467"/>
      <c r="Y19" s="3702"/>
      <c r="Z19" s="3468" t="str">
        <f>Q19</f>
        <v>公共配套设施</v>
      </c>
      <c r="AA19" s="3471">
        <f t="shared" si="3"/>
        <v>1</v>
      </c>
      <c r="AB19" s="3471">
        <f t="shared" si="4"/>
        <v>1</v>
      </c>
      <c r="AC19" s="1961">
        <f t="shared" si="5"/>
        <v>1</v>
      </c>
    </row>
    <row r="20" spans="1:29" ht="15">
      <c r="A20" s="379"/>
      <c r="B20" s="580"/>
      <c r="C20" s="1903" t="s">
        <v>3485</v>
      </c>
      <c r="D20" s="399"/>
      <c r="E20" s="1903" t="s">
        <v>3485</v>
      </c>
      <c r="F20" s="399"/>
      <c r="G20" s="1903" t="s">
        <v>3485</v>
      </c>
      <c r="H20" s="399"/>
      <c r="I20" s="1903" t="s">
        <v>3485</v>
      </c>
      <c r="J20" s="399"/>
      <c r="K20" s="564"/>
      <c r="L20" s="2720"/>
      <c r="M20" s="2714"/>
      <c r="N20" s="2714"/>
      <c r="O20" s="2714"/>
      <c r="P20" s="3700"/>
      <c r="Q20" s="3470"/>
      <c r="R20" s="704"/>
      <c r="S20" s="705"/>
      <c r="T20" s="704"/>
      <c r="U20" s="705"/>
      <c r="V20" s="704"/>
      <c r="W20" s="705"/>
      <c r="X20" s="3467"/>
      <c r="Y20" s="3702"/>
      <c r="Z20" s="3468"/>
      <c r="AA20" s="3471">
        <v>1</v>
      </c>
      <c r="AB20" s="3471">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0"/>
      <c r="Q21" s="3470" t="str">
        <f>B21</f>
        <v>基础设施水平</v>
      </c>
      <c r="R21" s="704" t="s">
        <v>14</v>
      </c>
      <c r="S21" s="705">
        <f>F21</f>
        <v>100</v>
      </c>
      <c r="T21" s="704" t="s">
        <v>14</v>
      </c>
      <c r="U21" s="705">
        <f>H21</f>
        <v>100</v>
      </c>
      <c r="V21" s="704" t="s">
        <v>14</v>
      </c>
      <c r="W21" s="705">
        <f>J21</f>
        <v>100</v>
      </c>
      <c r="X21" s="3467"/>
      <c r="Y21" s="3702"/>
      <c r="Z21" s="3468" t="str">
        <f>Q21</f>
        <v>基础设施水平</v>
      </c>
      <c r="AA21" s="3471">
        <f t="shared" ref="AA21" si="8">D21/F21</f>
        <v>1</v>
      </c>
      <c r="AB21" s="3471">
        <f t="shared" ref="AB21" si="9">D21/H21</f>
        <v>1</v>
      </c>
      <c r="AC21" s="1961">
        <f t="shared" ref="AC21" si="10">D21/J21</f>
        <v>1</v>
      </c>
    </row>
    <row r="22" spans="1:29" ht="15">
      <c r="A22" s="379"/>
      <c r="B22" s="581"/>
      <c r="C22" s="1963" t="s">
        <v>3458</v>
      </c>
      <c r="D22" s="399"/>
      <c r="E22" s="1963" t="s">
        <v>3458</v>
      </c>
      <c r="F22" s="399"/>
      <c r="G22" s="1963" t="s">
        <v>3458</v>
      </c>
      <c r="H22" s="399"/>
      <c r="I22" s="1963" t="s">
        <v>3458</v>
      </c>
      <c r="J22" s="399"/>
      <c r="K22" s="1129"/>
      <c r="L22" s="2720"/>
      <c r="M22" s="2714"/>
      <c r="N22" s="2714"/>
      <c r="O22" s="2714"/>
      <c r="P22" s="3700"/>
      <c r="Q22" s="3470"/>
      <c r="R22" s="704"/>
      <c r="S22" s="705"/>
      <c r="T22" s="704"/>
      <c r="U22" s="705"/>
      <c r="V22" s="704"/>
      <c r="W22" s="705"/>
      <c r="X22" s="3467"/>
      <c r="Y22" s="3702"/>
      <c r="Z22" s="3468"/>
      <c r="AA22" s="3471">
        <v>1</v>
      </c>
      <c r="AB22" s="3471">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0"/>
      <c r="Q23" s="3470" t="str">
        <f>B23</f>
        <v>环境质量</v>
      </c>
      <c r="R23" s="704" t="s">
        <v>14</v>
      </c>
      <c r="S23" s="705">
        <f>F23</f>
        <v>100</v>
      </c>
      <c r="T23" s="704" t="s">
        <v>14</v>
      </c>
      <c r="U23" s="705">
        <f>H23</f>
        <v>100</v>
      </c>
      <c r="V23" s="704" t="s">
        <v>14</v>
      </c>
      <c r="W23" s="705">
        <f>J23</f>
        <v>100</v>
      </c>
      <c r="X23" s="3467"/>
      <c r="Y23" s="3702"/>
      <c r="Z23" s="3468" t="str">
        <f>Q23</f>
        <v>环境质量</v>
      </c>
      <c r="AA23" s="3471">
        <f t="shared" si="3"/>
        <v>1</v>
      </c>
      <c r="AB23" s="3471">
        <f t="shared" si="4"/>
        <v>1</v>
      </c>
      <c r="AC23" s="1961">
        <f t="shared" si="5"/>
        <v>1</v>
      </c>
    </row>
    <row r="24" spans="1:29" ht="15">
      <c r="A24" s="379"/>
      <c r="B24" s="581"/>
      <c r="C24" s="1903" t="s">
        <v>3465</v>
      </c>
      <c r="D24" s="399"/>
      <c r="E24" s="1903" t="s">
        <v>3465</v>
      </c>
      <c r="F24" s="399"/>
      <c r="G24" s="1903" t="s">
        <v>3465</v>
      </c>
      <c r="H24" s="399"/>
      <c r="I24" s="1903" t="s">
        <v>3465</v>
      </c>
      <c r="J24" s="399"/>
      <c r="K24" s="564"/>
      <c r="L24" s="2720"/>
      <c r="M24" s="2714"/>
      <c r="N24" s="2714"/>
      <c r="O24" s="2714"/>
      <c r="P24" s="3700"/>
      <c r="Q24" s="3470"/>
      <c r="R24" s="704"/>
      <c r="S24" s="705"/>
      <c r="T24" s="704"/>
      <c r="U24" s="705"/>
      <c r="V24" s="704"/>
      <c r="W24" s="705"/>
      <c r="X24" s="3467"/>
      <c r="Y24" s="3702"/>
      <c r="Z24" s="3468"/>
      <c r="AA24" s="3471">
        <v>1</v>
      </c>
      <c r="AB24" s="3471">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0"/>
      <c r="Q25" s="3470" t="str">
        <f>B25</f>
        <v>毗邻道路的类型与等级</v>
      </c>
      <c r="R25" s="704" t="s">
        <v>14</v>
      </c>
      <c r="S25" s="705">
        <f>F25</f>
        <v>100</v>
      </c>
      <c r="T25" s="704" t="s">
        <v>14</v>
      </c>
      <c r="U25" s="705">
        <f>H25</f>
        <v>100</v>
      </c>
      <c r="V25" s="704" t="s">
        <v>14</v>
      </c>
      <c r="W25" s="705">
        <f>J25</f>
        <v>100</v>
      </c>
      <c r="X25" s="3467"/>
      <c r="Y25" s="3702"/>
      <c r="Z25" s="3468"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20"/>
      <c r="M26" s="2714"/>
      <c r="N26" s="2714"/>
      <c r="O26" s="2714"/>
      <c r="P26" s="3700"/>
      <c r="Q26" s="3470"/>
      <c r="R26" s="704"/>
      <c r="S26" s="705"/>
      <c r="T26" s="704"/>
      <c r="U26" s="705"/>
      <c r="V26" s="704"/>
      <c r="W26" s="705"/>
      <c r="X26" s="3467"/>
      <c r="Y26" s="3702"/>
      <c r="Z26" s="3468"/>
      <c r="AA26" s="3471">
        <v>1</v>
      </c>
      <c r="AB26" s="3471">
        <v>1</v>
      </c>
      <c r="AC26" s="1961">
        <v>1</v>
      </c>
    </row>
    <row r="27" spans="1:29" ht="15">
      <c r="A27" s="379"/>
      <c r="B27" s="580" t="s">
        <v>1781</v>
      </c>
      <c r="C27" s="582" t="s">
        <v>3445</v>
      </c>
      <c r="D27" s="386">
        <v>100</v>
      </c>
      <c r="E27" s="565" t="s">
        <v>3445</v>
      </c>
      <c r="F27" s="386">
        <f>SUMIF(89:89,E27,90:90)-SUMIF(89:89,C27,90:90)+100</f>
        <v>100</v>
      </c>
      <c r="G27" s="582" t="s">
        <v>3487</v>
      </c>
      <c r="H27" s="386">
        <f>SUMIF(89:89,G27,90:90)-SUMIF(89:89,C27,90:90)+100</f>
        <v>102</v>
      </c>
      <c r="I27" s="565" t="s">
        <v>3487</v>
      </c>
      <c r="J27" s="386">
        <f>SUMIF(89:89,I27,90:90)-SUMIF(89:89,C27,90:90)+100</f>
        <v>102</v>
      </c>
      <c r="K27" s="561">
        <v>2</v>
      </c>
      <c r="L27" s="2720"/>
      <c r="M27" s="2714"/>
      <c r="N27" s="2714"/>
      <c r="O27" s="2714"/>
      <c r="P27" s="3700"/>
      <c r="Q27" s="3470" t="str">
        <f t="shared" ref="Q27:Q47" si="11">B27</f>
        <v>楼层</v>
      </c>
      <c r="R27" s="704" t="s">
        <v>14</v>
      </c>
      <c r="S27" s="705">
        <f>F27</f>
        <v>100</v>
      </c>
      <c r="T27" s="704" t="s">
        <v>14</v>
      </c>
      <c r="U27" s="705">
        <f>H27</f>
        <v>102</v>
      </c>
      <c r="V27" s="704" t="s">
        <v>14</v>
      </c>
      <c r="W27" s="705">
        <f>J27</f>
        <v>102</v>
      </c>
      <c r="X27" s="3467"/>
      <c r="Y27" s="3702"/>
      <c r="Z27" s="3468" t="str">
        <f>Q27</f>
        <v>楼层</v>
      </c>
      <c r="AA27" s="3471">
        <f t="shared" si="3"/>
        <v>1</v>
      </c>
      <c r="AB27" s="3471">
        <f t="shared" si="4"/>
        <v>0.98039215686274506</v>
      </c>
      <c r="AC27" s="1961">
        <f t="shared" si="5"/>
        <v>0.98039215686274506</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0"/>
      <c r="Q28" s="3466" t="str">
        <f t="shared" si="11"/>
        <v>朝向</v>
      </c>
      <c r="R28" s="700" t="s">
        <v>14</v>
      </c>
      <c r="S28" s="701">
        <f>F28</f>
        <v>100</v>
      </c>
      <c r="T28" s="700" t="s">
        <v>14</v>
      </c>
      <c r="U28" s="701">
        <f>H28</f>
        <v>100</v>
      </c>
      <c r="V28" s="700" t="s">
        <v>14</v>
      </c>
      <c r="W28" s="701">
        <f>J28</f>
        <v>100</v>
      </c>
      <c r="X28" s="702"/>
      <c r="Y28" s="3702"/>
      <c r="Z28" s="3465"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0"/>
      <c r="Q29" s="3470">
        <f t="shared" si="11"/>
        <v>111</v>
      </c>
      <c r="R29" s="704" t="s">
        <v>14</v>
      </c>
      <c r="S29" s="705">
        <f t="shared" ref="S29:S47" si="12">F29</f>
        <v>100</v>
      </c>
      <c r="T29" s="704" t="s">
        <v>14</v>
      </c>
      <c r="U29" s="705">
        <f t="shared" ref="U29:U47" si="13">H29</f>
        <v>100</v>
      </c>
      <c r="V29" s="704" t="s">
        <v>14</v>
      </c>
      <c r="W29" s="705">
        <f t="shared" ref="W29:W47" si="14">J29</f>
        <v>100</v>
      </c>
      <c r="X29" s="3467"/>
      <c r="Y29" s="3702"/>
      <c r="Z29" s="3468">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0"/>
      <c r="Q30" s="3470">
        <f t="shared" si="11"/>
        <v>111</v>
      </c>
      <c r="R30" s="704" t="s">
        <v>14</v>
      </c>
      <c r="S30" s="705">
        <f t="shared" si="12"/>
        <v>100</v>
      </c>
      <c r="T30" s="704" t="s">
        <v>14</v>
      </c>
      <c r="U30" s="705">
        <f t="shared" si="13"/>
        <v>100</v>
      </c>
      <c r="V30" s="704" t="s">
        <v>14</v>
      </c>
      <c r="W30" s="705">
        <f t="shared" si="14"/>
        <v>100</v>
      </c>
      <c r="X30" s="3467"/>
      <c r="Y30" s="3702"/>
      <c r="Z30" s="3468">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0"/>
      <c r="Q31" s="3470">
        <f t="shared" si="11"/>
        <v>111</v>
      </c>
      <c r="R31" s="704" t="s">
        <v>14</v>
      </c>
      <c r="S31" s="705">
        <f t="shared" si="12"/>
        <v>100</v>
      </c>
      <c r="T31" s="704" t="s">
        <v>14</v>
      </c>
      <c r="U31" s="705">
        <f t="shared" si="13"/>
        <v>100</v>
      </c>
      <c r="V31" s="704" t="s">
        <v>14</v>
      </c>
      <c r="W31" s="705">
        <f t="shared" si="14"/>
        <v>100</v>
      </c>
      <c r="X31" s="3467"/>
      <c r="Y31" s="3702"/>
      <c r="Z31" s="3468">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0"/>
      <c r="Q32" s="3470">
        <f t="shared" si="11"/>
        <v>111</v>
      </c>
      <c r="R32" s="704" t="s">
        <v>14</v>
      </c>
      <c r="S32" s="705">
        <f t="shared" si="12"/>
        <v>100</v>
      </c>
      <c r="T32" s="704" t="s">
        <v>14</v>
      </c>
      <c r="U32" s="705">
        <f t="shared" si="13"/>
        <v>100</v>
      </c>
      <c r="V32" s="704" t="s">
        <v>14</v>
      </c>
      <c r="W32" s="705">
        <f t="shared" si="14"/>
        <v>100</v>
      </c>
      <c r="X32" s="3467"/>
      <c r="Y32" s="3702"/>
      <c r="Z32" s="3468">
        <f t="shared" si="15"/>
        <v>111</v>
      </c>
      <c r="AA32" s="3471">
        <f t="shared" si="3"/>
        <v>1</v>
      </c>
      <c r="AB32" s="3471">
        <f t="shared" si="4"/>
        <v>1</v>
      </c>
      <c r="AC32" s="1961">
        <f t="shared" si="5"/>
        <v>1</v>
      </c>
    </row>
    <row r="33" spans="1:29" ht="15">
      <c r="A33" s="391" t="s">
        <v>1692</v>
      </c>
      <c r="B33" s="63" t="s">
        <v>1815</v>
      </c>
      <c r="C33" s="1966" t="s">
        <v>3447</v>
      </c>
      <c r="D33" s="418">
        <v>100</v>
      </c>
      <c r="E33" s="1966" t="s">
        <v>3447</v>
      </c>
      <c r="F33" s="412">
        <f>SUMIF(101:101,E33,102:102)-SUMIF(101:101,C33,102:102)+100</f>
        <v>100</v>
      </c>
      <c r="G33" s="1966" t="s">
        <v>3447</v>
      </c>
      <c r="H33" s="386">
        <f>SUMIF(101:101,G33,102:102)-SUMIF(101:101,C33,102:102)+100</f>
        <v>100</v>
      </c>
      <c r="I33" s="1966" t="s">
        <v>3447</v>
      </c>
      <c r="J33" s="418">
        <f>SUMIF(101:101,I33,102:102)-SUMIF(101:101,C33,102:102)+100</f>
        <v>100</v>
      </c>
      <c r="K33" s="561">
        <v>2</v>
      </c>
      <c r="L33" s="2720"/>
      <c r="M33" s="2714"/>
      <c r="N33" s="2714"/>
      <c r="O33" s="2714"/>
      <c r="P33" s="3703" t="s">
        <v>1694</v>
      </c>
      <c r="Q33" s="3470" t="str">
        <f t="shared" si="11"/>
        <v>建筑类型</v>
      </c>
      <c r="R33" s="704" t="s">
        <v>14</v>
      </c>
      <c r="S33" s="705">
        <f t="shared" si="12"/>
        <v>100</v>
      </c>
      <c r="T33" s="704" t="s">
        <v>14</v>
      </c>
      <c r="U33" s="705">
        <f t="shared" si="13"/>
        <v>100</v>
      </c>
      <c r="V33" s="704" t="s">
        <v>14</v>
      </c>
      <c r="W33" s="705">
        <f t="shared" si="14"/>
        <v>100</v>
      </c>
      <c r="X33" s="3467"/>
      <c r="Y33" s="3706" t="s">
        <v>1694</v>
      </c>
      <c r="Z33" s="3468" t="str">
        <f t="shared" si="15"/>
        <v>建筑类型</v>
      </c>
      <c r="AA33" s="3471">
        <f t="shared" si="3"/>
        <v>1</v>
      </c>
      <c r="AB33" s="3471">
        <f t="shared" si="4"/>
        <v>1</v>
      </c>
      <c r="AC33" s="1961">
        <f t="shared" si="5"/>
        <v>1</v>
      </c>
    </row>
    <row r="34" spans="1:29" s="422" customFormat="1" ht="15">
      <c r="A34" s="419"/>
      <c r="B34" s="375" t="s">
        <v>1695</v>
      </c>
      <c r="C34" s="420">
        <f>'数据-汇总表'!E3</f>
        <v>62.62</v>
      </c>
      <c r="D34" s="127">
        <v>100</v>
      </c>
      <c r="E34" s="420">
        <v>81</v>
      </c>
      <c r="F34" s="376">
        <f>LOOKUP(E34,104:104,105:105)-LOOKUP(C34,104:104,105:105)+100</f>
        <v>100</v>
      </c>
      <c r="G34" s="420">
        <v>180</v>
      </c>
      <c r="H34" s="127">
        <f>LOOKUP(G34,104:104,105:105)-LOOKUP(C34,104:104,105:105)+100</f>
        <v>100</v>
      </c>
      <c r="I34" s="420">
        <v>128</v>
      </c>
      <c r="J34" s="127">
        <f>LOOKUP(I34,104:104,105:105)-LOOKUP(C34,104:104,105:105)+100</f>
        <v>100</v>
      </c>
      <c r="K34" s="562"/>
      <c r="L34" s="2719"/>
      <c r="M34" s="2721"/>
      <c r="N34" s="2721"/>
      <c r="O34" s="2721"/>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3471">
        <f t="shared" si="3"/>
        <v>1</v>
      </c>
      <c r="AB34" s="3471">
        <f t="shared" si="4"/>
        <v>1</v>
      </c>
      <c r="AC34" s="1961">
        <f t="shared" si="5"/>
        <v>1</v>
      </c>
    </row>
    <row r="35" spans="1:29" ht="15">
      <c r="A35" s="423"/>
      <c r="B35" s="375" t="s">
        <v>1696</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4"/>
      <c r="Q35" s="3470" t="str">
        <f t="shared" si="11"/>
        <v>建筑结构</v>
      </c>
      <c r="R35" s="704" t="s">
        <v>14</v>
      </c>
      <c r="S35" s="705">
        <f t="shared" si="12"/>
        <v>100</v>
      </c>
      <c r="T35" s="704" t="s">
        <v>14</v>
      </c>
      <c r="U35" s="705">
        <f t="shared" si="13"/>
        <v>100</v>
      </c>
      <c r="V35" s="704" t="s">
        <v>14</v>
      </c>
      <c r="W35" s="705">
        <f t="shared" si="14"/>
        <v>100</v>
      </c>
      <c r="X35" s="3467"/>
      <c r="Y35" s="3706"/>
      <c r="Z35" s="3468" t="str">
        <f t="shared" si="15"/>
        <v>建筑结构</v>
      </c>
      <c r="AA35" s="3471">
        <f t="shared" si="3"/>
        <v>1</v>
      </c>
      <c r="AB35" s="3471">
        <f t="shared" si="4"/>
        <v>1</v>
      </c>
      <c r="AC35" s="1961">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1</v>
      </c>
      <c r="L36" s="2720"/>
      <c r="M36" s="2714"/>
      <c r="N36" s="2714"/>
      <c r="O36" s="2714"/>
      <c r="P36" s="3704"/>
      <c r="Q36" s="3470" t="str">
        <f t="shared" si="11"/>
        <v>公共部分装修</v>
      </c>
      <c r="R36" s="704" t="s">
        <v>14</v>
      </c>
      <c r="S36" s="705">
        <f t="shared" si="12"/>
        <v>100</v>
      </c>
      <c r="T36" s="704" t="s">
        <v>14</v>
      </c>
      <c r="U36" s="705">
        <f t="shared" si="13"/>
        <v>100</v>
      </c>
      <c r="V36" s="704" t="s">
        <v>14</v>
      </c>
      <c r="W36" s="705">
        <f t="shared" si="14"/>
        <v>100</v>
      </c>
      <c r="X36" s="3467"/>
      <c r="Y36" s="3706"/>
      <c r="Z36" s="3468" t="str">
        <f t="shared" si="15"/>
        <v>公共部分装修</v>
      </c>
      <c r="AA36" s="3471">
        <f t="shared" si="3"/>
        <v>1</v>
      </c>
      <c r="AB36" s="3471">
        <f t="shared" si="4"/>
        <v>1</v>
      </c>
      <c r="AC36" s="1961">
        <f t="shared" si="5"/>
        <v>1</v>
      </c>
    </row>
    <row r="37" spans="1:29" ht="15">
      <c r="A37" s="423"/>
      <c r="B37" s="375" t="s">
        <v>1784</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4"/>
      <c r="Q37" s="3470" t="str">
        <f t="shared" si="11"/>
        <v>成新度</v>
      </c>
      <c r="R37" s="704" t="s">
        <v>14</v>
      </c>
      <c r="S37" s="705">
        <f t="shared" si="12"/>
        <v>100</v>
      </c>
      <c r="T37" s="704" t="s">
        <v>14</v>
      </c>
      <c r="U37" s="705">
        <f t="shared" si="13"/>
        <v>100</v>
      </c>
      <c r="V37" s="704" t="s">
        <v>14</v>
      </c>
      <c r="W37" s="705">
        <f t="shared" si="14"/>
        <v>100</v>
      </c>
      <c r="X37" s="3467"/>
      <c r="Y37" s="3706"/>
      <c r="Z37" s="3468" t="str">
        <f t="shared" si="15"/>
        <v>成新度</v>
      </c>
      <c r="AA37" s="3471">
        <f t="shared" si="3"/>
        <v>1</v>
      </c>
      <c r="AB37" s="3471">
        <f t="shared" si="4"/>
        <v>1</v>
      </c>
      <c r="AC37" s="1961">
        <f t="shared" si="5"/>
        <v>1</v>
      </c>
    </row>
    <row r="38" spans="1:29" s="108" customFormat="1" ht="15" hidden="1">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3466" t="str">
        <f t="shared" si="11"/>
        <v>写字楼等级</v>
      </c>
      <c r="R38" s="700" t="s">
        <v>14</v>
      </c>
      <c r="S38" s="701">
        <f t="shared" si="12"/>
        <v>100</v>
      </c>
      <c r="T38" s="700" t="s">
        <v>14</v>
      </c>
      <c r="U38" s="701">
        <f t="shared" si="13"/>
        <v>100</v>
      </c>
      <c r="V38" s="700" t="s">
        <v>14</v>
      </c>
      <c r="W38" s="701">
        <f t="shared" si="14"/>
        <v>100</v>
      </c>
      <c r="X38" s="702"/>
      <c r="Y38" s="3706"/>
      <c r="Z38" s="3465" t="str">
        <f t="shared" si="15"/>
        <v>写字楼等级</v>
      </c>
      <c r="AA38" s="703">
        <f t="shared" si="3"/>
        <v>1</v>
      </c>
      <c r="AB38" s="703">
        <f t="shared" si="4"/>
        <v>1</v>
      </c>
      <c r="AC38" s="1958">
        <f t="shared" si="5"/>
        <v>1</v>
      </c>
    </row>
    <row r="39" spans="1:29" ht="15">
      <c r="A39" s="423"/>
      <c r="B39" s="375" t="s">
        <v>1817</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0"/>
      <c r="M39" s="2714"/>
      <c r="N39" s="2714"/>
      <c r="O39" s="2714"/>
      <c r="P39" s="3704" t="s">
        <v>1694</v>
      </c>
      <c r="Q39" s="3470" t="str">
        <f t="shared" si="11"/>
        <v>物业管理</v>
      </c>
      <c r="R39" s="704" t="s">
        <v>14</v>
      </c>
      <c r="S39" s="705">
        <f t="shared" si="12"/>
        <v>100</v>
      </c>
      <c r="T39" s="704" t="s">
        <v>14</v>
      </c>
      <c r="U39" s="705">
        <f t="shared" si="13"/>
        <v>100</v>
      </c>
      <c r="V39" s="704" t="s">
        <v>14</v>
      </c>
      <c r="W39" s="705">
        <f t="shared" si="14"/>
        <v>100</v>
      </c>
      <c r="X39" s="3467"/>
      <c r="Y39" s="3706" t="s">
        <v>1694</v>
      </c>
      <c r="Z39" s="3468" t="str">
        <f t="shared" si="15"/>
        <v>物业管理</v>
      </c>
      <c r="AA39" s="3471">
        <f t="shared" si="3"/>
        <v>1</v>
      </c>
      <c r="AB39" s="3471">
        <f t="shared" si="4"/>
        <v>1</v>
      </c>
      <c r="AC39" s="1961">
        <f t="shared" si="5"/>
        <v>1</v>
      </c>
    </row>
    <row r="40" spans="1:29" ht="15" hidden="1">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3470" t="str">
        <f t="shared" si="11"/>
        <v>市政基础设施</v>
      </c>
      <c r="R40" s="704" t="s">
        <v>14</v>
      </c>
      <c r="S40" s="705">
        <f t="shared" si="12"/>
        <v>100</v>
      </c>
      <c r="T40" s="704" t="s">
        <v>14</v>
      </c>
      <c r="U40" s="705">
        <f t="shared" si="13"/>
        <v>100</v>
      </c>
      <c r="V40" s="704" t="s">
        <v>14</v>
      </c>
      <c r="W40" s="705">
        <f t="shared" si="14"/>
        <v>100</v>
      </c>
      <c r="X40" s="3467"/>
      <c r="Y40" s="3706"/>
      <c r="Z40" s="3468" t="str">
        <f t="shared" si="15"/>
        <v>市政基础设施</v>
      </c>
      <c r="AA40" s="3471">
        <f t="shared" si="3"/>
        <v>1</v>
      </c>
      <c r="AB40" s="3471">
        <f t="shared" si="4"/>
        <v>1</v>
      </c>
      <c r="AC40" s="1961">
        <f t="shared" si="5"/>
        <v>1</v>
      </c>
    </row>
    <row r="41" spans="1:29" ht="15">
      <c r="A41" s="423"/>
      <c r="B41" s="375" t="s">
        <v>1787</v>
      </c>
      <c r="C41" s="565" t="s">
        <v>3462</v>
      </c>
      <c r="D41" s="386">
        <v>100</v>
      </c>
      <c r="E41" s="565" t="s">
        <v>3462</v>
      </c>
      <c r="F41" s="412">
        <f>SUMIF(119:119,E41,120:120)-SUMIF(119:119,C41,120:120)+100</f>
        <v>100</v>
      </c>
      <c r="G41" s="565" t="s">
        <v>3462</v>
      </c>
      <c r="H41" s="386">
        <f>SUMIF(119:119,G41,120:120)-SUMIF(119:119,C41,120:120)+100</f>
        <v>100</v>
      </c>
      <c r="I41" s="565" t="s">
        <v>3462</v>
      </c>
      <c r="J41" s="386">
        <f>SUMIF(119:119,I41,120:120)-SUMIF(119:119,C41,120:120)+100</f>
        <v>100</v>
      </c>
      <c r="K41" s="561">
        <v>2</v>
      </c>
      <c r="L41" s="2720"/>
      <c r="M41" s="2714"/>
      <c r="N41" s="2714"/>
      <c r="O41" s="2714"/>
      <c r="P41" s="3704"/>
      <c r="Q41" s="3470" t="str">
        <f t="shared" si="11"/>
        <v>层高</v>
      </c>
      <c r="R41" s="704" t="s">
        <v>14</v>
      </c>
      <c r="S41" s="705">
        <f t="shared" si="12"/>
        <v>100</v>
      </c>
      <c r="T41" s="704" t="s">
        <v>14</v>
      </c>
      <c r="U41" s="705">
        <f t="shared" si="13"/>
        <v>100</v>
      </c>
      <c r="V41" s="704" t="s">
        <v>14</v>
      </c>
      <c r="W41" s="705">
        <f t="shared" si="14"/>
        <v>100</v>
      </c>
      <c r="X41" s="3467"/>
      <c r="Y41" s="3706"/>
      <c r="Z41" s="3468" t="str">
        <f t="shared" si="15"/>
        <v>层高</v>
      </c>
      <c r="AA41" s="3471">
        <f t="shared" si="3"/>
        <v>1</v>
      </c>
      <c r="AB41" s="3471">
        <f t="shared" si="4"/>
        <v>1</v>
      </c>
      <c r="AC41" s="1961">
        <f t="shared" si="5"/>
        <v>1</v>
      </c>
    </row>
    <row r="42" spans="1:29" s="422" customFormat="1" ht="15" hidden="1">
      <c r="A42" s="419"/>
      <c r="B42" s="3469"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3471">
        <f t="shared" si="3"/>
        <v>1</v>
      </c>
      <c r="AB42" s="3471">
        <f t="shared" si="4"/>
        <v>1</v>
      </c>
      <c r="AC42" s="1961">
        <f t="shared" si="5"/>
        <v>1</v>
      </c>
    </row>
    <row r="43" spans="1:29" ht="15">
      <c r="A43" s="423"/>
      <c r="B43" s="375" t="s">
        <v>1790</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v>1</v>
      </c>
      <c r="L43" s="2720"/>
      <c r="M43" s="2714"/>
      <c r="N43" s="2714"/>
      <c r="O43" s="2714"/>
      <c r="P43" s="3704"/>
      <c r="Q43" s="3470" t="str">
        <f t="shared" si="11"/>
        <v>内部装修</v>
      </c>
      <c r="R43" s="704" t="s">
        <v>14</v>
      </c>
      <c r="S43" s="705">
        <f t="shared" si="12"/>
        <v>100</v>
      </c>
      <c r="T43" s="704" t="s">
        <v>14</v>
      </c>
      <c r="U43" s="705">
        <f t="shared" si="13"/>
        <v>100</v>
      </c>
      <c r="V43" s="704" t="s">
        <v>14</v>
      </c>
      <c r="W43" s="705">
        <f t="shared" si="14"/>
        <v>100</v>
      </c>
      <c r="X43" s="3467"/>
      <c r="Y43" s="3706"/>
      <c r="Z43" s="3468" t="str">
        <f t="shared" si="15"/>
        <v>内部装修</v>
      </c>
      <c r="AA43" s="3471">
        <f t="shared" si="3"/>
        <v>1</v>
      </c>
      <c r="AB43" s="3471">
        <f t="shared" si="4"/>
        <v>1</v>
      </c>
      <c r="AC43" s="1961">
        <f t="shared" si="5"/>
        <v>1</v>
      </c>
    </row>
    <row r="44" spans="1:29" ht="15">
      <c r="A44" s="423"/>
      <c r="B44" s="375" t="s">
        <v>1705</v>
      </c>
      <c r="C44" s="411" t="s">
        <v>3465</v>
      </c>
      <c r="D44" s="386">
        <v>100</v>
      </c>
      <c r="E44" s="411" t="s">
        <v>3465</v>
      </c>
      <c r="F44" s="412">
        <f>SUMIF(125:125,E44,126:126)-SUMIF(125:125,C44,126:126)+100</f>
        <v>100</v>
      </c>
      <c r="G44" s="411" t="s">
        <v>3465</v>
      </c>
      <c r="H44" s="386">
        <f>SUMIF(125:125,G44,126:126)-SUMIF(125:125,C44,126:126)+100</f>
        <v>100</v>
      </c>
      <c r="I44" s="411" t="s">
        <v>3465</v>
      </c>
      <c r="J44" s="386">
        <f>SUMIF(125:125,I44,126:126)-SUMIF(125:125,C44,126:126)+100</f>
        <v>100</v>
      </c>
      <c r="K44" s="561">
        <v>1</v>
      </c>
      <c r="L44" s="2720"/>
      <c r="M44" s="2714"/>
      <c r="N44" s="2714"/>
      <c r="O44" s="2714"/>
      <c r="P44" s="3704"/>
      <c r="Q44" s="3470" t="str">
        <f t="shared" si="11"/>
        <v>内部装修维护情况</v>
      </c>
      <c r="R44" s="704" t="s">
        <v>14</v>
      </c>
      <c r="S44" s="705">
        <f t="shared" si="12"/>
        <v>100</v>
      </c>
      <c r="T44" s="704" t="s">
        <v>14</v>
      </c>
      <c r="U44" s="705">
        <f t="shared" si="13"/>
        <v>100</v>
      </c>
      <c r="V44" s="704" t="s">
        <v>14</v>
      </c>
      <c r="W44" s="705">
        <f t="shared" si="14"/>
        <v>100</v>
      </c>
      <c r="X44" s="3467"/>
      <c r="Y44" s="3706"/>
      <c r="Z44" s="3468" t="str">
        <f t="shared" si="15"/>
        <v>内部装修维护情况</v>
      </c>
      <c r="AA44" s="3471">
        <f t="shared" si="3"/>
        <v>1</v>
      </c>
      <c r="AB44" s="3471">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3466">
        <f t="shared" si="11"/>
        <v>111</v>
      </c>
      <c r="R45" s="700" t="s">
        <v>14</v>
      </c>
      <c r="S45" s="701">
        <f t="shared" si="12"/>
        <v>100</v>
      </c>
      <c r="T45" s="700" t="s">
        <v>14</v>
      </c>
      <c r="U45" s="701">
        <f t="shared" si="13"/>
        <v>100</v>
      </c>
      <c r="V45" s="700" t="s">
        <v>14</v>
      </c>
      <c r="W45" s="701">
        <f t="shared" si="14"/>
        <v>100</v>
      </c>
      <c r="X45" s="702"/>
      <c r="Y45" s="3706"/>
      <c r="Z45" s="3465">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3470">
        <f t="shared" si="11"/>
        <v>111</v>
      </c>
      <c r="R46" s="704" t="s">
        <v>14</v>
      </c>
      <c r="S46" s="705">
        <f t="shared" si="12"/>
        <v>100</v>
      </c>
      <c r="T46" s="704" t="s">
        <v>14</v>
      </c>
      <c r="U46" s="705">
        <f t="shared" si="13"/>
        <v>100</v>
      </c>
      <c r="V46" s="704" t="s">
        <v>14</v>
      </c>
      <c r="W46" s="705">
        <f t="shared" si="14"/>
        <v>100</v>
      </c>
      <c r="X46" s="3467"/>
      <c r="Y46" s="3706"/>
      <c r="Z46" s="3468">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3470">
        <f t="shared" si="11"/>
        <v>111</v>
      </c>
      <c r="R47" s="704" t="s">
        <v>14</v>
      </c>
      <c r="S47" s="705">
        <f t="shared" si="12"/>
        <v>100</v>
      </c>
      <c r="T47" s="704" t="s">
        <v>14</v>
      </c>
      <c r="U47" s="705">
        <f t="shared" si="13"/>
        <v>100</v>
      </c>
      <c r="V47" s="704" t="s">
        <v>14</v>
      </c>
      <c r="W47" s="705">
        <f t="shared" si="14"/>
        <v>100</v>
      </c>
      <c r="X47" s="3467"/>
      <c r="Y47" s="3707"/>
      <c r="Z47" s="3468">
        <f t="shared" si="15"/>
        <v>111</v>
      </c>
      <c r="AA47" s="3471">
        <f t="shared" si="3"/>
        <v>1</v>
      </c>
      <c r="AB47" s="3471">
        <f t="shared" si="4"/>
        <v>1</v>
      </c>
      <c r="AC47" s="1961">
        <f t="shared" si="5"/>
        <v>1</v>
      </c>
    </row>
    <row r="48" spans="1:29" ht="15">
      <c r="A48" s="430" t="s">
        <v>1706</v>
      </c>
      <c r="B48" s="431"/>
      <c r="C48" s="1153" t="s">
        <v>0</v>
      </c>
      <c r="D48" s="1154"/>
      <c r="E48" s="1155">
        <v>4.5</v>
      </c>
      <c r="F48" s="1156"/>
      <c r="G48" s="1157">
        <v>4.8</v>
      </c>
      <c r="H48" s="1158"/>
      <c r="I48" s="1155">
        <v>4.5</v>
      </c>
      <c r="J48" s="436"/>
      <c r="K48" s="713"/>
      <c r="L48" s="2722"/>
      <c r="M48" s="2714"/>
      <c r="N48" s="2714"/>
      <c r="O48" s="2714"/>
      <c r="P48" s="3693" t="str">
        <f>A48</f>
        <v>成交单价（元/平方米）</v>
      </c>
      <c r="Q48" s="3694"/>
      <c r="R48" s="3695">
        <f>E48</f>
        <v>4.5</v>
      </c>
      <c r="S48" s="3695"/>
      <c r="T48" s="3695">
        <f>G48</f>
        <v>4.8</v>
      </c>
      <c r="U48" s="3695"/>
      <c r="V48" s="3695">
        <f>I48</f>
        <v>4.5</v>
      </c>
      <c r="W48" s="3695"/>
      <c r="X48" s="397"/>
      <c r="Y48" s="711"/>
      <c r="Z48" s="397"/>
      <c r="AA48" s="397"/>
      <c r="AB48" s="397"/>
      <c r="AC48" s="578"/>
    </row>
    <row r="49" spans="1:29" ht="15.75" thickBot="1">
      <c r="A49" s="437" t="s">
        <v>1707</v>
      </c>
      <c r="B49" s="438"/>
      <c r="C49" s="1159">
        <f>R50</f>
        <v>4.4000000000000004</v>
      </c>
      <c r="D49" s="2316" t="s">
        <v>2135</v>
      </c>
      <c r="E49" s="1160">
        <f>R49</f>
        <v>4.4000000000000004</v>
      </c>
      <c r="F49" s="2317"/>
      <c r="G49" s="1159">
        <f>T49</f>
        <v>4.5999999999999996</v>
      </c>
      <c r="H49" s="2317"/>
      <c r="I49" s="1160">
        <f>V49</f>
        <v>4.3</v>
      </c>
      <c r="J49" s="2317"/>
      <c r="K49" s="2319">
        <f>F49+H49+J49</f>
        <v>0</v>
      </c>
      <c r="L49" s="2722"/>
      <c r="M49" s="2714"/>
      <c r="N49" s="2714"/>
      <c r="O49" s="2714"/>
      <c r="P49" s="3693" t="str">
        <f>A49</f>
        <v>比较价值（元/平方米）</v>
      </c>
      <c r="Q49" s="3694"/>
      <c r="R49" s="3695">
        <f>IF(F1="售价",ROUND(PRODUCT(R48,AA7:AA47),0),ROUND(PRODUCT(R48,AA7:AA47),1))</f>
        <v>4.4000000000000004</v>
      </c>
      <c r="S49" s="3695"/>
      <c r="T49" s="3695">
        <f>IF(F1="售价",ROUND(PRODUCT(T48,AB7:AB47),0),ROUND(PRODUCT(T48,AB7:AB47),1))</f>
        <v>4.5999999999999996</v>
      </c>
      <c r="U49" s="3695"/>
      <c r="V49" s="3695">
        <f>IF(F1="售价",ROUND(PRODUCT(V48,AC7:AC47),0),ROUND(PRODUCT(V48,AC7:AC47),1))</f>
        <v>4.3</v>
      </c>
      <c r="W49" s="3695"/>
      <c r="X49" s="397"/>
      <c r="Y49" s="397"/>
      <c r="Z49" s="397"/>
      <c r="AA49" s="397"/>
      <c r="AB49" s="397"/>
      <c r="AC49" s="578"/>
    </row>
    <row r="50" spans="1:29" ht="15.75" thickBot="1">
      <c r="A50" s="441" t="s">
        <v>1708</v>
      </c>
      <c r="B50" s="442"/>
      <c r="C50" s="1162">
        <f>R50</f>
        <v>4.4000000000000004</v>
      </c>
      <c r="D50" s="1162"/>
      <c r="E50" s="1162"/>
      <c r="F50" s="1162"/>
      <c r="G50" s="1162"/>
      <c r="H50" s="1162"/>
      <c r="I50" s="1162"/>
      <c r="J50" s="443"/>
      <c r="K50" s="714"/>
      <c r="L50" s="2722"/>
      <c r="M50" s="2714"/>
      <c r="N50" s="2714"/>
      <c r="O50" s="2714"/>
      <c r="P50" s="3696" t="str">
        <f>A50</f>
        <v>估价对象XX用房的比较价值（楼面单价，元/平方米）</v>
      </c>
      <c r="Q50" s="3697"/>
      <c r="R50" s="3698">
        <f>IF(F1="售价",ROUND(IF(D49="简单平均",AVERAGE(R49:V49),R49*F49+T49*H49+V49*J49),0),ROUND(IF(D49="简单平均",AVERAGE(R49:V49),R49*F49+T49*H49+V49*J49),1))</f>
        <v>4.4000000000000004</v>
      </c>
      <c r="S50" s="3698"/>
      <c r="T50" s="3698"/>
      <c r="U50" s="3698"/>
      <c r="V50" s="3698"/>
      <c r="W50" s="369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1709</v>
      </c>
      <c r="D53" s="447"/>
      <c r="E53" s="448">
        <f>IF(E48&lt;E49,E49/E48-1,E48/E49-1)</f>
        <v>2.2727272727272707E-2</v>
      </c>
      <c r="F53" s="449" t="str">
        <f>IF(OR(E53&gt;=0.3,E53&lt;=-0.3),"超过30%","")</f>
        <v/>
      </c>
      <c r="G53" s="448">
        <f>IF(G48&lt;G49,G49/G48-1,G48/G49-1)</f>
        <v>4.3478260869565188E-2</v>
      </c>
      <c r="H53" s="449" t="str">
        <f>IF(OR(G53&gt;=0.3,G53&lt;=-0.3),"超过30%","")</f>
        <v/>
      </c>
      <c r="I53" s="448">
        <f>IF(I48&lt;I49,I49/I48-1,I48/I49-1)</f>
        <v>4.6511627906976827E-2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1710</v>
      </c>
      <c r="D54" s="450"/>
      <c r="E54" s="448">
        <f>IF(E49&lt;G49,G49/E49-1,E49/G49-1)</f>
        <v>4.5454545454545192E-2</v>
      </c>
      <c r="F54" s="449" t="str">
        <f>IF(OR(E54&gt;=0.2,E54&lt;=-0.2),"超过20%","")</f>
        <v/>
      </c>
      <c r="G54" s="448">
        <f>IF(G49&lt;I49,I49/G49-1,G49/I49-1)</f>
        <v>6.9767441860465018E-2</v>
      </c>
      <c r="H54" s="449" t="str">
        <f>IF(OR(G54&gt;=0.2,G54&lt;=-0.2),"超过20%","")</f>
        <v/>
      </c>
      <c r="I54" s="448">
        <f>IF(I49&lt;E49,E49/I49-1,I49/E49-1)</f>
        <v>2.3255813953488413E-2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1711</v>
      </c>
      <c r="D55" s="450"/>
      <c r="E55" s="448">
        <f>IF(E48&lt;G48,G48/E48-1,E48/G48-1)</f>
        <v>6.6666666666666652E-2</v>
      </c>
      <c r="F55" s="449" t="str">
        <f>IF(OR(E55&gt;=0.3,E55&lt;=-0.3),"超过30%","")</f>
        <v/>
      </c>
      <c r="G55" s="448">
        <f>IF(G48&lt;I48,I48/G48-1,G48/I48-1)</f>
        <v>6.6666666666666652E-2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1712</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1716</v>
      </c>
      <c r="D62" s="3477" t="s">
        <v>3442</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t="s">
        <v>3436</v>
      </c>
      <c r="D66" s="532" t="s">
        <v>3437</v>
      </c>
      <c r="E66" s="532" t="s">
        <v>3438</v>
      </c>
      <c r="F66" s="532" t="s">
        <v>3439</v>
      </c>
      <c r="G66" s="532" t="s">
        <v>3440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78" t="s">
        <v>3443</v>
      </c>
      <c r="D89" s="3478" t="s">
        <v>3444</v>
      </c>
      <c r="E89" s="3478" t="s">
        <v>3446</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3479"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0(含)-400</v>
      </c>
      <c r="D103" s="527" t="str">
        <f t="shared" ref="D103:L103" si="24">D104&amp;"(含)"&amp;"-"&amp;E104</f>
        <v>400(含)-800</v>
      </c>
      <c r="E103" s="527" t="str">
        <f t="shared" si="24"/>
        <v>800(含)-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400</v>
      </c>
      <c r="E104" s="544">
        <v>800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3478"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3478" t="s">
        <v>3451</v>
      </c>
      <c r="D108" s="3478" t="s">
        <v>3452</v>
      </c>
      <c r="E108" s="3478" t="s">
        <v>3453</v>
      </c>
      <c r="F108" s="3480"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3478" t="s">
        <v>3456</v>
      </c>
      <c r="D115" s="3478" t="s">
        <v>3457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3478" t="s">
        <v>3459</v>
      </c>
      <c r="D117" s="3478" t="s">
        <v>3460</v>
      </c>
      <c r="E117" s="3478" t="s">
        <v>3461</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3480" t="s">
        <v>3463</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3478" t="s">
        <v>3451</v>
      </c>
      <c r="D123" s="3478" t="s">
        <v>3452</v>
      </c>
      <c r="E123" s="3478" t="s">
        <v>3453</v>
      </c>
      <c r="F123" s="3480"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4" t="s">
        <v>2312</v>
      </c>
      <c r="B2" s="2841" t="e">
        <f>IF(D2="——",C40,C40+E2)</f>
        <v>#DIV/0!</v>
      </c>
      <c r="C2" s="2842" t="s">
        <v>2313</v>
      </c>
      <c r="D2" s="3441" t="s">
        <v>3355</v>
      </c>
      <c r="E2" s="3442"/>
      <c r="F2" s="2844"/>
      <c r="G2" s="2845"/>
      <c r="H2" s="2846"/>
      <c r="I2" s="2847"/>
      <c r="J2" s="3748" t="s">
        <v>2314</v>
      </c>
      <c r="K2" s="3749"/>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750" t="s">
        <v>2324</v>
      </c>
      <c r="K3" s="3751"/>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750" t="s">
        <v>2326</v>
      </c>
      <c r="K4" s="3751"/>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756" t="s">
        <v>2330</v>
      </c>
      <c r="B6" s="3757"/>
      <c r="C6" s="3758"/>
      <c r="D6" s="2868"/>
      <c r="E6" s="2869"/>
      <c r="F6" s="2870"/>
      <c r="G6" s="2871"/>
      <c r="H6" s="2846"/>
      <c r="I6" s="2847"/>
      <c r="J6" s="3742">
        <v>1</v>
      </c>
      <c r="K6" s="3743"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742"/>
      <c r="K7" s="3744"/>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759" t="s">
        <v>2344</v>
      </c>
      <c r="C8" s="3760"/>
      <c r="D8" s="2887" t="s">
        <v>2345</v>
      </c>
      <c r="E8" s="2888" t="s">
        <v>2346</v>
      </c>
      <c r="F8" s="2889" t="s">
        <v>2347</v>
      </c>
      <c r="G8" s="2890"/>
      <c r="H8" s="2846"/>
      <c r="I8" s="2847"/>
      <c r="J8" s="3742"/>
      <c r="K8" s="3744"/>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759" t="s">
        <v>2350</v>
      </c>
      <c r="C9" s="3760"/>
      <c r="D9" s="2887">
        <f>ROUND(D6*E9,0)</f>
        <v>0</v>
      </c>
      <c r="E9" s="2891"/>
      <c r="F9" s="2892" t="s">
        <v>2351</v>
      </c>
      <c r="G9" s="2871"/>
      <c r="H9" s="2846"/>
      <c r="I9" s="2847"/>
      <c r="J9" s="3742"/>
      <c r="K9" s="3744"/>
      <c r="L9" s="2881" t="s">
        <v>2352</v>
      </c>
      <c r="M9" s="2882"/>
      <c r="N9" s="2858"/>
      <c r="O9" s="2883"/>
      <c r="P9" s="2883"/>
      <c r="Q9" s="2884">
        <v>365</v>
      </c>
      <c r="R9" s="2885">
        <f t="shared" si="0"/>
        <v>0</v>
      </c>
      <c r="S9" s="2839"/>
      <c r="T9" s="2839"/>
      <c r="U9" s="2839"/>
      <c r="V9" s="2847"/>
    </row>
    <row r="10" spans="1:22" s="2851" customFormat="1" ht="13.15" customHeight="1">
      <c r="A10" s="2886">
        <v>2</v>
      </c>
      <c r="B10" s="3759" t="s">
        <v>2353</v>
      </c>
      <c r="C10" s="3760"/>
      <c r="D10" s="2887">
        <f>ROUND(D6*E10,0)</f>
        <v>0</v>
      </c>
      <c r="E10" s="2891"/>
      <c r="F10" s="2892" t="s">
        <v>2354</v>
      </c>
      <c r="G10" s="2871"/>
      <c r="H10" s="2846"/>
      <c r="I10" s="2847"/>
      <c r="J10" s="3742"/>
      <c r="K10" s="3744"/>
      <c r="L10" s="2881" t="s">
        <v>2355</v>
      </c>
      <c r="M10" s="2882"/>
      <c r="N10" s="2858"/>
      <c r="O10" s="2883"/>
      <c r="P10" s="2883"/>
      <c r="Q10" s="2884">
        <v>365</v>
      </c>
      <c r="R10" s="2885">
        <f t="shared" si="0"/>
        <v>0</v>
      </c>
      <c r="S10" s="2839"/>
      <c r="T10" s="2839"/>
      <c r="U10" s="2839"/>
      <c r="V10" s="2847"/>
    </row>
    <row r="11" spans="1:22" s="2851" customFormat="1" ht="13.15" customHeight="1">
      <c r="A11" s="2886">
        <v>3</v>
      </c>
      <c r="B11" s="3759" t="s">
        <v>2356</v>
      </c>
      <c r="C11" s="3760"/>
      <c r="D11" s="2887">
        <f>D12+D14+D15+D16</f>
        <v>0</v>
      </c>
      <c r="E11" s="2893" t="e">
        <f>D11/D6</f>
        <v>#DIV/0!</v>
      </c>
      <c r="F11" s="2889"/>
      <c r="G11" s="2890"/>
      <c r="H11" s="2846"/>
      <c r="I11" s="2847"/>
      <c r="J11" s="3742"/>
      <c r="K11" s="3744"/>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752" t="s">
        <v>2359</v>
      </c>
      <c r="C12" s="3753"/>
      <c r="D12" s="2895">
        <f>ROUND(D13*1.2%*(1-30%),0)</f>
        <v>0</v>
      </c>
      <c r="E12" s="2896">
        <v>1.2E-2</v>
      </c>
      <c r="F12" s="2889" t="s">
        <v>2360</v>
      </c>
      <c r="G12" s="2890"/>
      <c r="H12" s="2846"/>
      <c r="I12" s="2847"/>
      <c r="J12" s="3742"/>
      <c r="K12" s="3744"/>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742"/>
      <c r="K13" s="3744"/>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752" t="s">
        <v>2365</v>
      </c>
      <c r="C14" s="3753"/>
      <c r="D14" s="2895">
        <f>ROUND(E14*B5/10000,0)</f>
        <v>0</v>
      </c>
      <c r="E14" s="2884"/>
      <c r="F14" s="2889" t="s">
        <v>2366</v>
      </c>
      <c r="G14" s="2890"/>
      <c r="H14" s="2846"/>
      <c r="I14" s="2847"/>
      <c r="J14" s="3742"/>
      <c r="K14" s="3745"/>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752" t="s">
        <v>2369</v>
      </c>
      <c r="C15" s="3753"/>
      <c r="D15" s="2895">
        <f>ROUND(D6*E15,0)</f>
        <v>0</v>
      </c>
      <c r="E15" s="2896">
        <v>5.5E-2</v>
      </c>
      <c r="F15" s="2889" t="s">
        <v>2370</v>
      </c>
      <c r="G15" s="2871"/>
      <c r="H15" s="2846"/>
      <c r="I15" s="2847"/>
      <c r="J15" s="3742">
        <v>2</v>
      </c>
      <c r="K15" s="3743"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752" t="s">
        <v>2378</v>
      </c>
      <c r="C16" s="3753"/>
      <c r="D16" s="2906">
        <f>D6*E16</f>
        <v>0</v>
      </c>
      <c r="E16" s="2907"/>
      <c r="F16" s="2892" t="s">
        <v>2379</v>
      </c>
      <c r="G16" s="2871"/>
      <c r="H16" s="2846"/>
      <c r="I16" s="2847"/>
      <c r="J16" s="3742"/>
      <c r="K16" s="3744"/>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754" t="s">
        <v>2381</v>
      </c>
      <c r="C17" s="3755"/>
      <c r="D17" s="2909">
        <f>ROUND(D6*E17,0)</f>
        <v>0</v>
      </c>
      <c r="E17" s="2910"/>
      <c r="F17" s="2911" t="s">
        <v>2382</v>
      </c>
      <c r="G17" s="2871"/>
      <c r="H17" s="2846"/>
      <c r="I17" s="2847"/>
      <c r="J17" s="3742"/>
      <c r="K17" s="3744"/>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742"/>
      <c r="K18" s="3744"/>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742"/>
      <c r="K19" s="3745"/>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742"/>
      <c r="K21" s="3744"/>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742"/>
      <c r="K22" s="3744"/>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742"/>
      <c r="K23" s="3744"/>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742"/>
      <c r="K24" s="3745"/>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746">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7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748" t="s">
        <v>2314</v>
      </c>
      <c r="K32" s="3749"/>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750" t="s">
        <v>2324</v>
      </c>
      <c r="K33" s="3751"/>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750" t="s">
        <v>2326</v>
      </c>
      <c r="K34" s="37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742">
        <v>1</v>
      </c>
      <c r="K36" s="3743"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742"/>
      <c r="K40" s="3745"/>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6">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7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5"/>
      <c r="G1" s="1488"/>
      <c r="H1" s="1488"/>
      <c r="I1" s="1488"/>
      <c r="J1" s="1488"/>
      <c r="K1" s="1488"/>
      <c r="L1" s="1488"/>
      <c r="M1" s="1488"/>
      <c r="N1" s="1488"/>
      <c r="O1" s="1488"/>
      <c r="P1" s="1488"/>
      <c r="Q1" s="1488"/>
      <c r="R1" s="1488"/>
      <c r="S1" s="1488"/>
    </row>
    <row r="2" spans="1:22" ht="15.75">
      <c r="A2" s="1869" t="s">
        <v>1460</v>
      </c>
      <c r="B2" s="1870">
        <f ca="1">SUMIF(B6:B13,"&lt;&gt;#ref!",B6:B13)</f>
        <v>163.8759</v>
      </c>
      <c r="C2" s="1871" t="s">
        <v>1649</v>
      </c>
      <c r="D2" s="1872" t="s">
        <v>1650</v>
      </c>
      <c r="E2" s="2606">
        <f>SUM(E6:E13)</f>
        <v>62.62</v>
      </c>
      <c r="F2" s="2705"/>
      <c r="G2" s="1488"/>
      <c r="H2" s="1488"/>
      <c r="I2" s="1488"/>
      <c r="J2" s="1488"/>
      <c r="K2" s="1488"/>
      <c r="L2" s="1488"/>
      <c r="M2" s="1488"/>
      <c r="N2" s="1488"/>
      <c r="O2" s="1488"/>
      <c r="P2" s="1488"/>
      <c r="Q2" s="1488"/>
      <c r="R2" s="1488"/>
      <c r="S2" s="1488"/>
    </row>
    <row r="3" spans="1:22" ht="15.75">
      <c r="A3" s="1869" t="s">
        <v>684</v>
      </c>
      <c r="B3" s="2600">
        <f ca="1">ROUND(B2*10000/E2,0)</f>
        <v>26170</v>
      </c>
      <c r="C3" s="1871" t="s">
        <v>1657</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1651</v>
      </c>
      <c r="B5" s="3761" t="s">
        <v>1652</v>
      </c>
      <c r="C5" s="3762"/>
      <c r="D5" s="2706"/>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163.8759</v>
      </c>
      <c r="C6" s="1871" t="s">
        <v>1649</v>
      </c>
      <c r="D6" s="2707"/>
      <c r="E6" s="2605">
        <f>IF(OR(A6=0,F6="否"),0,'数据-取费表'!K6+'数据-取费表'!S6)</f>
        <v>62.62</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7"/>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7"/>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7"/>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7"/>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7"/>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7"/>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4"/>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683</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684</v>
      </c>
      <c r="B3" s="353">
        <f>IF(C2="——",C49,ROUND(B2*10000/D3,0))</f>
        <v>0</v>
      </c>
      <c r="C3" s="354" t="s">
        <v>1663</v>
      </c>
      <c r="D3" s="353">
        <f>IF(D1="",'数据-汇总表'!E3,SUMIF('数据-汇总表'!$C19:$C33,D1,'数据-汇总表'!$E19:$E33))</f>
        <v>62.62</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1664</v>
      </c>
      <c r="B4" s="356"/>
      <c r="C4" s="3711" t="s">
        <v>1665</v>
      </c>
      <c r="D4" s="3712"/>
      <c r="E4" s="3713" t="s">
        <v>1666</v>
      </c>
      <c r="F4" s="3714"/>
      <c r="G4" s="3711" t="s">
        <v>1667</v>
      </c>
      <c r="H4" s="3712"/>
      <c r="I4" s="3711" t="s">
        <v>1668</v>
      </c>
      <c r="J4" s="3712"/>
      <c r="K4" s="1888" t="s">
        <v>1669</v>
      </c>
      <c r="L4" s="2713"/>
      <c r="M4" s="2714"/>
      <c r="N4" s="2714"/>
      <c r="O4" s="2714"/>
      <c r="P4" s="3767" t="s">
        <v>1670</v>
      </c>
      <c r="Q4" s="3768"/>
      <c r="R4" s="3771" t="s">
        <v>1666</v>
      </c>
      <c r="S4" s="3772"/>
      <c r="T4" s="3771" t="s">
        <v>1667</v>
      </c>
      <c r="U4" s="3772"/>
      <c r="V4" s="3728" t="s">
        <v>1668</v>
      </c>
      <c r="W4" s="3728"/>
      <c r="X4" s="1354"/>
      <c r="Y4" s="3771" t="s">
        <v>1670</v>
      </c>
      <c r="Z4" s="3772"/>
      <c r="AA4" s="3766" t="s">
        <v>1666</v>
      </c>
      <c r="AB4" s="3766" t="s">
        <v>1667</v>
      </c>
      <c r="AC4" s="3766" t="s">
        <v>1668</v>
      </c>
    </row>
    <row r="5" spans="1:29" ht="15">
      <c r="A5" s="358"/>
      <c r="B5" s="359"/>
      <c r="C5" s="3773" t="s">
        <v>1671</v>
      </c>
      <c r="D5" s="3732"/>
      <c r="E5" s="3774" t="s">
        <v>1672</v>
      </c>
      <c r="F5" s="3775"/>
      <c r="G5" s="3773" t="s">
        <v>1673</v>
      </c>
      <c r="H5" s="3732"/>
      <c r="I5" s="3773" t="s">
        <v>1674</v>
      </c>
      <c r="J5" s="3732"/>
      <c r="K5" s="188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188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35" t="s">
        <v>1678</v>
      </c>
      <c r="Q7" s="3736"/>
      <c r="R7" s="700" t="s">
        <v>20</v>
      </c>
      <c r="S7" s="701">
        <f t="shared" ref="S7:S15" si="0">F7</f>
        <v>0</v>
      </c>
      <c r="T7" s="700" t="s">
        <v>20</v>
      </c>
      <c r="U7" s="701">
        <f t="shared" ref="U7:U15" si="1">H7</f>
        <v>0</v>
      </c>
      <c r="V7" s="700" t="s">
        <v>20</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35" t="s">
        <v>1681</v>
      </c>
      <c r="Q8" s="3734"/>
      <c r="R8" s="700" t="s">
        <v>20</v>
      </c>
      <c r="S8" s="701">
        <f t="shared" si="0"/>
        <v>100</v>
      </c>
      <c r="T8" s="700" t="s">
        <v>20</v>
      </c>
      <c r="U8" s="701">
        <f t="shared" si="1"/>
        <v>100</v>
      </c>
      <c r="V8" s="700" t="s">
        <v>20</v>
      </c>
      <c r="W8" s="701">
        <f t="shared" si="2"/>
        <v>100</v>
      </c>
      <c r="X8" s="702"/>
      <c r="Y8" s="3735" t="s">
        <v>1681</v>
      </c>
      <c r="Z8" s="3734"/>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3"/>
      <c r="Q11" s="1342" t="str">
        <f t="shared" si="6"/>
        <v>容积率</v>
      </c>
      <c r="R11" s="700" t="s">
        <v>18</v>
      </c>
      <c r="S11" s="701" t="e">
        <f t="shared" si="0"/>
        <v>#N/A</v>
      </c>
      <c r="T11" s="700" t="s">
        <v>18</v>
      </c>
      <c r="U11" s="701" t="e">
        <f t="shared" si="1"/>
        <v>#N/A</v>
      </c>
      <c r="V11" s="700" t="s">
        <v>18</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3"/>
      <c r="Q12" s="1342">
        <f t="shared" si="6"/>
        <v>111</v>
      </c>
      <c r="R12" s="700" t="s">
        <v>18</v>
      </c>
      <c r="S12" s="701">
        <f t="shared" si="0"/>
        <v>100</v>
      </c>
      <c r="T12" s="700" t="s">
        <v>18</v>
      </c>
      <c r="U12" s="701">
        <f t="shared" si="1"/>
        <v>100</v>
      </c>
      <c r="V12" s="700" t="s">
        <v>18</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3"/>
      <c r="Q13" s="1342">
        <f t="shared" si="6"/>
        <v>111</v>
      </c>
      <c r="R13" s="700" t="s">
        <v>18</v>
      </c>
      <c r="S13" s="701">
        <f t="shared" si="0"/>
        <v>100</v>
      </c>
      <c r="T13" s="700" t="s">
        <v>18</v>
      </c>
      <c r="U13" s="701">
        <f t="shared" si="1"/>
        <v>100</v>
      </c>
      <c r="V13" s="700" t="s">
        <v>18</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3"/>
      <c r="Q14" s="1342">
        <f t="shared" si="6"/>
        <v>111</v>
      </c>
      <c r="R14" s="700" t="s">
        <v>18</v>
      </c>
      <c r="S14" s="701">
        <f t="shared" si="0"/>
        <v>100</v>
      </c>
      <c r="T14" s="700" t="s">
        <v>18</v>
      </c>
      <c r="U14" s="701">
        <f t="shared" si="1"/>
        <v>100</v>
      </c>
      <c r="V14" s="700" t="s">
        <v>18</v>
      </c>
      <c r="W14" s="701">
        <f t="shared" si="2"/>
        <v>100</v>
      </c>
      <c r="X14" s="702"/>
      <c r="Y14" s="3573"/>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9" t="s">
        <v>1689</v>
      </c>
      <c r="Q15" s="1351" t="str">
        <f t="shared" si="6"/>
        <v>居住社区成熟度</v>
      </c>
      <c r="R15" s="704" t="s">
        <v>18</v>
      </c>
      <c r="S15" s="705">
        <f t="shared" si="0"/>
        <v>100</v>
      </c>
      <c r="T15" s="704" t="s">
        <v>18</v>
      </c>
      <c r="U15" s="705">
        <f t="shared" si="1"/>
        <v>100</v>
      </c>
      <c r="V15" s="704" t="s">
        <v>18</v>
      </c>
      <c r="W15" s="705">
        <f t="shared" si="2"/>
        <v>100</v>
      </c>
      <c r="X15" s="1354"/>
      <c r="Y15" s="3701"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0"/>
      <c r="Q16" s="1351"/>
      <c r="R16" s="704"/>
      <c r="S16" s="705"/>
      <c r="T16" s="704"/>
      <c r="U16" s="705"/>
      <c r="V16" s="704"/>
      <c r="W16" s="705"/>
      <c r="X16" s="1354"/>
      <c r="Y16" s="3702"/>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0"/>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0"/>
      <c r="Q18" s="1351"/>
      <c r="R18" s="704"/>
      <c r="S18" s="705"/>
      <c r="T18" s="704"/>
      <c r="U18" s="705"/>
      <c r="V18" s="704"/>
      <c r="W18" s="705"/>
      <c r="X18" s="1354"/>
      <c r="Y18" s="3702"/>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0"/>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0"/>
      <c r="Q20" s="1351"/>
      <c r="R20" s="704"/>
      <c r="S20" s="705"/>
      <c r="T20" s="704"/>
      <c r="U20" s="705"/>
      <c r="V20" s="704"/>
      <c r="W20" s="705"/>
      <c r="X20" s="1354"/>
      <c r="Y20" s="3702"/>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0"/>
      <c r="Q22" s="1351"/>
      <c r="R22" s="704"/>
      <c r="S22" s="705"/>
      <c r="T22" s="704"/>
      <c r="U22" s="705"/>
      <c r="V22" s="704"/>
      <c r="W22" s="705"/>
      <c r="X22" s="1354"/>
      <c r="Y22" s="3702"/>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0"/>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0"/>
      <c r="Q24" s="1351"/>
      <c r="R24" s="704"/>
      <c r="S24" s="705"/>
      <c r="T24" s="704"/>
      <c r="U24" s="705"/>
      <c r="V24" s="704"/>
      <c r="W24" s="705"/>
      <c r="X24" s="1354"/>
      <c r="Y24" s="3702"/>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0"/>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0"/>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0"/>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0"/>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0"/>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0"/>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3" t="s">
        <v>1694</v>
      </c>
      <c r="Q32" s="1351" t="str">
        <f t="shared" si="11"/>
        <v>建筑类型</v>
      </c>
      <c r="R32" s="704" t="s">
        <v>18</v>
      </c>
      <c r="S32" s="705">
        <f t="shared" si="12"/>
        <v>100</v>
      </c>
      <c r="T32" s="704" t="s">
        <v>18</v>
      </c>
      <c r="U32" s="705">
        <f t="shared" si="13"/>
        <v>100</v>
      </c>
      <c r="V32" s="704" t="s">
        <v>18</v>
      </c>
      <c r="W32" s="705">
        <f t="shared" si="14"/>
        <v>100</v>
      </c>
      <c r="X32" s="1354"/>
      <c r="Y32" s="3706"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4" t="s">
        <v>1694</v>
      </c>
      <c r="Q38" s="1351" t="str">
        <f t="shared" si="11"/>
        <v>物业管理</v>
      </c>
      <c r="R38" s="704" t="s">
        <v>18</v>
      </c>
      <c r="S38" s="705">
        <f t="shared" si="12"/>
        <v>100</v>
      </c>
      <c r="T38" s="704" t="s">
        <v>18</v>
      </c>
      <c r="U38" s="705">
        <f t="shared" si="13"/>
        <v>100</v>
      </c>
      <c r="V38" s="704" t="s">
        <v>18</v>
      </c>
      <c r="W38" s="705">
        <f t="shared" si="14"/>
        <v>100</v>
      </c>
      <c r="X38" s="1354"/>
      <c r="Y38" s="3706"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2"/>
      <c r="M47" s="2723"/>
      <c r="N47" s="2714"/>
      <c r="O47" s="2723"/>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2"/>
      <c r="M49" s="2723"/>
      <c r="N49" s="2723"/>
      <c r="O49" s="2723"/>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896</v>
      </c>
    </row>
    <row r="2" spans="1:1">
      <c r="A2" s="1477"/>
    </row>
    <row r="3" spans="1:1" ht="18">
      <c r="A3" s="1478" t="str">
        <f>项目基本情况!B5&amp;"："</f>
        <v>：</v>
      </c>
    </row>
    <row r="4" spans="1:1" ht="36">
      <c r="A4" s="1479" t="str">
        <f>"受贵公司委托，我公司对"&amp;项目基本情况!S1&amp;"进行了预评估。"</f>
        <v>受贵公司委托，我公司对北京市丰台区广安路9号院1号楼3层301办公用房房地产抵押价值进行了预评估。</v>
      </c>
    </row>
    <row r="5" spans="1:1" ht="18.75">
      <c r="A5" s="1480" t="s">
        <v>897</v>
      </c>
    </row>
    <row r="6" spans="1:1" ht="18.75">
      <c r="A6" s="1481" t="s">
        <v>898</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估价对象为北京市丰台区广安路9号院1号楼3层301办公用房房地产，为所有。根据《国有土地使用证》[]，估价对象（分摊）出让国有建设用地使用权面积为0平方米，建筑面积为62.62平方米。</v>
      </c>
    </row>
    <row r="8" spans="1:1" ht="57.75">
      <c r="A8" s="1482" t="s">
        <v>899</v>
      </c>
    </row>
    <row r="9" spans="1:1" ht="18.75">
      <c r="A9" s="1481" t="s">
        <v>900</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3层301办公用房房地产,属开发建设的办公项目，该项目尚在开发建设中。根据《国有土地使用证》[]，估价对象（分摊）出让国有建设用地使用权面积为0平方米，规划建筑面积为62.62平方米。</v>
      </c>
    </row>
    <row r="11" spans="1:1" ht="76.5">
      <c r="A11" s="1482" t="s">
        <v>901</v>
      </c>
    </row>
    <row r="12" spans="1:1" ht="18.75">
      <c r="A12" s="1480" t="s">
        <v>902</v>
      </c>
    </row>
    <row r="13" spans="1:1" ht="38.25" customHeight="1">
      <c r="A13" s="1483" t="str">
        <f>IF(项目基本情况!B8="抵押",IF(项目基本情况!B5=项目基本情况!B6,定义!C51,定义!B51),定义!D51)</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903</v>
      </c>
    </row>
    <row r="15" spans="1:1" ht="18">
      <c r="A15" s="1485" t="str">
        <f>TEXT(项目基本情况!D3,"yyyy年m月d日;;")&amp;IF(项目基本情况!D3=项目基本情况!B3,"（评估专业人员实地查勘之日）","")</f>
        <v>2025年4月25日（评估专业人员实地查勘之日）</v>
      </c>
    </row>
    <row r="16" spans="1:1" ht="18.75">
      <c r="A16" s="1484" t="s">
        <v>904</v>
      </c>
    </row>
    <row r="17" spans="1:1" ht="75">
      <c r="A17" s="1479" t="s">
        <v>905</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894</v>
      </c>
    </row>
    <row r="24" spans="1:1" ht="18">
      <c r="A24" s="1486" t="str">
        <f>"本次评估采用的主估价方法为"&amp;结果表!K4&amp;"和"&amp;结果表!L4&amp;"。"</f>
        <v>本次评估采用的主估价方法为比较法和收益法。</v>
      </c>
    </row>
    <row r="25" spans="1:1" ht="18">
      <c r="A25" s="1486"/>
    </row>
    <row r="26" spans="1:1" ht="18.75">
      <c r="A26" s="1487" t="s">
        <v>895</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4"/>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0</v>
      </c>
      <c r="C3" s="354" t="s">
        <v>1766</v>
      </c>
      <c r="D3" s="353">
        <f>IF(D1="",'数据-汇总表'!E3,SUMIF('数据-汇总表'!$C19:$C33,D1,'数据-汇总表'!$E19:$E33))</f>
        <v>62.62</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28"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28"/>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28"/>
      <c r="AC6" s="3741"/>
    </row>
    <row r="7" spans="1:29" s="108" customFormat="1" ht="15.75" thickBot="1">
      <c r="A7" s="362" t="s">
        <v>1677</v>
      </c>
      <c r="B7" s="363"/>
      <c r="C7" s="364">
        <f>'数据-取费表'!B2</f>
        <v>45772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3"/>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9" t="s">
        <v>1689</v>
      </c>
      <c r="Q15" s="1351" t="str">
        <f t="shared" si="6"/>
        <v>商业繁华度</v>
      </c>
      <c r="R15" s="704" t="s">
        <v>14</v>
      </c>
      <c r="S15" s="705">
        <f t="shared" si="0"/>
        <v>100</v>
      </c>
      <c r="T15" s="704" t="s">
        <v>14</v>
      </c>
      <c r="U15" s="705">
        <f t="shared" si="1"/>
        <v>100</v>
      </c>
      <c r="V15" s="704" t="s">
        <v>14</v>
      </c>
      <c r="W15" s="705">
        <f t="shared" si="2"/>
        <v>100</v>
      </c>
      <c r="X15" s="1354"/>
      <c r="Y15" s="3701"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0"/>
      <c r="Q16" s="1351"/>
      <c r="R16" s="704"/>
      <c r="S16" s="705"/>
      <c r="T16" s="704"/>
      <c r="U16" s="705"/>
      <c r="V16" s="704"/>
      <c r="W16" s="705"/>
      <c r="X16" s="1354"/>
      <c r="Y16" s="3702"/>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0"/>
      <c r="Q18" s="1351"/>
      <c r="R18" s="704"/>
      <c r="S18" s="705"/>
      <c r="T18" s="704"/>
      <c r="U18" s="705"/>
      <c r="V18" s="704"/>
      <c r="W18" s="705"/>
      <c r="X18" s="1354"/>
      <c r="Y18" s="3702"/>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0"/>
      <c r="Q20" s="1351"/>
      <c r="R20" s="704"/>
      <c r="S20" s="705"/>
      <c r="T20" s="704"/>
      <c r="U20" s="705"/>
      <c r="V20" s="704"/>
      <c r="W20" s="705"/>
      <c r="X20" s="1354"/>
      <c r="Y20" s="3702"/>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0"/>
      <c r="Q22" s="1351"/>
      <c r="R22" s="704"/>
      <c r="S22" s="705"/>
      <c r="T22" s="704"/>
      <c r="U22" s="705"/>
      <c r="V22" s="704"/>
      <c r="W22" s="705"/>
      <c r="X22" s="1354"/>
      <c r="Y22" s="3702"/>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0"/>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0"/>
      <c r="Q24" s="1351"/>
      <c r="R24" s="704"/>
      <c r="S24" s="705"/>
      <c r="T24" s="704"/>
      <c r="U24" s="705"/>
      <c r="V24" s="704"/>
      <c r="W24" s="705"/>
      <c r="X24" s="1354"/>
      <c r="Y24" s="3702"/>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0"/>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0"/>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0"/>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0"/>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3" t="s">
        <v>1694</v>
      </c>
      <c r="Q32" s="1351" t="str">
        <f t="shared" si="11"/>
        <v>商业类型</v>
      </c>
      <c r="R32" s="704" t="s">
        <v>14</v>
      </c>
      <c r="S32" s="705">
        <f t="shared" si="12"/>
        <v>100</v>
      </c>
      <c r="T32" s="704" t="s">
        <v>14</v>
      </c>
      <c r="U32" s="705">
        <f t="shared" si="13"/>
        <v>100</v>
      </c>
      <c r="V32" s="704" t="s">
        <v>14</v>
      </c>
      <c r="W32" s="705">
        <f t="shared" si="14"/>
        <v>100</v>
      </c>
      <c r="X32" s="1354"/>
      <c r="Y32" s="3706"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1" t="str">
        <f t="shared" si="11"/>
        <v>成新度</v>
      </c>
      <c r="R36" s="704" t="s">
        <v>14</v>
      </c>
      <c r="S36" s="705" t="e">
        <f t="shared" si="12"/>
        <v>#N/A</v>
      </c>
      <c r="T36" s="704" t="s">
        <v>14</v>
      </c>
      <c r="U36" s="705" t="e">
        <f t="shared" si="13"/>
        <v>#N/A</v>
      </c>
      <c r="V36" s="704" t="s">
        <v>14</v>
      </c>
      <c r="W36" s="705"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4" t="s">
        <v>1694</v>
      </c>
      <c r="Q38" s="1351" t="str">
        <f t="shared" si="11"/>
        <v>业态</v>
      </c>
      <c r="R38" s="704" t="s">
        <v>14</v>
      </c>
      <c r="S38" s="705">
        <f t="shared" si="12"/>
        <v>100</v>
      </c>
      <c r="T38" s="704" t="s">
        <v>14</v>
      </c>
      <c r="U38" s="705">
        <f t="shared" si="13"/>
        <v>100</v>
      </c>
      <c r="V38" s="704" t="s">
        <v>14</v>
      </c>
      <c r="W38" s="705">
        <f t="shared" si="14"/>
        <v>100</v>
      </c>
      <c r="X38" s="1354"/>
      <c r="Y38" s="3706"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30" t="s">
        <v>1706</v>
      </c>
      <c r="B47" s="431"/>
      <c r="C47" s="1153" t="s">
        <v>0</v>
      </c>
      <c r="D47" s="1154"/>
      <c r="E47" s="1155"/>
      <c r="F47" s="1156"/>
      <c r="G47" s="1157"/>
      <c r="H47" s="1158"/>
      <c r="I47" s="1155"/>
      <c r="J47" s="1158"/>
      <c r="K47" s="713"/>
      <c r="L47" s="2722"/>
      <c r="M47" s="2723"/>
      <c r="N47" s="2714"/>
      <c r="O47" s="2723"/>
      <c r="P47" s="3694" t="str">
        <f>A47</f>
        <v>成交单价（元/平方米）</v>
      </c>
      <c r="Q47" s="3694"/>
      <c r="R47" s="3728">
        <f>E47</f>
        <v>0</v>
      </c>
      <c r="S47" s="3728"/>
      <c r="T47" s="3728">
        <f>G47</f>
        <v>0</v>
      </c>
      <c r="U47" s="3728"/>
      <c r="V47" s="3728">
        <f>I47</f>
        <v>0</v>
      </c>
      <c r="W47" s="3728"/>
      <c r="X47" s="689"/>
      <c r="Y47" s="711"/>
      <c r="Z47" s="689"/>
      <c r="AA47" s="689"/>
      <c r="AB47" s="689"/>
      <c r="AC47" s="689"/>
    </row>
    <row r="48" spans="1:29" ht="15.75" thickBot="1">
      <c r="A48" s="437" t="s">
        <v>1791</v>
      </c>
      <c r="B48" s="438"/>
      <c r="C48" s="1159" t="e">
        <f>R49</f>
        <v>#DIV/0!</v>
      </c>
      <c r="D48" s="2316" t="s">
        <v>2135</v>
      </c>
      <c r="E48" s="1160" t="e">
        <f>R48</f>
        <v>#DIV/0!</v>
      </c>
      <c r="F48" s="2317"/>
      <c r="G48" s="1159" t="e">
        <f>T48</f>
        <v>#DIV/0!</v>
      </c>
      <c r="H48" s="2317"/>
      <c r="I48" s="1160" t="e">
        <f>V48</f>
        <v>#DIV/0!</v>
      </c>
      <c r="J48" s="2317"/>
      <c r="K48" s="2319">
        <f>F48+H48+J48</f>
        <v>0</v>
      </c>
      <c r="L48" s="2722"/>
      <c r="M48" s="2723"/>
      <c r="N48" s="2714"/>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22"/>
      <c r="M49" s="2723"/>
      <c r="N49" s="2714"/>
      <c r="O49" s="2723"/>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1796</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62.62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912"/>
      <c r="M4" s="913"/>
      <c r="N4" s="913"/>
      <c r="O4" s="913"/>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912"/>
      <c r="M5" s="913"/>
      <c r="N5" s="913"/>
      <c r="O5" s="913"/>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912"/>
      <c r="M6" s="913"/>
      <c r="N6" s="913"/>
      <c r="O6" s="913"/>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SUMIF(52:52,YEAR(E7)&amp;"-"&amp;MONTH(E7),53:53)</f>
        <v>0</v>
      </c>
      <c r="G7" s="366"/>
      <c r="H7" s="365">
        <f>SUMIF(52:52,YEAR(G7)&amp;"-"&amp;MONTH(G7),53:53)</f>
        <v>0</v>
      </c>
      <c r="I7" s="366"/>
      <c r="J7" s="365">
        <f>SUMIF(52:52,YEAR(I7)&amp;"-"&amp;MONTH(I7),53:53)</f>
        <v>0</v>
      </c>
      <c r="K7" s="560"/>
      <c r="L7" s="914"/>
      <c r="M7" s="915"/>
      <c r="N7" s="915"/>
      <c r="O7" s="915"/>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5" t="s">
        <v>1681</v>
      </c>
      <c r="Q8" s="3734"/>
      <c r="R8" s="700" t="s">
        <v>14</v>
      </c>
      <c r="S8" s="701">
        <f t="shared" si="0"/>
        <v>100</v>
      </c>
      <c r="T8" s="700" t="s">
        <v>14</v>
      </c>
      <c r="U8" s="701">
        <f t="shared" si="1"/>
        <v>100</v>
      </c>
      <c r="V8" s="700" t="s">
        <v>14</v>
      </c>
      <c r="W8" s="701">
        <f t="shared" si="2"/>
        <v>100</v>
      </c>
      <c r="X8" s="702"/>
      <c r="Y8" s="3735" t="s">
        <v>1681</v>
      </c>
      <c r="Z8" s="373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1689</v>
      </c>
      <c r="Q15" s="1351" t="str">
        <f t="shared" si="6"/>
        <v>产业集聚程度</v>
      </c>
      <c r="R15" s="704" t="s">
        <v>14</v>
      </c>
      <c r="S15" s="705">
        <f t="shared" si="0"/>
        <v>100</v>
      </c>
      <c r="T15" s="704" t="s">
        <v>14</v>
      </c>
      <c r="U15" s="705">
        <f t="shared" si="1"/>
        <v>100</v>
      </c>
      <c r="V15" s="704" t="s">
        <v>14</v>
      </c>
      <c r="W15" s="705">
        <f t="shared" si="2"/>
        <v>100</v>
      </c>
      <c r="X15" s="1354"/>
      <c r="Y15" s="3701"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6" t="s">
        <v>1694</v>
      </c>
      <c r="Q29" s="1351" t="str">
        <f t="shared" si="11"/>
        <v>建筑类型</v>
      </c>
      <c r="R29" s="704" t="s">
        <v>14</v>
      </c>
      <c r="S29" s="705">
        <f t="shared" si="12"/>
        <v>100</v>
      </c>
      <c r="T29" s="704" t="s">
        <v>14</v>
      </c>
      <c r="U29" s="705">
        <f t="shared" si="13"/>
        <v>100</v>
      </c>
      <c r="V29" s="704" t="s">
        <v>14</v>
      </c>
      <c r="W29" s="705">
        <f t="shared" si="14"/>
        <v>100</v>
      </c>
      <c r="X29" s="1354"/>
      <c r="Y29" s="3706"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1694</v>
      </c>
      <c r="Q35" s="1351" t="str">
        <f t="shared" si="11"/>
        <v>市政基础设施</v>
      </c>
      <c r="R35" s="704" t="s">
        <v>14</v>
      </c>
      <c r="S35" s="705">
        <f t="shared" si="12"/>
        <v>100</v>
      </c>
      <c r="T35" s="704" t="s">
        <v>14</v>
      </c>
      <c r="U35" s="705">
        <f t="shared" si="13"/>
        <v>100</v>
      </c>
      <c r="V35" s="704" t="s">
        <v>14</v>
      </c>
      <c r="W35" s="705">
        <f t="shared" si="14"/>
        <v>100</v>
      </c>
      <c r="X35" s="1354"/>
      <c r="Y35" s="3706"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31"/>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1678</v>
      </c>
      <c r="Q7" s="3736"/>
      <c r="R7" s="700" t="s">
        <v>14</v>
      </c>
      <c r="S7" s="701">
        <f t="shared" ref="S7:S14" si="0">F7</f>
        <v>0</v>
      </c>
      <c r="T7" s="700" t="s">
        <v>14</v>
      </c>
      <c r="U7" s="701">
        <f t="shared" ref="U7:U14" si="1">H7</f>
        <v>0</v>
      </c>
      <c r="V7" s="700" t="s">
        <v>14</v>
      </c>
      <c r="W7" s="701">
        <f t="shared" ref="W7:W14"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36" si="3">D8/F8</f>
        <v>1</v>
      </c>
      <c r="AB8" s="703">
        <f t="shared" ref="AB8:AB36" si="4">D8/H8</f>
        <v>1</v>
      </c>
      <c r="AC8" s="703">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1684</v>
      </c>
      <c r="Q9" s="1342" t="str">
        <f t="shared" ref="Q9:Q14" si="6">B9</f>
        <v>用途</v>
      </c>
      <c r="R9" s="700" t="s">
        <v>14</v>
      </c>
      <c r="S9" s="701">
        <f t="shared" si="0"/>
        <v>100</v>
      </c>
      <c r="T9" s="700" t="s">
        <v>14</v>
      </c>
      <c r="U9" s="701">
        <f t="shared" si="1"/>
        <v>100</v>
      </c>
      <c r="V9" s="700" t="s">
        <v>14</v>
      </c>
      <c r="W9" s="701">
        <f t="shared" si="2"/>
        <v>100</v>
      </c>
      <c r="X9" s="702"/>
      <c r="Y9" s="3573" t="s">
        <v>1685</v>
      </c>
      <c r="Z9" s="52" t="str">
        <f t="shared" ref="Z9:Z14" si="7">Q9</f>
        <v>用途</v>
      </c>
      <c r="AA9" s="703">
        <f t="shared" si="3"/>
        <v>1</v>
      </c>
      <c r="AB9" s="703">
        <f t="shared" si="4"/>
        <v>1</v>
      </c>
      <c r="AC9" s="703">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1689</v>
      </c>
      <c r="Q14" s="1351" t="str">
        <f t="shared" si="6"/>
        <v>交通便捷度</v>
      </c>
      <c r="R14" s="704" t="s">
        <v>14</v>
      </c>
      <c r="S14" s="705">
        <f t="shared" si="0"/>
        <v>100</v>
      </c>
      <c r="T14" s="704" t="s">
        <v>14</v>
      </c>
      <c r="U14" s="705">
        <f t="shared" si="1"/>
        <v>100</v>
      </c>
      <c r="V14" s="704" t="s">
        <v>14</v>
      </c>
      <c r="W14" s="705">
        <f t="shared" si="2"/>
        <v>100</v>
      </c>
      <c r="X14" s="1354"/>
      <c r="Y14" s="3701"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2"/>
      <c r="Q15" s="1351"/>
      <c r="R15" s="704"/>
      <c r="S15" s="705"/>
      <c r="T15" s="704"/>
      <c r="U15" s="705"/>
      <c r="V15" s="704"/>
      <c r="W15" s="705"/>
      <c r="X15" s="1354"/>
      <c r="Y15" s="3702"/>
      <c r="Z15" s="1355"/>
      <c r="AA15" s="1352">
        <v>1</v>
      </c>
      <c r="AB15" s="1352">
        <v>1</v>
      </c>
      <c r="AC15" s="1352">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2"/>
      <c r="Q17" s="1351"/>
      <c r="R17" s="704"/>
      <c r="S17" s="705"/>
      <c r="T17" s="704"/>
      <c r="U17" s="705"/>
      <c r="V17" s="704"/>
      <c r="W17" s="705"/>
      <c r="X17" s="1354"/>
      <c r="Y17" s="3702"/>
      <c r="Z17" s="1355"/>
      <c r="AA17" s="1352">
        <v>1</v>
      </c>
      <c r="AB17" s="1352">
        <v>1</v>
      </c>
      <c r="AC17" s="1352">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2"/>
      <c r="Q19" s="1351"/>
      <c r="R19" s="704"/>
      <c r="S19" s="705"/>
      <c r="T19" s="704"/>
      <c r="U19" s="705"/>
      <c r="V19" s="704"/>
      <c r="W19" s="705"/>
      <c r="X19" s="1354"/>
      <c r="Y19" s="3702"/>
      <c r="Z19" s="1355"/>
      <c r="AA19" s="1352">
        <v>1</v>
      </c>
      <c r="AB19" s="1352">
        <v>1</v>
      </c>
      <c r="AC19" s="1352">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2"/>
      <c r="Q21" s="1351"/>
      <c r="R21" s="704"/>
      <c r="S21" s="705"/>
      <c r="T21" s="704"/>
      <c r="U21" s="705"/>
      <c r="V21" s="704"/>
      <c r="W21" s="705"/>
      <c r="X21" s="1354"/>
      <c r="Y21" s="3702"/>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6"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1694</v>
      </c>
      <c r="Q32" s="1351" t="str">
        <f t="shared" si="11"/>
        <v>车位类型</v>
      </c>
      <c r="R32" s="704" t="s">
        <v>14</v>
      </c>
      <c r="S32" s="705">
        <f t="shared" si="12"/>
        <v>100</v>
      </c>
      <c r="T32" s="704" t="s">
        <v>14</v>
      </c>
      <c r="U32" s="705">
        <f t="shared" si="13"/>
        <v>100</v>
      </c>
      <c r="V32" s="704" t="s">
        <v>14</v>
      </c>
      <c r="W32" s="705">
        <f t="shared" si="14"/>
        <v>100</v>
      </c>
      <c r="X32" s="1354"/>
      <c r="Y32" s="3706"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30" t="s">
        <v>1842</v>
      </c>
      <c r="B37" s="1972" t="s">
        <v>3350</v>
      </c>
      <c r="C37" s="1153" t="s">
        <v>0</v>
      </c>
      <c r="D37" s="1154"/>
      <c r="E37" s="1155"/>
      <c r="F37" s="1156"/>
      <c r="G37" s="1157"/>
      <c r="H37" s="1158"/>
      <c r="I37" s="1155"/>
      <c r="J37" s="1158"/>
      <c r="K37" s="568"/>
      <c r="L37" s="2722"/>
      <c r="M37" s="2723"/>
      <c r="N37" s="2714"/>
      <c r="O37" s="2723"/>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9"/>
      <c r="L39" s="2722"/>
      <c r="M39" s="2723"/>
      <c r="N39" s="2723"/>
      <c r="O39" s="2723"/>
      <c r="P39" s="3763" t="str">
        <f>A39</f>
        <v>估价对象XX用房的比较价值（楼面单价，元/平方米）</v>
      </c>
      <c r="Q39" s="3764"/>
      <c r="R39" s="3777" t="e">
        <f>IF(F1="售价",ROUND(IF(D38="简单平均",AVERAGE(R38:W38),R38*F38+T38*H38+V38*J38),0),ROUND(IF(D38="简单平均",AVERAGE(R38:V38),R38*F38+T38*H38+V38*J38),1))</f>
        <v>#DIV/0!</v>
      </c>
      <c r="S39" s="3777"/>
      <c r="T39" s="3777"/>
      <c r="U39" s="3777"/>
      <c r="V39" s="3777"/>
      <c r="W39" s="377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1848</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3330</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35" t="s">
        <v>1678</v>
      </c>
      <c r="Q7" s="3736"/>
      <c r="R7" s="700" t="s">
        <v>14</v>
      </c>
      <c r="S7" s="701">
        <f t="shared" ref="S7:S14" si="0">F7</f>
        <v>0</v>
      </c>
      <c r="T7" s="700" t="s">
        <v>14</v>
      </c>
      <c r="U7" s="701">
        <f t="shared" ref="U7:U14" si="1">H7</f>
        <v>0</v>
      </c>
      <c r="V7" s="700" t="s">
        <v>14</v>
      </c>
      <c r="W7" s="701">
        <f t="shared" ref="W7:W14"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1684</v>
      </c>
      <c r="Q9" s="1342" t="str">
        <f t="shared" ref="Q9:Q14" si="6">B9</f>
        <v>用途</v>
      </c>
      <c r="R9" s="700" t="s">
        <v>14</v>
      </c>
      <c r="S9" s="701">
        <f t="shared" si="0"/>
        <v>100</v>
      </c>
      <c r="T9" s="700" t="s">
        <v>14</v>
      </c>
      <c r="U9" s="701">
        <f t="shared" si="1"/>
        <v>100</v>
      </c>
      <c r="V9" s="700" t="s">
        <v>14</v>
      </c>
      <c r="W9" s="701">
        <f t="shared" si="2"/>
        <v>100</v>
      </c>
      <c r="X9" s="702"/>
      <c r="Y9" s="3573" t="s">
        <v>1685</v>
      </c>
      <c r="Z9" s="52" t="str">
        <f t="shared" ref="Z9:Z14" si="7">Q9</f>
        <v>用途</v>
      </c>
      <c r="AA9" s="703">
        <f t="shared" si="3"/>
        <v>1</v>
      </c>
      <c r="AB9" s="703">
        <f t="shared" si="4"/>
        <v>1</v>
      </c>
      <c r="AC9" s="703">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1689</v>
      </c>
      <c r="Q14" s="1351" t="str">
        <f t="shared" si="6"/>
        <v>交通便捷度</v>
      </c>
      <c r="R14" s="704" t="s">
        <v>14</v>
      </c>
      <c r="S14" s="705">
        <f t="shared" si="0"/>
        <v>100</v>
      </c>
      <c r="T14" s="704" t="s">
        <v>14</v>
      </c>
      <c r="U14" s="705">
        <f t="shared" si="1"/>
        <v>100</v>
      </c>
      <c r="V14" s="704" t="s">
        <v>14</v>
      </c>
      <c r="W14" s="705">
        <f t="shared" si="2"/>
        <v>100</v>
      </c>
      <c r="X14" s="1354"/>
      <c r="Y14" s="3701"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2"/>
      <c r="Q15" s="1351"/>
      <c r="R15" s="704"/>
      <c r="S15" s="705"/>
      <c r="T15" s="704"/>
      <c r="U15" s="705"/>
      <c r="V15" s="704"/>
      <c r="W15" s="705"/>
      <c r="X15" s="1354"/>
      <c r="Y15" s="3702"/>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2"/>
      <c r="Q17" s="1351"/>
      <c r="R17" s="704"/>
      <c r="S17" s="705"/>
      <c r="T17" s="704"/>
      <c r="U17" s="705"/>
      <c r="V17" s="704"/>
      <c r="W17" s="705"/>
      <c r="X17" s="1354"/>
      <c r="Y17" s="3702"/>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2"/>
      <c r="Q19" s="1351"/>
      <c r="R19" s="704"/>
      <c r="S19" s="705"/>
      <c r="T19" s="704"/>
      <c r="U19" s="705"/>
      <c r="V19" s="704"/>
      <c r="W19" s="705"/>
      <c r="X19" s="1354"/>
      <c r="Y19" s="3702"/>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2"/>
      <c r="Q21" s="1351"/>
      <c r="R21" s="704"/>
      <c r="S21" s="705"/>
      <c r="T21" s="704"/>
      <c r="U21" s="705"/>
      <c r="V21" s="704"/>
      <c r="W21" s="705"/>
      <c r="X21" s="1354"/>
      <c r="Y21" s="3702"/>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6"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1694</v>
      </c>
      <c r="Q32" s="1351">
        <f t="shared" si="11"/>
        <v>111</v>
      </c>
      <c r="R32" s="704" t="s">
        <v>14</v>
      </c>
      <c r="S32" s="705">
        <f t="shared" si="12"/>
        <v>100</v>
      </c>
      <c r="T32" s="704" t="s">
        <v>14</v>
      </c>
      <c r="U32" s="705">
        <f t="shared" si="13"/>
        <v>100</v>
      </c>
      <c r="V32" s="704" t="s">
        <v>14</v>
      </c>
      <c r="W32" s="705">
        <f t="shared" si="14"/>
        <v>100</v>
      </c>
      <c r="X32" s="1354"/>
      <c r="Y32" s="3706"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2"/>
      <c r="M35" s="2723"/>
      <c r="N35" s="2714"/>
      <c r="O35" s="2723"/>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2"/>
      <c r="M37" s="2723"/>
      <c r="N37" s="2723"/>
      <c r="O37" s="2723"/>
      <c r="P37" s="3763" t="str">
        <f>A37</f>
        <v>估价对象XX用房的比较价值（楼面单价，元/平方米）</v>
      </c>
      <c r="Q37" s="3764"/>
      <c r="R37" s="3777" t="e">
        <f>IF(F1="售价",ROUND(IF(D36="简单平均",AVERAGE(R36:W36),R36*F36+T36*H36+V36*J36),0),ROUND(IF(D36="简单平均",AVERAGE(R36:V36),R36*F36+T36*H36+V36*J36),1))</f>
        <v>#DIV/0!</v>
      </c>
      <c r="S37" s="3777"/>
      <c r="T37" s="3777"/>
      <c r="U37" s="3777"/>
      <c r="V37" s="3777"/>
      <c r="W37" s="377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1796</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30"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30"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30" s="108" customFormat="1" ht="15.75" thickBot="1">
      <c r="A7" s="362" t="s">
        <v>1677</v>
      </c>
      <c r="B7" s="363"/>
      <c r="C7" s="364">
        <f>'数据-取费表'!B2</f>
        <v>45772</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5" t="s">
        <v>1681</v>
      </c>
      <c r="Q8" s="3734"/>
      <c r="R8" s="700" t="s">
        <v>14</v>
      </c>
      <c r="S8" s="701">
        <f t="shared" si="0"/>
        <v>0</v>
      </c>
      <c r="T8" s="700" t="s">
        <v>14</v>
      </c>
      <c r="U8" s="701">
        <f t="shared" si="1"/>
        <v>0</v>
      </c>
      <c r="V8" s="700" t="s">
        <v>14</v>
      </c>
      <c r="W8" s="701">
        <f t="shared" si="2"/>
        <v>0</v>
      </c>
      <c r="X8" s="702"/>
      <c r="Y8" s="3735" t="s">
        <v>1681</v>
      </c>
      <c r="Z8" s="3734"/>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694"/>
      <c r="Q10" s="1342" t="str">
        <f t="shared" si="6"/>
        <v>土地使用年限（年）</v>
      </c>
      <c r="R10" s="700" t="s">
        <v>14</v>
      </c>
      <c r="S10" s="701">
        <f t="shared" si="0"/>
        <v>111</v>
      </c>
      <c r="T10" s="700" t="s">
        <v>14</v>
      </c>
      <c r="U10" s="701">
        <f t="shared" si="1"/>
        <v>111</v>
      </c>
      <c r="V10" s="700" t="s">
        <v>14</v>
      </c>
      <c r="W10" s="701">
        <f t="shared" si="2"/>
        <v>111</v>
      </c>
      <c r="X10" s="702"/>
      <c r="Y10" s="3573"/>
      <c r="Z10" s="52" t="str">
        <f t="shared" si="7"/>
        <v>土地使用年限（年）</v>
      </c>
      <c r="AA10" s="703">
        <f t="shared" si="3"/>
        <v>0.90090090090090091</v>
      </c>
      <c r="AB10" s="703">
        <f t="shared" si="4"/>
        <v>0.90090090090090091</v>
      </c>
      <c r="AC10" s="703">
        <f t="shared" si="5"/>
        <v>0.90090090090090091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4"/>
      <c r="Q12" s="1342" t="str">
        <f t="shared" si="6"/>
        <v>配建</v>
      </c>
      <c r="R12" s="700" t="s">
        <v>14</v>
      </c>
      <c r="S12" s="701">
        <f t="shared" si="0"/>
        <v>100</v>
      </c>
      <c r="T12" s="700" t="s">
        <v>14</v>
      </c>
      <c r="U12" s="701">
        <f t="shared" si="1"/>
        <v>100</v>
      </c>
      <c r="V12" s="700" t="s">
        <v>14</v>
      </c>
      <c r="W12" s="701">
        <f t="shared" si="2"/>
        <v>100</v>
      </c>
      <c r="X12" s="702"/>
      <c r="Y12" s="357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1689</v>
      </c>
      <c r="Q15" s="1351" t="str">
        <f t="shared" si="6"/>
        <v>居住社区成熟度</v>
      </c>
      <c r="R15" s="704" t="s">
        <v>14</v>
      </c>
      <c r="S15" s="705">
        <f t="shared" si="0"/>
        <v>100</v>
      </c>
      <c r="T15" s="704" t="s">
        <v>14</v>
      </c>
      <c r="U15" s="705">
        <f t="shared" si="1"/>
        <v>100</v>
      </c>
      <c r="V15" s="704" t="s">
        <v>14</v>
      </c>
      <c r="W15" s="705">
        <f t="shared" si="2"/>
        <v>100</v>
      </c>
      <c r="X15" s="1354"/>
      <c r="Y15" s="3701"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2"/>
      <c r="Q20" s="1351"/>
      <c r="R20" s="704"/>
      <c r="S20" s="705"/>
      <c r="T20" s="704"/>
      <c r="U20" s="705"/>
      <c r="V20" s="704"/>
      <c r="W20" s="705"/>
      <c r="X20" s="1354"/>
      <c r="Y20" s="3702"/>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2"/>
      <c r="Q24" s="1351"/>
      <c r="R24" s="704"/>
      <c r="S24" s="705"/>
      <c r="T24" s="704"/>
      <c r="U24" s="705"/>
      <c r="V24" s="704"/>
      <c r="W24" s="705"/>
      <c r="X24" s="1354"/>
      <c r="Y24" s="3702"/>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2"/>
      <c r="Q26" s="1351"/>
      <c r="R26" s="704"/>
      <c r="S26" s="705"/>
      <c r="T26" s="704"/>
      <c r="U26" s="705"/>
      <c r="V26" s="704"/>
      <c r="W26" s="705"/>
      <c r="X26" s="1354"/>
      <c r="Y26" s="3702"/>
      <c r="Z26" s="1355"/>
      <c r="AA26" s="1352">
        <v>1</v>
      </c>
      <c r="AB26" s="1352">
        <v>1</v>
      </c>
      <c r="AC26" s="1352">
        <v>1</v>
      </c>
    </row>
    <row r="27" spans="1:29" s="108" customFormat="1" ht="42.75">
      <c r="A27" s="597"/>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02"/>
      <c r="Q28" s="1342"/>
      <c r="R28" s="700"/>
      <c r="S28" s="701"/>
      <c r="T28" s="700"/>
      <c r="U28" s="701"/>
      <c r="V28" s="700"/>
      <c r="W28" s="701"/>
      <c r="X28" s="702"/>
      <c r="Y28" s="3702"/>
      <c r="Z28" s="52"/>
      <c r="AA28" s="1352">
        <v>1</v>
      </c>
      <c r="AB28" s="1352">
        <v>1</v>
      </c>
      <c r="AC28" s="1352">
        <v>1</v>
      </c>
    </row>
    <row r="29" spans="1:29" s="108" customFormat="1" ht="28.5">
      <c r="A29" s="597"/>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02"/>
      <c r="Q30" s="1342"/>
      <c r="R30" s="700"/>
      <c r="S30" s="701"/>
      <c r="T30" s="700"/>
      <c r="U30" s="701"/>
      <c r="V30" s="700"/>
      <c r="W30" s="701"/>
      <c r="X30" s="702"/>
      <c r="Y30" s="3702"/>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2"/>
      <c r="Q33" s="1351"/>
      <c r="R33" s="704"/>
      <c r="S33" s="705"/>
      <c r="T33" s="704"/>
      <c r="U33" s="705"/>
      <c r="V33" s="704"/>
      <c r="W33" s="705"/>
      <c r="X33" s="1354"/>
      <c r="Y33" s="3702"/>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6" t="s">
        <v>1694</v>
      </c>
      <c r="Q36" s="1351">
        <f t="shared" si="8"/>
        <v>111</v>
      </c>
      <c r="R36" s="704" t="s">
        <v>14</v>
      </c>
      <c r="S36" s="705">
        <f t="shared" si="10"/>
        <v>100</v>
      </c>
      <c r="T36" s="704" t="s">
        <v>14</v>
      </c>
      <c r="U36" s="705">
        <f t="shared" si="11"/>
        <v>100</v>
      </c>
      <c r="V36" s="704" t="s">
        <v>14</v>
      </c>
      <c r="W36" s="705">
        <f t="shared" si="12"/>
        <v>100</v>
      </c>
      <c r="X36" s="1354"/>
      <c r="Y36" s="3706" t="s">
        <v>1694</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6" t="s">
        <v>1694</v>
      </c>
      <c r="Q42" s="1351" t="str">
        <f t="shared" si="14"/>
        <v>工程地质条件</v>
      </c>
      <c r="R42" s="704" t="s">
        <v>14</v>
      </c>
      <c r="S42" s="705">
        <f t="shared" si="10"/>
        <v>100</v>
      </c>
      <c r="T42" s="704" t="s">
        <v>14</v>
      </c>
      <c r="U42" s="705">
        <f t="shared" si="11"/>
        <v>100</v>
      </c>
      <c r="V42" s="704" t="s">
        <v>14</v>
      </c>
      <c r="W42" s="705">
        <f t="shared" si="12"/>
        <v>100</v>
      </c>
      <c r="X42" s="1354"/>
      <c r="Y42" s="3706" t="s">
        <v>1694</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30" t="s">
        <v>1842</v>
      </c>
      <c r="B46" s="1981" t="s">
        <v>1877</v>
      </c>
      <c r="C46" s="630" t="s">
        <v>0</v>
      </c>
      <c r="D46" s="432"/>
      <c r="E46" s="433"/>
      <c r="F46" s="434"/>
      <c r="G46" s="435"/>
      <c r="H46" s="436"/>
      <c r="I46" s="433"/>
      <c r="J46" s="436"/>
      <c r="K46" s="713"/>
      <c r="L46" s="2722"/>
      <c r="M46" s="2723"/>
      <c r="N46" s="2714"/>
      <c r="O46" s="2723"/>
      <c r="P46" s="3694" t="str">
        <f>A46</f>
        <v>成交单价</v>
      </c>
      <c r="Q46" s="3694"/>
      <c r="R46" s="3728">
        <f>E46</f>
        <v>0</v>
      </c>
      <c r="S46" s="3728"/>
      <c r="T46" s="3728">
        <f>G46</f>
        <v>0</v>
      </c>
      <c r="U46" s="3728"/>
      <c r="V46" s="3728">
        <f>I46</f>
        <v>0</v>
      </c>
      <c r="W46" s="3728"/>
      <c r="X46" s="689"/>
      <c r="Y46" s="711"/>
      <c r="Z46" s="689"/>
      <c r="AA46" s="689"/>
      <c r="AB46" s="689"/>
      <c r="AC46" s="689"/>
    </row>
    <row r="47" spans="1:29" ht="15.75" thickBot="1">
      <c r="A47" s="437" t="s">
        <v>1791</v>
      </c>
      <c r="B47" s="631"/>
      <c r="C47" s="440" t="e">
        <f>R48</f>
        <v>#DIV/0!</v>
      </c>
      <c r="D47" s="2316" t="s">
        <v>2135</v>
      </c>
      <c r="E47" s="440" t="e">
        <f>R47</f>
        <v>#DIV/0!</v>
      </c>
      <c r="F47" s="2317"/>
      <c r="G47" s="439" t="e">
        <f>T47</f>
        <v>#DIV/0!</v>
      </c>
      <c r="H47" s="2317"/>
      <c r="I47" s="440" t="e">
        <f>V47</f>
        <v>#DIV/0!</v>
      </c>
      <c r="J47" s="2317"/>
      <c r="K47" s="2319">
        <f>F47+H47+J47</f>
        <v>0</v>
      </c>
      <c r="L47" s="2722"/>
      <c r="M47" s="2723"/>
      <c r="N47" s="2723"/>
      <c r="O47" s="2723"/>
      <c r="P47" s="3694" t="str">
        <f>A47</f>
        <v>比较价值（元/平方米）</v>
      </c>
      <c r="Q47" s="3694"/>
      <c r="R47" s="3778" t="e">
        <f>ROUND(PRODUCT(R46,AA7:AA45),0)</f>
        <v>#DIV/0!</v>
      </c>
      <c r="S47" s="3778"/>
      <c r="T47" s="3778" t="e">
        <f>ROUND(PRODUCT(T46,AB7:AB45),0)</f>
        <v>#DIV/0!</v>
      </c>
      <c r="U47" s="3778"/>
      <c r="V47" s="3778" t="e">
        <f>ROUND(PRODUCT(V46,AC7:AC45),0)</f>
        <v>#DIV/0!</v>
      </c>
      <c r="W47" s="3778"/>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2"/>
      <c r="M48" s="2723"/>
      <c r="N48" s="2723"/>
      <c r="O48" s="2723"/>
      <c r="P48" s="3763" t="str">
        <f>A48</f>
        <v>估价对象XX用房的比较价值（楼面单价，元/平方米）</v>
      </c>
      <c r="Q48" s="3764"/>
      <c r="R48" s="3779" t="e">
        <f>ROUND(IF(D47="简单平均",AVERAGE(R47:W47),R47*F47+T47*H47+V47*J47),0)</f>
        <v>#DIV/0!</v>
      </c>
      <c r="S48" s="3779"/>
      <c r="T48" s="3779"/>
      <c r="U48" s="3779"/>
      <c r="V48" s="3779"/>
      <c r="W48" s="377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89" t="s">
        <v>1884</v>
      </c>
      <c r="G55" s="3711" t="s">
        <v>1885</v>
      </c>
      <c r="H55" s="3780"/>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3">
        <v>1</v>
      </c>
      <c r="E56" s="638">
        <f>'数据-汇总表'!E8+'数据-汇总表'!E9</f>
        <v>62.62</v>
      </c>
      <c r="F56" s="885" t="e">
        <f t="shared" ref="F56:F64" si="15">ROUND(B56*E56/10000,0)</f>
        <v>#DIV/0!</v>
      </c>
      <c r="G56" s="3693"/>
      <c r="H56" s="369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4">
        <v>0.25</v>
      </c>
      <c r="E57" s="642"/>
      <c r="F57" s="885" t="e">
        <f t="shared" si="15"/>
        <v>#DIV/0!</v>
      </c>
      <c r="G57" s="3004" t="s">
        <v>1890</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0.25</v>
      </c>
      <c r="D60" s="944">
        <v>0.25</v>
      </c>
      <c r="E60" s="217">
        <f>'数据-汇总表'!E11</f>
        <v>0</v>
      </c>
      <c r="F60" s="885" t="e">
        <f t="shared" si="15"/>
        <v>#DIV/0!</v>
      </c>
      <c r="G60" s="1986" t="s">
        <v>1894</v>
      </c>
      <c r="H60" s="886" t="str">
        <f>项目基本情况!C37</f>
        <v>三级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0.25</v>
      </c>
      <c r="D61" s="944">
        <v>0.25</v>
      </c>
      <c r="E61" s="217">
        <f>'数据-汇总表'!E12</f>
        <v>0</v>
      </c>
      <c r="F61" s="885" t="e">
        <f t="shared" si="15"/>
        <v>#DIV/0!</v>
      </c>
      <c r="G61" s="891" t="s">
        <v>1896</v>
      </c>
      <c r="H61" s="886" t="str">
        <f>IF(G61="商业",项目基本情况!B37,IF(G61="办公",项目基本情况!C37,IF(G61="住宅",项目基本情况!D37,项目基本情况!E37)))</f>
        <v>三级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0.15</v>
      </c>
      <c r="D64" s="944">
        <v>0.25</v>
      </c>
      <c r="E64" s="217">
        <f>'数据-汇总表'!E15</f>
        <v>0</v>
      </c>
      <c r="F64" s="885" t="e">
        <f t="shared" si="15"/>
        <v>#DIV/0!</v>
      </c>
      <c r="G64" s="1987" t="s">
        <v>1894</v>
      </c>
      <c r="H64" s="896" t="str">
        <f>项目基本情况!C37</f>
        <v>三级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62.62</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3"/>
      <c r="Q67" s="2723"/>
      <c r="R67" s="2723"/>
      <c r="S67" s="2723"/>
      <c r="T67" s="2723"/>
      <c r="U67" s="2723"/>
      <c r="V67" s="2723"/>
      <c r="W67" s="2723"/>
      <c r="X67" s="2723"/>
      <c r="Y67" s="2723"/>
      <c r="Z67" s="2723"/>
      <c r="AA67" s="2723"/>
      <c r="AB67" s="2723"/>
      <c r="AC67" s="2723"/>
    </row>
    <row r="68" spans="1:29" ht="21.75" thickBot="1">
      <c r="A68" s="693" t="s">
        <v>1796</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81" t="s">
        <v>1917</v>
      </c>
      <c r="D6" s="3782"/>
      <c r="E6" s="3783" t="s">
        <v>1917</v>
      </c>
      <c r="F6" s="3784"/>
      <c r="G6" s="3781" t="s">
        <v>1917</v>
      </c>
      <c r="H6" s="3782"/>
      <c r="I6" s="3781" t="s">
        <v>1917</v>
      </c>
      <c r="J6" s="3782"/>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1681</v>
      </c>
      <c r="Q8" s="3734"/>
      <c r="R8" s="700" t="s">
        <v>14</v>
      </c>
      <c r="S8" s="701">
        <f t="shared" si="0"/>
        <v>0</v>
      </c>
      <c r="T8" s="700" t="s">
        <v>14</v>
      </c>
      <c r="U8" s="701">
        <f t="shared" si="1"/>
        <v>0</v>
      </c>
      <c r="V8" s="700" t="s">
        <v>14</v>
      </c>
      <c r="W8" s="701">
        <f t="shared" si="2"/>
        <v>0</v>
      </c>
      <c r="X8" s="702"/>
      <c r="Y8" s="3735" t="s">
        <v>1681</v>
      </c>
      <c r="Z8" s="3734"/>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694"/>
      <c r="Q10" s="1342" t="str">
        <f t="shared" si="6"/>
        <v>土地使用年限（年）</v>
      </c>
      <c r="R10" s="700" t="s">
        <v>14</v>
      </c>
      <c r="S10" s="701">
        <f t="shared" si="0"/>
        <v>111</v>
      </c>
      <c r="T10" s="700" t="s">
        <v>14</v>
      </c>
      <c r="U10" s="701">
        <f t="shared" si="1"/>
        <v>111</v>
      </c>
      <c r="V10" s="700" t="s">
        <v>14</v>
      </c>
      <c r="W10" s="701">
        <f t="shared" si="2"/>
        <v>111</v>
      </c>
      <c r="X10" s="702"/>
      <c r="Y10" s="3573"/>
      <c r="Z10" s="52" t="str">
        <f t="shared" si="7"/>
        <v>土地使用年限（年）</v>
      </c>
      <c r="AA10" s="703">
        <f t="shared" si="3"/>
        <v>0.90090090090090091</v>
      </c>
      <c r="AB10" s="703">
        <f t="shared" si="4"/>
        <v>0.90090090090090091</v>
      </c>
      <c r="AC10" s="703">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1689</v>
      </c>
      <c r="Q15" s="1351" t="str">
        <f t="shared" si="6"/>
        <v>产业集聚程度</v>
      </c>
      <c r="R15" s="704" t="s">
        <v>14</v>
      </c>
      <c r="S15" s="705">
        <f t="shared" si="0"/>
        <v>100</v>
      </c>
      <c r="T15" s="704" t="s">
        <v>14</v>
      </c>
      <c r="U15" s="705">
        <f t="shared" si="1"/>
        <v>100</v>
      </c>
      <c r="V15" s="704" t="s">
        <v>14</v>
      </c>
      <c r="W15" s="705">
        <f t="shared" si="2"/>
        <v>100</v>
      </c>
      <c r="X15" s="1354"/>
      <c r="Y15" s="3701"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2"/>
      <c r="Q20" s="1351"/>
      <c r="R20" s="704"/>
      <c r="S20" s="705"/>
      <c r="T20" s="704"/>
      <c r="U20" s="705"/>
      <c r="V20" s="704"/>
      <c r="W20" s="705"/>
      <c r="X20" s="1354"/>
      <c r="Y20" s="3702"/>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2"/>
      <c r="Q24" s="1342"/>
      <c r="R24" s="700"/>
      <c r="S24" s="701"/>
      <c r="T24" s="700"/>
      <c r="U24" s="701"/>
      <c r="V24" s="700"/>
      <c r="W24" s="701"/>
      <c r="X24" s="702"/>
      <c r="Y24" s="3702"/>
      <c r="Z24" s="52"/>
      <c r="AA24" s="703">
        <v>1</v>
      </c>
      <c r="AB24" s="703">
        <v>1</v>
      </c>
      <c r="AC24" s="703">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2"/>
      <c r="Q26" s="1342"/>
      <c r="R26" s="700"/>
      <c r="S26" s="701"/>
      <c r="T26" s="700"/>
      <c r="U26" s="701"/>
      <c r="V26" s="700"/>
      <c r="W26" s="701"/>
      <c r="X26" s="702"/>
      <c r="Y26" s="3702"/>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2"/>
      <c r="Q29" s="1351"/>
      <c r="R29" s="704"/>
      <c r="S29" s="705"/>
      <c r="T29" s="704"/>
      <c r="U29" s="705"/>
      <c r="V29" s="704"/>
      <c r="W29" s="705"/>
      <c r="X29" s="1354"/>
      <c r="Y29" s="3702"/>
      <c r="Z29" s="1355"/>
      <c r="AA29" s="1352">
        <v>1</v>
      </c>
      <c r="AB29" s="1352">
        <v>1</v>
      </c>
      <c r="AC29" s="1352">
        <v>1</v>
      </c>
    </row>
    <row r="30" spans="1:29" ht="15">
      <c r="A30" s="379"/>
      <c r="B30" s="602" t="s">
        <v>1871</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6" t="s">
        <v>1694</v>
      </c>
      <c r="Q32" s="1351">
        <f t="shared" si="8"/>
        <v>111</v>
      </c>
      <c r="R32" s="704" t="s">
        <v>14</v>
      </c>
      <c r="S32" s="705">
        <f t="shared" si="10"/>
        <v>100</v>
      </c>
      <c r="T32" s="704" t="s">
        <v>14</v>
      </c>
      <c r="U32" s="705">
        <f t="shared" si="11"/>
        <v>100</v>
      </c>
      <c r="V32" s="704" t="s">
        <v>14</v>
      </c>
      <c r="W32" s="705">
        <f t="shared" si="12"/>
        <v>100</v>
      </c>
      <c r="X32" s="1354"/>
      <c r="Y32" s="3706"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6" t="s">
        <v>1694</v>
      </c>
      <c r="Q37" s="1351" t="str">
        <f t="shared" si="14"/>
        <v>工程地质条件</v>
      </c>
      <c r="R37" s="704" t="s">
        <v>14</v>
      </c>
      <c r="S37" s="705">
        <f t="shared" si="10"/>
        <v>100</v>
      </c>
      <c r="T37" s="704" t="s">
        <v>14</v>
      </c>
      <c r="U37" s="705">
        <f t="shared" si="11"/>
        <v>100</v>
      </c>
      <c r="V37" s="704" t="s">
        <v>14</v>
      </c>
      <c r="W37" s="705">
        <f t="shared" si="12"/>
        <v>100</v>
      </c>
      <c r="X37" s="1354"/>
      <c r="Y37" s="3706" t="s">
        <v>1694</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3"/>
      <c r="L41" s="2722"/>
      <c r="M41" s="2714"/>
      <c r="N41" s="2714"/>
      <c r="O41" s="2723"/>
      <c r="P41" s="3694" t="str">
        <f>A41</f>
        <v>成交单价</v>
      </c>
      <c r="Q41" s="3694"/>
      <c r="R41" s="3728">
        <f>E41</f>
        <v>0</v>
      </c>
      <c r="S41" s="3728"/>
      <c r="T41" s="3728">
        <f>G41</f>
        <v>0</v>
      </c>
      <c r="U41" s="3728"/>
      <c r="V41" s="3728">
        <f>I41</f>
        <v>0</v>
      </c>
      <c r="W41" s="3728"/>
      <c r="X41" s="689"/>
      <c r="Y41" s="711"/>
      <c r="Z41" s="689"/>
      <c r="AA41" s="689"/>
      <c r="AB41" s="689"/>
      <c r="AC41" s="689"/>
    </row>
    <row r="42" spans="1:31" ht="15.75" thickBot="1">
      <c r="A42" s="437" t="s">
        <v>1791</v>
      </c>
      <c r="B42" s="631"/>
      <c r="C42" s="440" t="e">
        <f>R43</f>
        <v>#DIV/0!</v>
      </c>
      <c r="D42" s="2316" t="s">
        <v>2135</v>
      </c>
      <c r="E42" s="440" t="e">
        <f>R42</f>
        <v>#DIV/0!</v>
      </c>
      <c r="F42" s="2317"/>
      <c r="G42" s="439" t="e">
        <f>T42</f>
        <v>#DIV/0!</v>
      </c>
      <c r="H42" s="2317"/>
      <c r="I42" s="440" t="e">
        <f>V42</f>
        <v>#DIV/0!</v>
      </c>
      <c r="J42" s="2317"/>
      <c r="K42" s="2319">
        <f>F42+H42+J42</f>
        <v>0</v>
      </c>
      <c r="L42" s="2722"/>
      <c r="M42" s="2714"/>
      <c r="N42" s="2714"/>
      <c r="O42" s="2723"/>
      <c r="P42" s="3694" t="str">
        <f>A42</f>
        <v>比较价值（元/平方米）</v>
      </c>
      <c r="Q42" s="3694"/>
      <c r="R42" s="3778" t="e">
        <f>ROUND(PRODUCT(R41,AA7:AA40),0)</f>
        <v>#DIV/0!</v>
      </c>
      <c r="S42" s="3778"/>
      <c r="T42" s="3778" t="e">
        <f>ROUND(PRODUCT(T41,AB7:AB40),0)</f>
        <v>#DIV/0!</v>
      </c>
      <c r="U42" s="3778"/>
      <c r="V42" s="3778" t="e">
        <f>ROUND(PRODUCT(V41,AC7:AC40),0)</f>
        <v>#DIV/0!</v>
      </c>
      <c r="W42" s="377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2"/>
      <c r="M43" s="2714"/>
      <c r="N43" s="2714"/>
      <c r="O43" s="2723"/>
      <c r="P43" s="3763" t="str">
        <f>A43</f>
        <v>估价对象XX用房的比较价值（楼面单价，元/平方米）</v>
      </c>
      <c r="Q43" s="3764"/>
      <c r="R43" s="3779" t="e">
        <f>ROUND(IF(D42="简单平均",AVERAGE(R42:W42),R42*F42+T42*H42+V42*J42),0)</f>
        <v>#DIV/0!</v>
      </c>
      <c r="S43" s="3779"/>
      <c r="T43" s="3779"/>
      <c r="U43" s="3779"/>
      <c r="V43" s="3779"/>
      <c r="W43" s="377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11" t="s">
        <v>1885</v>
      </c>
      <c r="H50" s="3780"/>
      <c r="I50" s="1355" t="s">
        <v>1921</v>
      </c>
      <c r="J50" s="1355">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3">
        <v>1</v>
      </c>
      <c r="E51" s="638">
        <f>'数据-汇总表'!E8+'数据-汇总表'!E9</f>
        <v>62.62</v>
      </c>
      <c r="F51" s="639" t="e">
        <f t="shared" ref="F51:F60" si="15">ROUND(B51*E51/10000,0)</f>
        <v>#DIV/0!</v>
      </c>
      <c r="G51" s="3693"/>
      <c r="H51" s="369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4">
        <v>0.25</v>
      </c>
      <c r="E52" s="642"/>
      <c r="F52" s="639" t="e">
        <f t="shared" si="15"/>
        <v>#DIV/0!</v>
      </c>
      <c r="G52" s="3004" t="s">
        <v>1890</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0.25</v>
      </c>
      <c r="D56" s="944">
        <v>0.25</v>
      </c>
      <c r="E56" s="217">
        <f>'数据-汇总表'!E11</f>
        <v>0</v>
      </c>
      <c r="F56" s="639" t="e">
        <f t="shared" si="15"/>
        <v>#DIV/0!</v>
      </c>
      <c r="G56" s="1986" t="s">
        <v>1894</v>
      </c>
      <c r="H56" s="886" t="str">
        <f>项目基本情况!C37</f>
        <v>三级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0.25</v>
      </c>
      <c r="D57" s="944">
        <v>0.25</v>
      </c>
      <c r="E57" s="217">
        <f>'数据-汇总表'!E12</f>
        <v>0</v>
      </c>
      <c r="F57" s="639" t="e">
        <f t="shared" si="15"/>
        <v>#DIV/0!</v>
      </c>
      <c r="G57" s="891" t="s">
        <v>1896</v>
      </c>
      <c r="H57" s="886" t="str">
        <f>IF(G57="商业",项目基本情况!B37,IF(G57="办公",项目基本情况!C37,IF(G57="住宅",项目基本情况!D37,项目基本情况!E37)))</f>
        <v>三级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4">
        <v>0.25</v>
      </c>
      <c r="E58" s="217">
        <f>'数据-汇总表'!E13</f>
        <v>0</v>
      </c>
      <c r="F58" s="639" t="e">
        <f t="shared" si="15"/>
        <v>#DIV/0!</v>
      </c>
      <c r="G58" s="891" t="s">
        <v>1898</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4">
        <v>0.25</v>
      </c>
      <c r="E59" s="217">
        <f>'数据-汇总表'!E14</f>
        <v>0</v>
      </c>
      <c r="F59" s="639" t="e">
        <f t="shared" si="15"/>
        <v>#DIV/0!</v>
      </c>
      <c r="G59" s="1986" t="s">
        <v>1890</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0.15</v>
      </c>
      <c r="D60" s="944">
        <v>0.25</v>
      </c>
      <c r="E60" s="217">
        <f>'数据-汇总表'!E15</f>
        <v>0</v>
      </c>
      <c r="F60" s="639" t="e">
        <f t="shared" si="15"/>
        <v>#DIV/0!</v>
      </c>
      <c r="G60" s="1987" t="s">
        <v>1894</v>
      </c>
      <c r="H60" s="896" t="str">
        <f>项目基本情况!C37</f>
        <v>三级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3" t="s">
        <v>1796</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88" t="s">
        <v>2082</v>
      </c>
      <c r="D1" s="3789"/>
      <c r="E1" s="3789"/>
      <c r="F1" s="3789"/>
      <c r="G1" s="3789"/>
      <c r="H1" s="3789"/>
      <c r="I1" s="3789"/>
      <c r="J1" s="3789"/>
      <c r="K1" s="3789"/>
      <c r="L1" s="3789"/>
      <c r="M1" s="3789"/>
      <c r="N1" s="3789"/>
      <c r="O1" s="3789"/>
      <c r="P1" s="3789"/>
      <c r="Q1" s="3789"/>
      <c r="R1" s="3789"/>
      <c r="S1" s="3790"/>
      <c r="T1" s="982" t="s">
        <v>2083</v>
      </c>
    </row>
    <row r="2" spans="1:45" s="655" customFormat="1" ht="25.5">
      <c r="A2" s="983"/>
      <c r="B2" s="651" t="s">
        <v>2084</v>
      </c>
      <c r="C2" s="652" t="str">
        <f t="shared" ref="C2:L2" si="0">C3&amp;"(含)"&amp;"-"&amp;D3</f>
        <v>0(含)-300</v>
      </c>
      <c r="D2" s="653" t="str">
        <f t="shared" si="0"/>
        <v>300(含)-600</v>
      </c>
      <c r="E2" s="653" t="str">
        <f t="shared" si="0"/>
        <v>600(含)-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436</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33217</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131.26</v>
      </c>
      <c r="C22" s="3785" t="s">
        <v>27</v>
      </c>
      <c r="D22" s="3786"/>
      <c r="E22" s="3786"/>
      <c r="F22" s="3786"/>
      <c r="G22" s="3786"/>
      <c r="H22" s="3786"/>
      <c r="I22" s="3786"/>
      <c r="J22" s="3786"/>
      <c r="K22" s="3786"/>
      <c r="L22" s="3786"/>
      <c r="M22" s="3786"/>
      <c r="N22" s="3786"/>
      <c r="O22" s="3786"/>
      <c r="P22" s="3786"/>
      <c r="Q22" s="3787"/>
      <c r="R22" s="662">
        <f ca="1">ROUND(S22*10000/B22,0)</f>
        <v>33217</v>
      </c>
      <c r="S22" s="21">
        <f ca="1">SUM(S24:S10000)</f>
        <v>436</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301</v>
      </c>
      <c r="B24" s="664">
        <f>'数据-基础表'!I13</f>
        <v>62.62</v>
      </c>
      <c r="C24" s="2808">
        <v>1</v>
      </c>
      <c r="D24" s="2809"/>
      <c r="E24" s="2808">
        <v>1</v>
      </c>
      <c r="F24" s="2809"/>
      <c r="G24" s="2808">
        <v>1</v>
      </c>
      <c r="H24" s="2809"/>
      <c r="I24" s="2808">
        <v>1</v>
      </c>
      <c r="J24" s="2809"/>
      <c r="K24" s="2808">
        <v>1</v>
      </c>
      <c r="L24" s="2809"/>
      <c r="M24" s="2808">
        <v>1</v>
      </c>
      <c r="N24" s="2809"/>
      <c r="O24" s="2808">
        <v>1</v>
      </c>
      <c r="P24" s="2809"/>
      <c r="Q24" s="2808">
        <v>1</v>
      </c>
      <c r="R24" s="667">
        <f ca="1">结果表!G20</f>
        <v>33273</v>
      </c>
      <c r="S24" s="665">
        <f t="shared" ref="S24:S54" ca="1" si="11">ROUND(R24*B24/10000,0)</f>
        <v>208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305</v>
      </c>
      <c r="B25" s="54">
        <v>68.64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33273</v>
      </c>
      <c r="S25" s="316">
        <f t="shared" ca="1" si="11"/>
        <v>228</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142</v>
      </c>
      <c r="C2" s="2144" t="s">
        <v>2072</v>
      </c>
      <c r="D2" s="2144" t="s">
        <v>2073</v>
      </c>
      <c r="E2" s="2611">
        <f ca="1">SUMIF(E6:E13,"&lt;&gt;#ref!",E6:E13)</f>
        <v>62.62</v>
      </c>
      <c r="F2" s="2791"/>
      <c r="G2" s="2791"/>
      <c r="H2" s="2791"/>
      <c r="I2" s="2791"/>
      <c r="J2" s="2791"/>
      <c r="K2" s="2791"/>
      <c r="L2" s="2791"/>
      <c r="M2" s="2791"/>
      <c r="N2" s="2791"/>
      <c r="O2" s="2791"/>
      <c r="P2" s="2791"/>
    </row>
    <row r="3" spans="1:16" ht="15.75">
      <c r="A3" s="2144" t="s">
        <v>2074</v>
      </c>
      <c r="B3" s="2601">
        <f ca="1">ROUND(B2*10000/E2,0)</f>
        <v>22676</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142</v>
      </c>
      <c r="C6" s="2144" t="s">
        <v>2072</v>
      </c>
      <c r="D6" s="2791"/>
      <c r="E6" s="2611">
        <f ca="1">SUMIF(INDIRECT("'"&amp;A6&amp;"'"&amp;"!C:C"),"建筑面积",INDIRECT("'"&amp;A6&amp;"'"&amp;"!D:D"))</f>
        <v>62.62</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800" t="s">
        <v>2604</v>
      </c>
      <c r="B20" s="3795" t="s">
        <v>2625</v>
      </c>
      <c r="C20" s="3101" t="s">
        <v>2436</v>
      </c>
      <c r="D20" s="3102"/>
      <c r="E20" s="3103">
        <v>1</v>
      </c>
      <c r="F20" s="3104" t="s">
        <v>2437</v>
      </c>
      <c r="G20" s="3104"/>
    </row>
    <row r="21" spans="1:13" ht="19.5" customHeight="1">
      <c r="A21" s="3801"/>
      <c r="B21" s="3794"/>
      <c r="C21" s="3105" t="s">
        <v>2438</v>
      </c>
      <c r="D21" s="3106"/>
      <c r="E21" s="3107">
        <v>1</v>
      </c>
      <c r="F21" s="3104" t="s">
        <v>2439</v>
      </c>
      <c r="G21" s="3104"/>
    </row>
    <row r="22" spans="1:13" ht="19.5" customHeight="1">
      <c r="A22" s="3801"/>
      <c r="B22" s="3794"/>
      <c r="C22" s="3105" t="s">
        <v>2440</v>
      </c>
      <c r="D22" s="3106"/>
      <c r="E22" s="3107">
        <v>0.9</v>
      </c>
      <c r="F22" s="3104" t="s">
        <v>2441</v>
      </c>
      <c r="G22" s="3104"/>
    </row>
    <row r="23" spans="1:13" ht="19.5" customHeight="1">
      <c r="A23" s="3801"/>
      <c r="B23" s="3794"/>
      <c r="C23" s="3105" t="s">
        <v>2442</v>
      </c>
      <c r="D23" s="3106"/>
      <c r="E23" s="3107">
        <v>0.9</v>
      </c>
      <c r="F23" s="3104" t="s">
        <v>2443</v>
      </c>
      <c r="G23" s="3104"/>
    </row>
    <row r="24" spans="1:13" ht="19.5" customHeight="1">
      <c r="A24" s="3801"/>
      <c r="B24" s="3794"/>
      <c r="C24" s="3105" t="s">
        <v>2444</v>
      </c>
      <c r="D24" s="3106"/>
      <c r="E24" s="3107">
        <v>0.8</v>
      </c>
      <c r="F24" s="3104" t="s">
        <v>2445</v>
      </c>
      <c r="G24" s="3104"/>
    </row>
    <row r="25" spans="1:13" ht="19.5" customHeight="1" thickBot="1">
      <c r="A25" s="3802"/>
      <c r="B25" s="3796"/>
      <c r="C25" s="3108" t="s">
        <v>2446</v>
      </c>
      <c r="D25" s="3109"/>
      <c r="E25" s="3110">
        <v>0.8</v>
      </c>
      <c r="F25" s="3104" t="s">
        <v>2447</v>
      </c>
      <c r="G25" s="3104"/>
    </row>
    <row r="26" spans="1:13" ht="19.5" customHeight="1" thickBot="1">
      <c r="A26" s="3111" t="s">
        <v>2626</v>
      </c>
      <c r="B26" s="3112" t="s">
        <v>2625</v>
      </c>
      <c r="C26" s="3113" t="s">
        <v>2627</v>
      </c>
      <c r="D26" s="3114"/>
      <c r="E26" s="3115">
        <v>1</v>
      </c>
      <c r="F26" s="3104" t="s">
        <v>2448</v>
      </c>
      <c r="G26" s="3104"/>
    </row>
    <row r="27" spans="1:13" ht="19.5" customHeight="1">
      <c r="A27" s="3797" t="s">
        <v>2628</v>
      </c>
      <c r="B27" s="3795" t="s">
        <v>2609</v>
      </c>
      <c r="C27" s="3101" t="s">
        <v>2449</v>
      </c>
      <c r="D27" s="3102"/>
      <c r="E27" s="3103">
        <v>1</v>
      </c>
      <c r="F27" s="3104" t="s">
        <v>2450</v>
      </c>
      <c r="G27" s="3104"/>
    </row>
    <row r="28" spans="1:13" ht="19.5" customHeight="1">
      <c r="A28" s="3798"/>
      <c r="B28" s="3794"/>
      <c r="C28" s="3105" t="s">
        <v>2451</v>
      </c>
      <c r="D28" s="3106"/>
      <c r="E28" s="3107">
        <v>1</v>
      </c>
      <c r="F28" s="3104" t="s">
        <v>2452</v>
      </c>
      <c r="G28" s="3104"/>
    </row>
    <row r="29" spans="1:13" ht="19.5" customHeight="1">
      <c r="A29" s="3798"/>
      <c r="B29" s="3794"/>
      <c r="C29" s="3105" t="s">
        <v>2453</v>
      </c>
      <c r="D29" s="3106"/>
      <c r="E29" s="3107">
        <v>0.8</v>
      </c>
      <c r="F29" s="3104" t="s">
        <v>2454</v>
      </c>
      <c r="G29" s="3104"/>
    </row>
    <row r="30" spans="1:13" ht="19.5" customHeight="1">
      <c r="A30" s="3798"/>
      <c r="B30" s="3794"/>
      <c r="C30" s="3105" t="s">
        <v>2455</v>
      </c>
      <c r="D30" s="3106"/>
      <c r="E30" s="3107">
        <v>0.8</v>
      </c>
      <c r="F30" s="3104" t="s">
        <v>2456</v>
      </c>
      <c r="G30" s="3104"/>
    </row>
    <row r="31" spans="1:13" ht="19.5" customHeight="1">
      <c r="A31" s="3798"/>
      <c r="B31" s="3794"/>
      <c r="C31" s="3105" t="s">
        <v>2457</v>
      </c>
      <c r="D31" s="3106"/>
      <c r="E31" s="3107">
        <v>0.8</v>
      </c>
      <c r="F31" s="3104" t="s">
        <v>2458</v>
      </c>
      <c r="G31" s="3104"/>
    </row>
    <row r="32" spans="1:13" ht="19.5" customHeight="1">
      <c r="A32" s="3798"/>
      <c r="B32" s="3794"/>
      <c r="C32" s="3105" t="s">
        <v>2459</v>
      </c>
      <c r="D32" s="3106"/>
      <c r="E32" s="3107">
        <v>0.7</v>
      </c>
      <c r="F32" s="3104" t="s">
        <v>2460</v>
      </c>
      <c r="G32" s="3104"/>
    </row>
    <row r="33" spans="1:7" ht="19.5" customHeight="1">
      <c r="A33" s="3798"/>
      <c r="B33" s="3794"/>
      <c r="C33" s="3105" t="s">
        <v>2461</v>
      </c>
      <c r="D33" s="3106"/>
      <c r="E33" s="3107">
        <v>0.8</v>
      </c>
      <c r="F33" s="3104" t="s">
        <v>2462</v>
      </c>
      <c r="G33" s="3104"/>
    </row>
    <row r="34" spans="1:7" ht="19.5" customHeight="1">
      <c r="A34" s="3798"/>
      <c r="B34" s="3794"/>
      <c r="C34" s="3105" t="s">
        <v>2463</v>
      </c>
      <c r="D34" s="3106"/>
      <c r="E34" s="3107">
        <v>0.6</v>
      </c>
      <c r="F34" s="3104" t="s">
        <v>2464</v>
      </c>
      <c r="G34" s="3104"/>
    </row>
    <row r="35" spans="1:7" ht="19.5" customHeight="1">
      <c r="A35" s="3798"/>
      <c r="B35" s="3794"/>
      <c r="C35" s="3105" t="s">
        <v>2465</v>
      </c>
      <c r="D35" s="3106"/>
      <c r="E35" s="3107">
        <v>0.2</v>
      </c>
      <c r="F35" s="3104" t="s">
        <v>2466</v>
      </c>
      <c r="G35" s="3104"/>
    </row>
    <row r="36" spans="1:7" ht="19.5" customHeight="1">
      <c r="A36" s="3798"/>
      <c r="B36" s="3794"/>
      <c r="C36" s="3105" t="s">
        <v>2467</v>
      </c>
      <c r="D36" s="3106"/>
      <c r="E36" s="3107">
        <v>0.2</v>
      </c>
      <c r="F36" s="3104" t="s">
        <v>2468</v>
      </c>
      <c r="G36" s="3104"/>
    </row>
    <row r="37" spans="1:7" ht="19.5" customHeight="1">
      <c r="A37" s="3798"/>
      <c r="B37" s="3792" t="s">
        <v>2629</v>
      </c>
      <c r="C37" s="3105" t="s">
        <v>2469</v>
      </c>
      <c r="D37" s="3106"/>
      <c r="E37" s="3107">
        <v>0.6</v>
      </c>
      <c r="F37" s="3104" t="s">
        <v>2470</v>
      </c>
      <c r="G37" s="3104"/>
    </row>
    <row r="38" spans="1:7" ht="19.5" customHeight="1">
      <c r="A38" s="3798"/>
      <c r="B38" s="3794"/>
      <c r="C38" s="3105" t="s">
        <v>2471</v>
      </c>
      <c r="D38" s="3106"/>
      <c r="E38" s="3107">
        <v>0.6</v>
      </c>
      <c r="F38" s="3104" t="s">
        <v>2472</v>
      </c>
      <c r="G38" s="3104"/>
    </row>
    <row r="39" spans="1:7" ht="19.5" customHeight="1" thickBot="1">
      <c r="A39" s="3799"/>
      <c r="B39" s="3796"/>
      <c r="C39" s="3108" t="s">
        <v>2473</v>
      </c>
      <c r="D39" s="3109"/>
      <c r="E39" s="3110">
        <v>0.6</v>
      </c>
      <c r="F39" s="3104" t="s">
        <v>2474</v>
      </c>
      <c r="G39" s="3104"/>
    </row>
    <row r="40" spans="1:7" ht="19.5" customHeight="1" thickBot="1">
      <c r="A40" s="3111" t="s">
        <v>2606</v>
      </c>
      <c r="B40" s="3112" t="s">
        <v>2606</v>
      </c>
      <c r="C40" s="3113" t="s">
        <v>2630</v>
      </c>
      <c r="D40" s="3114"/>
      <c r="E40" s="3115">
        <v>1</v>
      </c>
      <c r="F40" s="3104" t="s">
        <v>2475</v>
      </c>
      <c r="G40" s="3104"/>
    </row>
    <row r="41" spans="1:7" ht="19.5" customHeight="1">
      <c r="A41" s="3800" t="s">
        <v>2607</v>
      </c>
      <c r="B41" s="3795" t="s">
        <v>2631</v>
      </c>
      <c r="C41" s="3101" t="s">
        <v>2476</v>
      </c>
      <c r="D41" s="3102"/>
      <c r="E41" s="3103">
        <v>1</v>
      </c>
      <c r="F41" s="3104" t="s">
        <v>2477</v>
      </c>
      <c r="G41" s="3104"/>
    </row>
    <row r="42" spans="1:7" ht="19.5" customHeight="1">
      <c r="A42" s="3801"/>
      <c r="B42" s="3794"/>
      <c r="C42" s="3105" t="s">
        <v>2478</v>
      </c>
      <c r="D42" s="3106"/>
      <c r="E42" s="3107">
        <v>1</v>
      </c>
      <c r="F42" s="3104" t="s">
        <v>2479</v>
      </c>
      <c r="G42" s="3104"/>
    </row>
    <row r="43" spans="1:7" ht="19.5" customHeight="1">
      <c r="A43" s="3801"/>
      <c r="B43" s="3793"/>
      <c r="C43" s="3105" t="s">
        <v>2480</v>
      </c>
      <c r="D43" s="3106"/>
      <c r="E43" s="3107">
        <v>1.5</v>
      </c>
      <c r="F43" s="3104" t="s">
        <v>2481</v>
      </c>
      <c r="G43" s="3104"/>
    </row>
    <row r="44" spans="1:7" ht="19.5" customHeight="1">
      <c r="A44" s="3801"/>
      <c r="B44" s="3116" t="s">
        <v>2632</v>
      </c>
      <c r="C44" s="3105" t="s">
        <v>2633</v>
      </c>
      <c r="D44" s="3106"/>
      <c r="E44" s="3107">
        <v>2</v>
      </c>
      <c r="F44" s="3104" t="s">
        <v>2482</v>
      </c>
      <c r="G44" s="3104"/>
    </row>
    <row r="45" spans="1:7" ht="19.5" customHeight="1">
      <c r="A45" s="3801"/>
      <c r="B45" s="3792" t="s">
        <v>2634</v>
      </c>
      <c r="C45" s="3105" t="s">
        <v>2483</v>
      </c>
      <c r="D45" s="3106"/>
      <c r="E45" s="3107">
        <v>1</v>
      </c>
      <c r="F45" s="3104" t="s">
        <v>2484</v>
      </c>
      <c r="G45" s="3104"/>
    </row>
    <row r="46" spans="1:7" ht="19.5" customHeight="1">
      <c r="A46" s="3801"/>
      <c r="B46" s="3794"/>
      <c r="C46" s="3105" t="s">
        <v>2485</v>
      </c>
      <c r="D46" s="3106"/>
      <c r="E46" s="3107">
        <v>1</v>
      </c>
      <c r="F46" s="3104" t="s">
        <v>2486</v>
      </c>
      <c r="G46" s="3104"/>
    </row>
    <row r="47" spans="1:7" ht="19.5" customHeight="1">
      <c r="A47" s="3801"/>
      <c r="B47" s="3794"/>
      <c r="C47" s="3105" t="s">
        <v>2487</v>
      </c>
      <c r="D47" s="3106"/>
      <c r="E47" s="3107">
        <v>1</v>
      </c>
      <c r="F47" s="3104" t="s">
        <v>2488</v>
      </c>
      <c r="G47" s="3104"/>
    </row>
    <row r="48" spans="1:7" ht="19.5" customHeight="1">
      <c r="A48" s="3801"/>
      <c r="B48" s="3794"/>
      <c r="C48" s="3105" t="s">
        <v>2489</v>
      </c>
      <c r="D48" s="3106"/>
      <c r="E48" s="3107">
        <v>1</v>
      </c>
      <c r="F48" s="3104" t="s">
        <v>2490</v>
      </c>
      <c r="G48" s="3104"/>
    </row>
    <row r="49" spans="1:7" ht="19.5" customHeight="1">
      <c r="A49" s="3801"/>
      <c r="B49" s="3794"/>
      <c r="C49" s="3105" t="s">
        <v>2491</v>
      </c>
      <c r="D49" s="3106"/>
      <c r="E49" s="3107">
        <v>1</v>
      </c>
      <c r="F49" s="3104" t="s">
        <v>2492</v>
      </c>
      <c r="G49" s="3104"/>
    </row>
    <row r="50" spans="1:7" ht="19.5" customHeight="1">
      <c r="A50" s="3801"/>
      <c r="B50" s="3794"/>
      <c r="C50" s="3105" t="s">
        <v>2493</v>
      </c>
      <c r="D50" s="3106"/>
      <c r="E50" s="3107">
        <v>1</v>
      </c>
      <c r="F50" s="3104" t="s">
        <v>2494</v>
      </c>
      <c r="G50" s="3104"/>
    </row>
    <row r="51" spans="1:7" ht="19.5" customHeight="1" thickBot="1">
      <c r="A51" s="3802"/>
      <c r="B51" s="3796"/>
      <c r="C51" s="3108" t="s">
        <v>2495</v>
      </c>
      <c r="D51" s="3109"/>
      <c r="E51" s="3110">
        <v>1</v>
      </c>
      <c r="F51" s="3104" t="s">
        <v>2496</v>
      </c>
      <c r="G51" s="3104"/>
    </row>
    <row r="52" spans="1:7" ht="19.5" customHeight="1">
      <c r="A52" s="3117"/>
      <c r="B52" s="3117"/>
      <c r="C52" s="3117"/>
      <c r="D52" s="3117"/>
      <c r="E52" s="3117"/>
      <c r="F52" s="3117"/>
      <c r="G52" s="3117"/>
    </row>
    <row r="54" spans="1:7" ht="19.5" customHeight="1">
      <c r="A54" s="3118"/>
      <c r="B54" s="3090" t="s">
        <v>2635</v>
      </c>
      <c r="C54" s="3090" t="s">
        <v>2635</v>
      </c>
      <c r="D54" s="3090" t="s">
        <v>2635</v>
      </c>
      <c r="E54" s="3093" t="s">
        <v>2635</v>
      </c>
      <c r="F54" s="3093" t="s">
        <v>2636</v>
      </c>
      <c r="G54" s="3093" t="s">
        <v>2637</v>
      </c>
    </row>
    <row r="55" spans="1:7" ht="19.5" customHeight="1">
      <c r="A55" s="3119"/>
      <c r="B55" s="3093" t="s">
        <v>2604</v>
      </c>
      <c r="C55" s="3093" t="s">
        <v>2604</v>
      </c>
      <c r="D55" s="3093" t="s">
        <v>2604</v>
      </c>
      <c r="E55" s="3090" t="s">
        <v>2605</v>
      </c>
      <c r="F55" s="3090" t="s">
        <v>2607</v>
      </c>
      <c r="G55" s="3090" t="s">
        <v>2638</v>
      </c>
    </row>
    <row r="56" spans="1:7" ht="19.5" customHeight="1">
      <c r="A56" s="3120"/>
      <c r="B56" s="3090">
        <v>1</v>
      </c>
      <c r="C56" s="3090">
        <v>2</v>
      </c>
      <c r="D56" s="3090">
        <v>3</v>
      </c>
      <c r="E56" s="3121" t="s">
        <v>2639</v>
      </c>
      <c r="F56" s="3121" t="s">
        <v>2639</v>
      </c>
      <c r="G56" s="3121" t="s">
        <v>2639</v>
      </c>
    </row>
    <row r="57" spans="1:7" ht="19.5" customHeight="1">
      <c r="A57" s="3122" t="s">
        <v>2592</v>
      </c>
      <c r="B57" s="3090">
        <v>0.7</v>
      </c>
      <c r="C57" s="3090">
        <v>0.4</v>
      </c>
      <c r="D57" s="3090">
        <v>0.3</v>
      </c>
      <c r="E57" s="3121">
        <v>0.3</v>
      </c>
      <c r="F57" s="3090">
        <v>0.3</v>
      </c>
      <c r="G57" s="3090">
        <v>0.2</v>
      </c>
    </row>
    <row r="58" spans="1:7" ht="19.5" customHeight="1">
      <c r="A58" s="3122" t="s">
        <v>2593</v>
      </c>
      <c r="B58" s="3090">
        <v>0.7</v>
      </c>
      <c r="C58" s="3090">
        <v>0.4</v>
      </c>
      <c r="D58" s="3090">
        <v>0.3</v>
      </c>
      <c r="E58" s="3090">
        <v>0.3</v>
      </c>
      <c r="F58" s="3090">
        <v>0.3</v>
      </c>
      <c r="G58" s="3090">
        <v>0.2</v>
      </c>
    </row>
    <row r="59" spans="1:7" ht="19.5" customHeight="1">
      <c r="A59" s="3122" t="s">
        <v>2594</v>
      </c>
      <c r="B59" s="3090">
        <v>0.6</v>
      </c>
      <c r="C59" s="3090">
        <v>0.3</v>
      </c>
      <c r="D59" s="3090">
        <v>0.25</v>
      </c>
      <c r="E59" s="3090">
        <v>0.25</v>
      </c>
      <c r="F59" s="3090">
        <v>0.25</v>
      </c>
      <c r="G59" s="3090">
        <v>0.15</v>
      </c>
    </row>
    <row r="60" spans="1:7" ht="19.5" customHeight="1">
      <c r="A60" s="3122" t="s">
        <v>2595</v>
      </c>
      <c r="B60" s="3090">
        <v>0.6</v>
      </c>
      <c r="C60" s="3090">
        <v>0.3</v>
      </c>
      <c r="D60" s="3090">
        <v>0.25</v>
      </c>
      <c r="E60" s="3090">
        <v>0.25</v>
      </c>
      <c r="F60" s="3090">
        <v>0.25</v>
      </c>
      <c r="G60" s="3090">
        <v>0.15</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0.5</v>
      </c>
      <c r="C64" s="3090">
        <v>0.2</v>
      </c>
      <c r="D64" s="3090">
        <v>0.2</v>
      </c>
      <c r="E64" s="3090">
        <v>0.2</v>
      </c>
      <c r="F64" s="3090">
        <v>0.2</v>
      </c>
      <c r="G64" s="3090">
        <v>0.1</v>
      </c>
    </row>
    <row r="65" spans="1:7" ht="19.5" customHeight="1">
      <c r="A65" s="3122" t="s">
        <v>2600</v>
      </c>
      <c r="B65" s="3090">
        <v>0.5</v>
      </c>
      <c r="C65" s="3090">
        <v>0.2</v>
      </c>
      <c r="D65" s="3090">
        <v>0.2</v>
      </c>
      <c r="E65" s="3090">
        <v>0.2</v>
      </c>
      <c r="F65" s="3090">
        <v>0.2</v>
      </c>
      <c r="G65" s="3090">
        <v>0.1</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70" spans="1:7" ht="19.5" customHeight="1">
      <c r="A70" s="3123"/>
      <c r="B70" s="3124"/>
      <c r="C70" s="3124"/>
      <c r="D70" s="3124" t="s">
        <v>2640</v>
      </c>
      <c r="E70" s="3124"/>
      <c r="F70" s="3124"/>
    </row>
    <row r="71" spans="1:7" ht="19.5" customHeight="1">
      <c r="A71" s="3116" t="s">
        <v>2641</v>
      </c>
      <c r="B71" s="3116" t="s">
        <v>2642</v>
      </c>
      <c r="C71" s="3116" t="s">
        <v>2643</v>
      </c>
      <c r="D71" s="3116" t="s">
        <v>2644</v>
      </c>
      <c r="E71" s="3116" t="s">
        <v>2645</v>
      </c>
      <c r="F71" s="3116" t="s">
        <v>2646</v>
      </c>
    </row>
    <row r="72" spans="1:7" ht="13.5">
      <c r="A72" s="3116"/>
      <c r="B72" s="3116"/>
      <c r="C72" s="3116" t="s">
        <v>2647</v>
      </c>
      <c r="D72" s="3116"/>
      <c r="E72" s="3116" t="s">
        <v>2618</v>
      </c>
      <c r="F72" s="3116" t="s">
        <v>2618</v>
      </c>
    </row>
    <row r="73" spans="1:7" ht="13.5">
      <c r="A73" s="3116">
        <v>1</v>
      </c>
      <c r="B73" s="3792" t="s">
        <v>2648</v>
      </c>
      <c r="C73" s="3090" t="s">
        <v>2649</v>
      </c>
      <c r="D73" s="3090" t="s">
        <v>2650</v>
      </c>
      <c r="E73" s="3116">
        <v>0.2</v>
      </c>
      <c r="F73" s="3116">
        <v>25</v>
      </c>
    </row>
    <row r="74" spans="1:7" ht="24">
      <c r="A74" s="3116">
        <v>2</v>
      </c>
      <c r="B74" s="3794"/>
      <c r="C74" s="3090" t="s">
        <v>2651</v>
      </c>
      <c r="D74" s="3090" t="s">
        <v>2652</v>
      </c>
      <c r="E74" s="3116">
        <v>0.2</v>
      </c>
      <c r="F74" s="3116">
        <v>25</v>
      </c>
    </row>
    <row r="75" spans="1:7" ht="24">
      <c r="A75" s="3116">
        <v>3</v>
      </c>
      <c r="B75" s="3794"/>
      <c r="C75" s="3090" t="s">
        <v>2653</v>
      </c>
      <c r="D75" s="3090" t="s">
        <v>2654</v>
      </c>
      <c r="E75" s="3116">
        <v>0.2</v>
      </c>
      <c r="F75" s="3116">
        <v>25</v>
      </c>
    </row>
    <row r="76" spans="1:7" ht="13.5">
      <c r="A76" s="3116">
        <v>4</v>
      </c>
      <c r="B76" s="3794"/>
      <c r="C76" s="3090" t="s">
        <v>2655</v>
      </c>
      <c r="D76" s="3090" t="s">
        <v>2656</v>
      </c>
      <c r="E76" s="3116">
        <v>0.15</v>
      </c>
      <c r="F76" s="3116">
        <v>20</v>
      </c>
    </row>
    <row r="77" spans="1:7" ht="24">
      <c r="A77" s="3116">
        <v>5</v>
      </c>
      <c r="B77" s="3794"/>
      <c r="C77" s="3090" t="s">
        <v>2657</v>
      </c>
      <c r="D77" s="3090" t="s">
        <v>2658</v>
      </c>
      <c r="E77" s="3116">
        <v>0.15</v>
      </c>
      <c r="F77" s="3116">
        <v>20</v>
      </c>
    </row>
    <row r="78" spans="1:7" ht="24">
      <c r="A78" s="3116">
        <v>6</v>
      </c>
      <c r="B78" s="3794"/>
      <c r="C78" s="3090" t="s">
        <v>2659</v>
      </c>
      <c r="D78" s="3090" t="s">
        <v>2660</v>
      </c>
      <c r="E78" s="3116">
        <v>0.15</v>
      </c>
      <c r="F78" s="3116">
        <v>20</v>
      </c>
    </row>
    <row r="79" spans="1:7" ht="24">
      <c r="A79" s="3116">
        <v>7</v>
      </c>
      <c r="B79" s="3794"/>
      <c r="C79" s="3090" t="s">
        <v>2661</v>
      </c>
      <c r="D79" s="3090" t="s">
        <v>2662</v>
      </c>
      <c r="E79" s="3116">
        <v>0.15</v>
      </c>
      <c r="F79" s="3116">
        <v>20</v>
      </c>
    </row>
    <row r="80" spans="1:7" ht="24">
      <c r="A80" s="3116">
        <v>8</v>
      </c>
      <c r="B80" s="3794"/>
      <c r="C80" s="3090" t="s">
        <v>2663</v>
      </c>
      <c r="D80" s="3090" t="s">
        <v>2664</v>
      </c>
      <c r="E80" s="3116">
        <v>0.1</v>
      </c>
      <c r="F80" s="3116">
        <v>15</v>
      </c>
    </row>
    <row r="81" spans="1:6" ht="24">
      <c r="A81" s="3116">
        <v>9</v>
      </c>
      <c r="B81" s="3794"/>
      <c r="C81" s="3090" t="s">
        <v>2665</v>
      </c>
      <c r="D81" s="3090" t="s">
        <v>2666</v>
      </c>
      <c r="E81" s="3116">
        <v>0.1</v>
      </c>
      <c r="F81" s="3116">
        <v>15</v>
      </c>
    </row>
    <row r="82" spans="1:6" ht="24">
      <c r="A82" s="3116">
        <v>10</v>
      </c>
      <c r="B82" s="3794"/>
      <c r="C82" s="3090" t="s">
        <v>2667</v>
      </c>
      <c r="D82" s="3090" t="s">
        <v>2668</v>
      </c>
      <c r="E82" s="3116">
        <v>0.1</v>
      </c>
      <c r="F82" s="3116">
        <v>15</v>
      </c>
    </row>
    <row r="83" spans="1:6" ht="24">
      <c r="A83" s="3116">
        <v>11</v>
      </c>
      <c r="B83" s="3794"/>
      <c r="C83" s="3090" t="s">
        <v>2669</v>
      </c>
      <c r="D83" s="3090" t="s">
        <v>2670</v>
      </c>
      <c r="E83" s="3116">
        <v>0.1</v>
      </c>
      <c r="F83" s="3116">
        <v>15</v>
      </c>
    </row>
    <row r="84" spans="1:6" ht="24">
      <c r="A84" s="3116">
        <v>12</v>
      </c>
      <c r="B84" s="3794"/>
      <c r="C84" s="3090" t="s">
        <v>2671</v>
      </c>
      <c r="D84" s="3090" t="s">
        <v>2672</v>
      </c>
      <c r="E84" s="3116">
        <v>0.1</v>
      </c>
      <c r="F84" s="3116">
        <v>15</v>
      </c>
    </row>
    <row r="85" spans="1:6" ht="13.5">
      <c r="A85" s="3116">
        <v>13</v>
      </c>
      <c r="B85" s="3794"/>
      <c r="C85" s="3090" t="s">
        <v>2673</v>
      </c>
      <c r="D85" s="3090" t="s">
        <v>2674</v>
      </c>
      <c r="E85" s="3116">
        <v>0.1</v>
      </c>
      <c r="F85" s="3116">
        <v>15</v>
      </c>
    </row>
    <row r="86" spans="1:6" ht="13.5">
      <c r="A86" s="3116">
        <v>14</v>
      </c>
      <c r="B86" s="3794"/>
      <c r="C86" s="3090" t="s">
        <v>2675</v>
      </c>
      <c r="D86" s="3090" t="s">
        <v>2676</v>
      </c>
      <c r="E86" s="3116">
        <v>0.1</v>
      </c>
      <c r="F86" s="3116">
        <v>15</v>
      </c>
    </row>
    <row r="87" spans="1:6" ht="13.5">
      <c r="A87" s="3116">
        <v>15</v>
      </c>
      <c r="B87" s="3794"/>
      <c r="C87" s="3090" t="s">
        <v>2677</v>
      </c>
      <c r="D87" s="3090" t="s">
        <v>2678</v>
      </c>
      <c r="E87" s="3116">
        <v>0.1</v>
      </c>
      <c r="F87" s="3116">
        <v>15</v>
      </c>
    </row>
    <row r="88" spans="1:6" ht="24">
      <c r="A88" s="3116">
        <v>16</v>
      </c>
      <c r="B88" s="3794"/>
      <c r="C88" s="3090" t="s">
        <v>2679</v>
      </c>
      <c r="D88" s="3090" t="s">
        <v>2680</v>
      </c>
      <c r="E88" s="3116">
        <v>0.1</v>
      </c>
      <c r="F88" s="3116">
        <v>15</v>
      </c>
    </row>
    <row r="89" spans="1:6" ht="24">
      <c r="A89" s="3116">
        <v>17</v>
      </c>
      <c r="B89" s="3793"/>
      <c r="C89" s="3090" t="s">
        <v>2681</v>
      </c>
      <c r="D89" s="3090" t="s">
        <v>2682</v>
      </c>
      <c r="E89" s="3116">
        <v>0.1</v>
      </c>
      <c r="F89" s="3116">
        <v>15</v>
      </c>
    </row>
    <row r="90" spans="1:6" ht="13.5">
      <c r="A90" s="3116">
        <v>18</v>
      </c>
      <c r="B90" s="3792" t="s">
        <v>2683</v>
      </c>
      <c r="C90" s="3090" t="s">
        <v>2684</v>
      </c>
      <c r="D90" s="3090" t="s">
        <v>2685</v>
      </c>
      <c r="E90" s="3116">
        <v>0.2</v>
      </c>
      <c r="F90" s="3116">
        <v>25</v>
      </c>
    </row>
    <row r="91" spans="1:6" ht="24">
      <c r="A91" s="3116">
        <v>19</v>
      </c>
      <c r="B91" s="3794"/>
      <c r="C91" s="3090" t="s">
        <v>2686</v>
      </c>
      <c r="D91" s="3090" t="s">
        <v>2687</v>
      </c>
      <c r="E91" s="3116">
        <v>0.2</v>
      </c>
      <c r="F91" s="3116">
        <v>25</v>
      </c>
    </row>
    <row r="92" spans="1:6" ht="13.5">
      <c r="A92" s="3116">
        <v>20</v>
      </c>
      <c r="B92" s="3794"/>
      <c r="C92" s="3090" t="s">
        <v>2688</v>
      </c>
      <c r="D92" s="3090" t="s">
        <v>2689</v>
      </c>
      <c r="E92" s="3116">
        <v>0.15</v>
      </c>
      <c r="F92" s="3116">
        <v>20</v>
      </c>
    </row>
    <row r="93" spans="1:6" ht="13.5">
      <c r="A93" s="3116">
        <v>21</v>
      </c>
      <c r="B93" s="3794"/>
      <c r="C93" s="3090" t="s">
        <v>2690</v>
      </c>
      <c r="D93" s="3090" t="s">
        <v>2691</v>
      </c>
      <c r="E93" s="3116">
        <v>0.15</v>
      </c>
      <c r="F93" s="3116">
        <v>20</v>
      </c>
    </row>
    <row r="94" spans="1:6" ht="13.5">
      <c r="A94" s="3116">
        <v>22</v>
      </c>
      <c r="B94" s="3794"/>
      <c r="C94" s="3090" t="s">
        <v>2692</v>
      </c>
      <c r="D94" s="3090" t="s">
        <v>2693</v>
      </c>
      <c r="E94" s="3116">
        <v>0.15</v>
      </c>
      <c r="F94" s="3116">
        <v>20</v>
      </c>
    </row>
    <row r="95" spans="1:6" ht="36">
      <c r="A95" s="3116">
        <v>23</v>
      </c>
      <c r="B95" s="3794"/>
      <c r="C95" s="3090" t="s">
        <v>2694</v>
      </c>
      <c r="D95" s="3090" t="s">
        <v>2695</v>
      </c>
      <c r="E95" s="3116">
        <v>0.15</v>
      </c>
      <c r="F95" s="3116">
        <v>20</v>
      </c>
    </row>
    <row r="96" spans="1:6" ht="13.5">
      <c r="A96" s="3116">
        <v>24</v>
      </c>
      <c r="B96" s="3794"/>
      <c r="C96" s="3090" t="s">
        <v>2696</v>
      </c>
      <c r="D96" s="3090" t="s">
        <v>2697</v>
      </c>
      <c r="E96" s="3116">
        <v>0.1</v>
      </c>
      <c r="F96" s="3116">
        <v>15</v>
      </c>
    </row>
    <row r="97" spans="1:6" ht="13.5">
      <c r="A97" s="3116">
        <v>25</v>
      </c>
      <c r="B97" s="3794"/>
      <c r="C97" s="3090" t="s">
        <v>2698</v>
      </c>
      <c r="D97" s="3090" t="s">
        <v>2699</v>
      </c>
      <c r="E97" s="3116">
        <v>0.1</v>
      </c>
      <c r="F97" s="3116">
        <v>15</v>
      </c>
    </row>
    <row r="98" spans="1:6" ht="24">
      <c r="A98" s="3116">
        <v>26</v>
      </c>
      <c r="B98" s="3794"/>
      <c r="C98" s="3090" t="s">
        <v>2700</v>
      </c>
      <c r="D98" s="3090" t="s">
        <v>2701</v>
      </c>
      <c r="E98" s="3116">
        <v>0.1</v>
      </c>
      <c r="F98" s="3116">
        <v>15</v>
      </c>
    </row>
    <row r="99" spans="1:6" ht="24">
      <c r="A99" s="3116">
        <v>27</v>
      </c>
      <c r="B99" s="3794"/>
      <c r="C99" s="3090" t="s">
        <v>2702</v>
      </c>
      <c r="D99" s="3090" t="s">
        <v>2703</v>
      </c>
      <c r="E99" s="3116">
        <v>0.1</v>
      </c>
      <c r="F99" s="3116">
        <v>15</v>
      </c>
    </row>
    <row r="100" spans="1:6" ht="13.5">
      <c r="A100" s="3116">
        <v>28</v>
      </c>
      <c r="B100" s="3794"/>
      <c r="C100" s="3090" t="s">
        <v>2704</v>
      </c>
      <c r="D100" s="3090" t="s">
        <v>2705</v>
      </c>
      <c r="E100" s="3116">
        <v>0.1</v>
      </c>
      <c r="F100" s="3116">
        <v>15</v>
      </c>
    </row>
    <row r="101" spans="1:6" ht="13.5">
      <c r="A101" s="3116">
        <v>29</v>
      </c>
      <c r="B101" s="3794"/>
      <c r="C101" s="3090" t="s">
        <v>2706</v>
      </c>
      <c r="D101" s="3090" t="s">
        <v>2707</v>
      </c>
      <c r="E101" s="3116">
        <v>0.1</v>
      </c>
      <c r="F101" s="3116">
        <v>15</v>
      </c>
    </row>
    <row r="102" spans="1:6" ht="13.5">
      <c r="A102" s="3116">
        <v>30</v>
      </c>
      <c r="B102" s="3794"/>
      <c r="C102" s="3090" t="s">
        <v>2708</v>
      </c>
      <c r="D102" s="3090" t="s">
        <v>2709</v>
      </c>
      <c r="E102" s="3116">
        <v>0.1</v>
      </c>
      <c r="F102" s="3116">
        <v>15</v>
      </c>
    </row>
    <row r="103" spans="1:6" ht="24">
      <c r="A103" s="3116">
        <v>31</v>
      </c>
      <c r="B103" s="3794"/>
      <c r="C103" s="3090" t="s">
        <v>2710</v>
      </c>
      <c r="D103" s="3090" t="s">
        <v>2711</v>
      </c>
      <c r="E103" s="3116">
        <v>0.1</v>
      </c>
      <c r="F103" s="3116">
        <v>15</v>
      </c>
    </row>
    <row r="104" spans="1:6" ht="24">
      <c r="A104" s="3116">
        <v>32</v>
      </c>
      <c r="B104" s="3794"/>
      <c r="C104" s="3090" t="s">
        <v>2712</v>
      </c>
      <c r="D104" s="3090" t="s">
        <v>2713</v>
      </c>
      <c r="E104" s="3116">
        <v>0.1</v>
      </c>
      <c r="F104" s="3116">
        <v>15</v>
      </c>
    </row>
    <row r="105" spans="1:6" ht="24">
      <c r="A105" s="3116">
        <v>33</v>
      </c>
      <c r="B105" s="3794"/>
      <c r="C105" s="3090" t="s">
        <v>2714</v>
      </c>
      <c r="D105" s="3090" t="s">
        <v>2715</v>
      </c>
      <c r="E105" s="3116">
        <v>0.1</v>
      </c>
      <c r="F105" s="3116">
        <v>15</v>
      </c>
    </row>
    <row r="106" spans="1:6" ht="24">
      <c r="A106" s="3116">
        <v>34</v>
      </c>
      <c r="B106" s="3793"/>
      <c r="C106" s="3090" t="s">
        <v>2716</v>
      </c>
      <c r="D106" s="3090" t="s">
        <v>2717</v>
      </c>
      <c r="E106" s="3116">
        <v>0.1</v>
      </c>
      <c r="F106" s="3116">
        <v>15</v>
      </c>
    </row>
    <row r="107" spans="1:6" ht="24">
      <c r="A107" s="3116">
        <v>35</v>
      </c>
      <c r="B107" s="3792" t="s">
        <v>2718</v>
      </c>
      <c r="C107" s="3116" t="s">
        <v>2719</v>
      </c>
      <c r="D107" s="3090" t="s">
        <v>2720</v>
      </c>
      <c r="E107" s="3116">
        <v>0.15</v>
      </c>
      <c r="F107" s="3116">
        <v>20</v>
      </c>
    </row>
    <row r="108" spans="1:6" ht="13.5">
      <c r="A108" s="3116">
        <v>36</v>
      </c>
      <c r="B108" s="3794"/>
      <c r="C108" s="3116" t="s">
        <v>2721</v>
      </c>
      <c r="D108" s="3090" t="s">
        <v>2722</v>
      </c>
      <c r="E108" s="3116">
        <v>0.15</v>
      </c>
      <c r="F108" s="3116">
        <v>20</v>
      </c>
    </row>
    <row r="109" spans="1:6" ht="13.5">
      <c r="A109" s="3116">
        <v>37</v>
      </c>
      <c r="B109" s="3794"/>
      <c r="C109" s="3116" t="s">
        <v>2723</v>
      </c>
      <c r="D109" s="3090" t="s">
        <v>2724</v>
      </c>
      <c r="E109" s="3116">
        <v>0.15</v>
      </c>
      <c r="F109" s="3116">
        <v>20</v>
      </c>
    </row>
    <row r="110" spans="1:6" ht="13.5">
      <c r="A110" s="3116">
        <v>38</v>
      </c>
      <c r="B110" s="3794"/>
      <c r="C110" s="3116" t="s">
        <v>2725</v>
      </c>
      <c r="D110" s="3090" t="s">
        <v>2726</v>
      </c>
      <c r="E110" s="3116">
        <v>0.1</v>
      </c>
      <c r="F110" s="3116">
        <v>15</v>
      </c>
    </row>
    <row r="111" spans="1:6" ht="24">
      <c r="A111" s="3116">
        <v>39</v>
      </c>
      <c r="B111" s="3794"/>
      <c r="C111" s="3116" t="s">
        <v>2727</v>
      </c>
      <c r="D111" s="3090" t="s">
        <v>2728</v>
      </c>
      <c r="E111" s="3116">
        <v>0.1</v>
      </c>
      <c r="F111" s="3116">
        <v>15</v>
      </c>
    </row>
    <row r="112" spans="1:6" ht="24">
      <c r="A112" s="3116">
        <v>40</v>
      </c>
      <c r="B112" s="3793"/>
      <c r="C112" s="3116" t="s">
        <v>2729</v>
      </c>
      <c r="D112" s="3090" t="s">
        <v>2730</v>
      </c>
      <c r="E112" s="3116">
        <v>0.1</v>
      </c>
      <c r="F112" s="3116">
        <v>15</v>
      </c>
    </row>
    <row r="113" spans="1:6" ht="13.5">
      <c r="A113" s="3116">
        <v>41</v>
      </c>
      <c r="B113" s="3791" t="s">
        <v>2731</v>
      </c>
      <c r="C113" s="3116" t="s">
        <v>2732</v>
      </c>
      <c r="D113" s="3090" t="s">
        <v>2733</v>
      </c>
      <c r="E113" s="3116">
        <v>0.1</v>
      </c>
      <c r="F113" s="3116">
        <v>15</v>
      </c>
    </row>
    <row r="114" spans="1:6" ht="13.5">
      <c r="A114" s="3116">
        <v>42</v>
      </c>
      <c r="B114" s="3791"/>
      <c r="C114" s="3116" t="s">
        <v>2734</v>
      </c>
      <c r="D114" s="3090" t="s">
        <v>2735</v>
      </c>
      <c r="E114" s="3116">
        <v>0.1</v>
      </c>
      <c r="F114" s="3116">
        <v>15</v>
      </c>
    </row>
    <row r="115" spans="1:6" ht="24">
      <c r="A115" s="3116">
        <v>43</v>
      </c>
      <c r="B115" s="3791"/>
      <c r="C115" s="3116" t="s">
        <v>2736</v>
      </c>
      <c r="D115" s="3090" t="s">
        <v>2737</v>
      </c>
      <c r="E115" s="3116">
        <v>0.1</v>
      </c>
      <c r="F115" s="3116">
        <v>15</v>
      </c>
    </row>
    <row r="116" spans="1:6" ht="13.5">
      <c r="A116" s="3116">
        <v>44</v>
      </c>
      <c r="B116" s="3792" t="s">
        <v>2738</v>
      </c>
      <c r="C116" s="3116" t="s">
        <v>2739</v>
      </c>
      <c r="D116" s="3090" t="s">
        <v>2740</v>
      </c>
      <c r="E116" s="3116">
        <v>0.1</v>
      </c>
      <c r="F116" s="3116">
        <v>15</v>
      </c>
    </row>
    <row r="117" spans="1:6" ht="24">
      <c r="A117" s="3116">
        <v>45</v>
      </c>
      <c r="B117" s="3793"/>
      <c r="C117" s="3090" t="s">
        <v>2741</v>
      </c>
      <c r="D117" s="3090" t="s">
        <v>2742</v>
      </c>
      <c r="E117" s="3116">
        <v>0.1</v>
      </c>
      <c r="F117" s="3116">
        <v>15</v>
      </c>
    </row>
    <row r="118" spans="1:6" ht="24">
      <c r="A118" s="3116">
        <v>46</v>
      </c>
      <c r="B118" s="3792" t="s">
        <v>2743</v>
      </c>
      <c r="C118" s="3116" t="s">
        <v>2744</v>
      </c>
      <c r="D118" s="3090" t="s">
        <v>2745</v>
      </c>
      <c r="E118" s="3116">
        <v>0.1</v>
      </c>
      <c r="F118" s="3116">
        <v>15</v>
      </c>
    </row>
    <row r="119" spans="1:6" ht="24">
      <c r="A119" s="3116">
        <v>47</v>
      </c>
      <c r="B119" s="3793"/>
      <c r="C119" s="3116" t="s">
        <v>2746</v>
      </c>
      <c r="D119" s="3090" t="s">
        <v>2747</v>
      </c>
      <c r="E119" s="3116">
        <v>0.1</v>
      </c>
      <c r="F119" s="3116">
        <v>15</v>
      </c>
    </row>
    <row r="120" spans="1:6" ht="13.5">
      <c r="A120" s="3116">
        <v>48</v>
      </c>
      <c r="B120" s="3792" t="s">
        <v>2748</v>
      </c>
      <c r="C120" s="3116" t="s">
        <v>2749</v>
      </c>
      <c r="D120" s="3090" t="s">
        <v>2750</v>
      </c>
      <c r="E120" s="3116">
        <v>0.1</v>
      </c>
      <c r="F120" s="3116">
        <v>15</v>
      </c>
    </row>
    <row r="121" spans="1:6" ht="13.5">
      <c r="A121" s="3116">
        <v>49</v>
      </c>
      <c r="B121" s="3793"/>
      <c r="C121" s="3116" t="s">
        <v>2751</v>
      </c>
      <c r="D121" s="3090" t="s">
        <v>2752</v>
      </c>
      <c r="E121" s="3116">
        <v>0.1</v>
      </c>
      <c r="F121" s="3116">
        <v>15</v>
      </c>
    </row>
    <row r="122" spans="1:6" ht="24">
      <c r="A122" s="3116">
        <v>50</v>
      </c>
      <c r="B122" s="3791" t="s">
        <v>2753</v>
      </c>
      <c r="C122" s="3116" t="s">
        <v>2754</v>
      </c>
      <c r="D122" s="3090" t="s">
        <v>2755</v>
      </c>
      <c r="E122" s="3116">
        <v>0.1</v>
      </c>
      <c r="F122" s="3116">
        <v>15</v>
      </c>
    </row>
    <row r="123" spans="1:6" ht="24">
      <c r="A123" s="3116">
        <v>51</v>
      </c>
      <c r="B123" s="3791"/>
      <c r="C123" s="3116" t="s">
        <v>2756</v>
      </c>
      <c r="D123" s="3090" t="s">
        <v>2757</v>
      </c>
      <c r="E123" s="3116">
        <v>0.1</v>
      </c>
      <c r="F123" s="3116">
        <v>15</v>
      </c>
    </row>
    <row r="124" spans="1:6" ht="24">
      <c r="A124" s="3116">
        <v>52</v>
      </c>
      <c r="B124" s="3791" t="s">
        <v>2758</v>
      </c>
      <c r="C124" s="3116" t="s">
        <v>2759</v>
      </c>
      <c r="D124" s="3090" t="s">
        <v>2760</v>
      </c>
      <c r="E124" s="3116">
        <v>0.1</v>
      </c>
      <c r="F124" s="3116">
        <v>15</v>
      </c>
    </row>
    <row r="125" spans="1:6" ht="24">
      <c r="A125" s="3116">
        <v>53</v>
      </c>
      <c r="B125" s="3791"/>
      <c r="C125" s="3116" t="s">
        <v>2761</v>
      </c>
      <c r="D125" s="3090" t="s">
        <v>2762</v>
      </c>
      <c r="E125" s="3116">
        <v>0.1</v>
      </c>
      <c r="F125" s="3116">
        <v>15</v>
      </c>
    </row>
    <row r="126" spans="1:6" ht="13.5">
      <c r="A126" s="3116">
        <v>54</v>
      </c>
      <c r="B126" s="3116" t="s">
        <v>2763</v>
      </c>
      <c r="C126" s="3116" t="s">
        <v>2764</v>
      </c>
      <c r="D126" s="3090" t="s">
        <v>2765</v>
      </c>
      <c r="E126" s="3116">
        <v>0.1</v>
      </c>
      <c r="F126" s="3116">
        <v>15</v>
      </c>
    </row>
    <row r="127" spans="1:6" ht="13.5">
      <c r="A127" s="3116">
        <v>55</v>
      </c>
      <c r="B127" s="3791" t="s">
        <v>2766</v>
      </c>
      <c r="C127" s="3116" t="s">
        <v>2767</v>
      </c>
      <c r="D127" s="3090" t="s">
        <v>2768</v>
      </c>
      <c r="E127" s="3116">
        <v>0.1</v>
      </c>
      <c r="F127" s="3116">
        <v>15</v>
      </c>
    </row>
    <row r="128" spans="1:6" ht="13.5">
      <c r="A128" s="3116">
        <v>56</v>
      </c>
      <c r="B128" s="3791"/>
      <c r="C128" s="3116" t="s">
        <v>2769</v>
      </c>
      <c r="D128" s="3090" t="s">
        <v>2770</v>
      </c>
      <c r="E128" s="3116">
        <v>0.1</v>
      </c>
      <c r="F128" s="3116">
        <v>15</v>
      </c>
    </row>
    <row r="129" spans="1:6" ht="24">
      <c r="A129" s="3116">
        <v>57</v>
      </c>
      <c r="B129" s="3791"/>
      <c r="C129" s="3116" t="s">
        <v>2771</v>
      </c>
      <c r="D129" s="3090" t="s">
        <v>2772</v>
      </c>
      <c r="E129" s="3116">
        <v>0.1</v>
      </c>
      <c r="F129" s="3116">
        <v>15</v>
      </c>
    </row>
    <row r="130" spans="1:6" ht="24">
      <c r="A130" s="3116">
        <v>58</v>
      </c>
      <c r="B130" s="3791" t="s">
        <v>2773</v>
      </c>
      <c r="C130" s="3116" t="s">
        <v>2774</v>
      </c>
      <c r="D130" s="3090" t="s">
        <v>2775</v>
      </c>
      <c r="E130" s="3116">
        <v>0.1</v>
      </c>
      <c r="F130" s="3116">
        <v>15</v>
      </c>
    </row>
    <row r="131" spans="1:6" ht="13.5">
      <c r="A131" s="3116">
        <v>59</v>
      </c>
      <c r="B131" s="3791"/>
      <c r="C131" s="3116" t="s">
        <v>2776</v>
      </c>
      <c r="D131" s="3090" t="s">
        <v>2777</v>
      </c>
      <c r="E131" s="3116">
        <v>0.1</v>
      </c>
      <c r="F131" s="3116">
        <v>15</v>
      </c>
    </row>
    <row r="132" spans="1:6" ht="13.5">
      <c r="A132" s="3116">
        <v>60</v>
      </c>
      <c r="B132" s="3792" t="s">
        <v>2778</v>
      </c>
      <c r="C132" s="3116" t="s">
        <v>2779</v>
      </c>
      <c r="D132" s="3090" t="s">
        <v>2780</v>
      </c>
      <c r="E132" s="3116">
        <v>0.1</v>
      </c>
      <c r="F132" s="3116">
        <v>15</v>
      </c>
    </row>
    <row r="133" spans="1:6" ht="13.5">
      <c r="A133" s="3116">
        <v>61</v>
      </c>
      <c r="B133" s="3793"/>
      <c r="C133" s="3116" t="s">
        <v>2781</v>
      </c>
      <c r="D133" s="3090" t="s">
        <v>2782</v>
      </c>
      <c r="E133" s="3116">
        <v>0.1</v>
      </c>
      <c r="F133" s="3116">
        <v>15</v>
      </c>
    </row>
    <row r="134" spans="1:6" ht="24">
      <c r="A134" s="3116">
        <v>62</v>
      </c>
      <c r="B134" s="3116" t="s">
        <v>2783</v>
      </c>
      <c r="C134" s="3116" t="s">
        <v>2784</v>
      </c>
      <c r="D134" s="3090" t="s">
        <v>2785</v>
      </c>
      <c r="E134" s="3116">
        <v>0.1</v>
      </c>
      <c r="F134" s="3116">
        <v>15</v>
      </c>
    </row>
    <row r="135" spans="1:6" ht="13.5">
      <c r="A135" s="3116">
        <v>63</v>
      </c>
      <c r="B135" s="3791" t="s">
        <v>2786</v>
      </c>
      <c r="C135" s="3116" t="s">
        <v>2787</v>
      </c>
      <c r="D135" s="3090" t="s">
        <v>2788</v>
      </c>
      <c r="E135" s="3116">
        <v>0.1</v>
      </c>
      <c r="F135" s="3116">
        <v>15</v>
      </c>
    </row>
    <row r="136" spans="1:6" ht="13.5">
      <c r="A136" s="3116">
        <v>64</v>
      </c>
      <c r="B136" s="3791"/>
      <c r="C136" s="3116" t="s">
        <v>2789</v>
      </c>
      <c r="D136" s="3090" t="s">
        <v>2790</v>
      </c>
      <c r="E136" s="3116">
        <v>0.1</v>
      </c>
      <c r="F136" s="3116">
        <v>15</v>
      </c>
    </row>
    <row r="137" spans="1:6" ht="13.5">
      <c r="A137" s="3116">
        <v>65</v>
      </c>
      <c r="B137" s="3116" t="s">
        <v>2791</v>
      </c>
      <c r="C137" s="3116" t="s">
        <v>2792</v>
      </c>
      <c r="D137" s="3090" t="s">
        <v>2793</v>
      </c>
      <c r="E137" s="3116">
        <v>0.1</v>
      </c>
      <c r="F137" s="3116">
        <v>15</v>
      </c>
    </row>
    <row r="138" spans="1:6" ht="13.5">
      <c r="A138" s="3116"/>
      <c r="B138" s="3116"/>
      <c r="C138" s="3116"/>
      <c r="D138" s="3116"/>
      <c r="E138" s="3116" t="s">
        <v>2794</v>
      </c>
      <c r="F138" s="3116"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2795</v>
      </c>
      <c r="B1" s="3125"/>
      <c r="C1" s="3125"/>
      <c r="D1" s="3125"/>
      <c r="E1" s="3125"/>
      <c r="F1" s="3125"/>
      <c r="G1" s="3125"/>
      <c r="H1" s="3125"/>
      <c r="I1" s="3125"/>
      <c r="J1" s="3125"/>
      <c r="K1" s="3125"/>
      <c r="L1" s="3125"/>
      <c r="M1" s="3125"/>
      <c r="N1" s="748"/>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9">
        <f>SUMPRODUCT((A95:A184=ROUNDDOWN(基准地价修正!G3,1))*(B94:M94=基准地价修正!G2)*(B95:M184))</f>
        <v>1</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9">
        <f>SUMPRODUCT((A371:A460=ROUNDDOWN(基准地价修正!G3,1))*(B370:M370=基准地价修正!G2)*(B371:M460))</f>
        <v>0.95120000000000005</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906</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915</v>
      </c>
      <c r="C4" s="3487"/>
      <c r="D4" s="3487"/>
      <c r="E4" s="1492"/>
    </row>
    <row r="5" spans="1:5" ht="16.5" thickTop="1">
      <c r="A5" s="1490"/>
      <c r="B5" s="3485" t="s">
        <v>907</v>
      </c>
      <c r="C5" s="1493" t="s">
        <v>908</v>
      </c>
      <c r="D5" s="849">
        <f ca="1">结果表!H101</f>
        <v>208</v>
      </c>
      <c r="E5" s="1490"/>
    </row>
    <row r="6" spans="1:5" ht="15.75">
      <c r="A6" s="1490"/>
      <c r="B6" s="3485"/>
      <c r="C6" s="1493" t="s">
        <v>909</v>
      </c>
      <c r="D6" s="849" t="str">
        <f ca="1">NUMBERSTRING(INT(D5*10000),2)&amp;"元整"</f>
        <v>贰佰零捌万元整</v>
      </c>
      <c r="E6" s="1490"/>
    </row>
    <row r="7" spans="1:5" ht="15.75">
      <c r="A7" s="1490"/>
      <c r="B7" s="3490"/>
      <c r="C7" s="1494" t="s">
        <v>910</v>
      </c>
      <c r="D7" s="850">
        <f ca="1">结果表!H102</f>
        <v>33273</v>
      </c>
      <c r="E7" s="1490"/>
    </row>
    <row r="8" spans="1:5" ht="15.75">
      <c r="A8" s="1490"/>
      <c r="B8" s="3491" t="str">
        <f>结果表!E103</f>
        <v>2.估价师知悉的法定优先受偿款</v>
      </c>
      <c r="C8" s="1495" t="s">
        <v>911</v>
      </c>
      <c r="D8" s="850">
        <f>结果表!H103</f>
        <v>0</v>
      </c>
      <c r="E8" s="1490"/>
    </row>
    <row r="9" spans="1:5" ht="15.75">
      <c r="A9" s="1490"/>
      <c r="B9" s="3493"/>
      <c r="C9" s="1493" t="s">
        <v>909</v>
      </c>
      <c r="D9" s="849" t="str">
        <f>NUMBERSTRING(INT(D8*10000),2)&amp;"元整"</f>
        <v>零元整</v>
      </c>
      <c r="E9" s="1490"/>
    </row>
    <row r="10" spans="1:5" ht="15">
      <c r="A10" s="1490"/>
      <c r="B10" s="1496" t="s">
        <v>914</v>
      </c>
      <c r="C10" s="1497" t="s">
        <v>912</v>
      </c>
      <c r="D10" s="851">
        <f>结果表!H104</f>
        <v>0</v>
      </c>
      <c r="E10" s="1490"/>
    </row>
    <row r="11" spans="1:5" ht="15">
      <c r="A11" s="1490"/>
      <c r="B11" s="1496" t="s">
        <v>916</v>
      </c>
      <c r="C11" s="1497" t="s">
        <v>917</v>
      </c>
      <c r="D11" s="851">
        <f>结果表!H105</f>
        <v>0</v>
      </c>
      <c r="E11" s="1490"/>
    </row>
    <row r="12" spans="1:5" ht="15">
      <c r="A12" s="1490"/>
      <c r="B12" s="1496" t="s">
        <v>918</v>
      </c>
      <c r="C12" s="1497" t="s">
        <v>917</v>
      </c>
      <c r="D12" s="851">
        <f>结果表!H106</f>
        <v>0</v>
      </c>
      <c r="E12" s="1490"/>
    </row>
    <row r="13" spans="1:5" ht="15.75">
      <c r="A13" s="1490"/>
      <c r="B13" s="3484" t="str">
        <f>结果表!E107</f>
        <v>3.房地产抵押价值</v>
      </c>
      <c r="C13" s="1498" t="s">
        <v>908</v>
      </c>
      <c r="D13" s="852">
        <f ca="1">结果表!H107</f>
        <v>208</v>
      </c>
      <c r="E13" s="1490"/>
    </row>
    <row r="14" spans="1:5" ht="15.75">
      <c r="A14" s="1490"/>
      <c r="B14" s="3485"/>
      <c r="C14" s="1493" t="s">
        <v>909</v>
      </c>
      <c r="D14" s="849" t="str">
        <f ca="1">NUMBERSTRING(INT(D13*10000),2)&amp;"元整"</f>
        <v>贰佰零捌万元整</v>
      </c>
      <c r="E14" s="1490"/>
    </row>
    <row r="15" spans="1:5" ht="15">
      <c r="A15" s="1490"/>
      <c r="B15" s="3490"/>
      <c r="C15" s="1494" t="s">
        <v>919</v>
      </c>
      <c r="D15" s="858">
        <f ca="1">结果表!H108</f>
        <v>33273</v>
      </c>
      <c r="E15" s="1490"/>
    </row>
    <row r="16" spans="1:5" ht="15">
      <c r="A16" s="1490"/>
      <c r="B16" s="3491" t="str">
        <f>结果表!E109</f>
        <v>——</v>
      </c>
      <c r="C16" s="1498" t="s">
        <v>920</v>
      </c>
      <c r="D16" s="1499" t="str">
        <f>结果表!H109</f>
        <v>——</v>
      </c>
      <c r="E16" s="1490"/>
    </row>
    <row r="17" spans="1:5" ht="15.75">
      <c r="A17" s="1490"/>
      <c r="B17" s="3492"/>
      <c r="C17" s="1493" t="s">
        <v>921</v>
      </c>
      <c r="D17" s="849" t="e">
        <f>NUMBERSTRING(INT(D16*10000),2)&amp;"元整"</f>
        <v>#VALUE!</v>
      </c>
      <c r="E17" s="1490"/>
    </row>
    <row r="18" spans="1:5" ht="15">
      <c r="A18" s="1490"/>
      <c r="B18" s="3493"/>
      <c r="C18" s="1494" t="s">
        <v>910</v>
      </c>
      <c r="D18" s="858" t="str">
        <f>结果表!H110</f>
        <v>——</v>
      </c>
      <c r="E18" s="1490"/>
    </row>
    <row r="19" spans="1:5" ht="15.75">
      <c r="A19" s="1490"/>
      <c r="B19" s="3484" t="str">
        <f>结果表!E111</f>
        <v>——</v>
      </c>
      <c r="C19" s="1498" t="s">
        <v>908</v>
      </c>
      <c r="D19" s="850" t="str">
        <f>结果表!H111</f>
        <v>——</v>
      </c>
      <c r="E19" s="1490"/>
    </row>
    <row r="20" spans="1:5" ht="15.75">
      <c r="A20" s="1490"/>
      <c r="B20" s="3485"/>
      <c r="C20" s="1493" t="s">
        <v>921</v>
      </c>
      <c r="D20" s="849" t="e">
        <f>NUMBERSTRING(INT(D19*10000),2)&amp;"元整"</f>
        <v>#VALUE!</v>
      </c>
      <c r="E20" s="1490"/>
    </row>
    <row r="21" spans="1:5" ht="15.75" thickBot="1">
      <c r="A21" s="1490"/>
      <c r="B21" s="3486"/>
      <c r="C21" s="1500" t="s">
        <v>919</v>
      </c>
      <c r="D21" s="859" t="str">
        <f>结果表!H112</f>
        <v>——</v>
      </c>
      <c r="E21" s="1490"/>
    </row>
    <row r="22" spans="1:5" ht="15" thickTop="1">
      <c r="A22" s="1490"/>
      <c r="B22" s="1501" t="s">
        <v>922</v>
      </c>
      <c r="C22" s="1490"/>
      <c r="D22" s="1490"/>
      <c r="E22" s="1490"/>
    </row>
    <row r="23" spans="1:5">
      <c r="A23" s="1490"/>
      <c r="B23" s="1490"/>
      <c r="C23" s="1490"/>
      <c r="D23" s="1490"/>
      <c r="E23" s="1490"/>
    </row>
    <row r="24" spans="1:5" ht="18.75">
      <c r="A24" s="1502"/>
      <c r="B24" s="1503" t="s">
        <v>913</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27907</v>
      </c>
      <c r="C2" s="2" t="s">
        <v>106</v>
      </c>
      <c r="D2" s="199"/>
      <c r="E2" s="199"/>
      <c r="F2" s="199"/>
      <c r="G2" s="199"/>
    </row>
    <row r="3" spans="1:7" s="200" customFormat="1" ht="18" customHeight="1" thickBot="1">
      <c r="A3" s="203" t="s">
        <v>58</v>
      </c>
      <c r="B3" s="204">
        <f ca="1">ROUND(B2*10000/'数据-汇总表'!E3,0)</f>
        <v>4456563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62.62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62.62</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28</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62.62</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6" t="s">
        <v>341</v>
      </c>
      <c r="B45" s="244" t="s">
        <v>85</v>
      </c>
      <c r="C45" s="245">
        <f>C46</f>
        <v>5</v>
      </c>
      <c r="D45" s="235">
        <f>C47</f>
        <v>3.0000000000000001E-3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41</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33</v>
      </c>
      <c r="D51" s="232"/>
      <c r="E51" s="232"/>
      <c r="F51" s="264"/>
      <c r="G51" s="234" t="s">
        <v>37</v>
      </c>
    </row>
    <row r="52" spans="1:7" s="208" customFormat="1" ht="16.5" thickBot="1">
      <c r="A52" s="265" t="s">
        <v>38</v>
      </c>
      <c r="B52" s="266"/>
      <c r="C52" s="267">
        <f ca="1">C31+C51</f>
        <v>27907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3178</v>
      </c>
      <c r="B1" s="3803"/>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4" t="s">
        <v>3229</v>
      </c>
      <c r="B1" s="3804"/>
      <c r="C1" s="3804"/>
      <c r="D1" s="3804"/>
      <c r="E1" s="3804"/>
      <c r="F1" s="3805"/>
    </row>
    <row r="2" spans="1:6">
      <c r="A2" s="3289" t="s">
        <v>3230</v>
      </c>
      <c r="B2" s="3290"/>
      <c r="C2" s="3290"/>
      <c r="D2" s="3290"/>
      <c r="E2" s="3290"/>
      <c r="F2" s="3290"/>
    </row>
    <row r="3" spans="1:6">
      <c r="A3" s="3289" t="s">
        <v>3231</v>
      </c>
      <c r="B3" s="3290"/>
      <c r="C3" s="3290"/>
      <c r="D3" s="3290"/>
      <c r="E3" s="3290"/>
      <c r="F3" s="3291" t="s">
        <v>3232</v>
      </c>
    </row>
    <row r="4" spans="1:6">
      <c r="A4" s="3292" t="s">
        <v>670</v>
      </c>
      <c r="B4" s="3292" t="s">
        <v>671</v>
      </c>
      <c r="C4" s="3292" t="s">
        <v>21</v>
      </c>
      <c r="D4" s="3292" t="s">
        <v>672</v>
      </c>
      <c r="E4" s="3292" t="s">
        <v>3</v>
      </c>
      <c r="F4" s="3292" t="s">
        <v>3233</v>
      </c>
    </row>
    <row r="5" spans="1:6">
      <c r="A5" s="3293" t="s">
        <v>673</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8" sqref="A8:XFD8"/>
    </sheetView>
  </sheetViews>
  <sheetFormatPr defaultRowHeight="13.5"/>
  <cols>
    <col min="1" max="1" width="13.875" customWidth="1"/>
    <col min="11" max="17" width="0" hidden="1" customWidth="1"/>
    <col min="25" max="30" width="0" hidden="1" customWidth="1"/>
  </cols>
  <sheetData>
    <row r="1" spans="1:44">
      <c r="A1" s="3219">
        <f>基准地价修正!G23</f>
        <v>45772</v>
      </c>
      <c r="B1" s="3208" t="s">
        <v>3374</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3401</v>
      </c>
      <c r="AG2" t="s">
        <v>671</v>
      </c>
      <c r="AH2" t="s">
        <v>21</v>
      </c>
      <c r="AI2" t="s">
        <v>3402</v>
      </c>
      <c r="AJ2" t="s">
        <v>3</v>
      </c>
      <c r="AK2" t="s">
        <v>3403</v>
      </c>
      <c r="AM2" t="s">
        <v>3401</v>
      </c>
      <c r="AN2" t="s">
        <v>671</v>
      </c>
      <c r="AO2" t="s">
        <v>21</v>
      </c>
      <c r="AP2" t="s">
        <v>3402</v>
      </c>
      <c r="AQ2" t="s">
        <v>3</v>
      </c>
      <c r="AR2" t="s">
        <v>3403</v>
      </c>
    </row>
    <row r="3" spans="1:44" s="3159" customFormat="1" ht="12.75">
      <c r="A3" s="3147" t="s">
        <v>2816</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3400</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2.75">
      <c r="A6" s="2204" t="s">
        <v>3399</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3398</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3406</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2.75">
      <c r="A9" s="2204" t="s">
        <v>3405</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2.75">
      <c r="A10" s="2204" t="s">
        <v>3378</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2.75">
      <c r="A11" s="3174" t="s">
        <v>3372</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2.75">
      <c r="A12" s="3174" t="s">
        <v>3371</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2.75">
      <c r="A13" s="3174" t="s">
        <v>3367</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2.75">
      <c r="A14" s="3174" t="s">
        <v>3366</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2.75">
      <c r="A15" s="3174" t="s">
        <v>3364</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2.75">
      <c r="A16" s="3174" t="s">
        <v>3363</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2.75">
      <c r="A17" s="3174" t="s">
        <v>3362</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2.75">
      <c r="A18" s="3174" t="s">
        <v>3360</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2.75">
      <c r="A19" s="3174" t="s">
        <v>3351</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4.25" thickTop="1"/>
    <row r="26" spans="1:44" s="3007" customFormat="1">
      <c r="A26" s="3446" t="s">
        <v>3377</v>
      </c>
    </row>
    <row r="27" spans="1:44" s="3007" customFormat="1">
      <c r="I27" s="3206" t="s">
        <v>2822</v>
      </c>
    </row>
    <row r="28" spans="1:44" s="3007" customFormat="1"/>
    <row r="29" spans="1:44" s="3207" customFormat="1" ht="12.75">
      <c r="B29" s="3208" t="s">
        <v>3375</v>
      </c>
      <c r="C29" s="3209"/>
      <c r="D29" s="3209"/>
      <c r="E29" s="3209"/>
      <c r="F29" s="3209"/>
      <c r="G29" s="3209"/>
      <c r="H29" s="3209"/>
      <c r="I29" s="3209"/>
      <c r="J29" s="3163"/>
      <c r="K29" s="3209" t="s">
        <v>2823</v>
      </c>
      <c r="L29" s="3209"/>
      <c r="M29" s="3209"/>
      <c r="N29" s="3209"/>
      <c r="O29" s="3209"/>
      <c r="P29" s="3209"/>
      <c r="Q29" s="3163"/>
      <c r="R29" s="3806" t="s">
        <v>2824</v>
      </c>
      <c r="S29" s="3807"/>
      <c r="T29" s="3807"/>
      <c r="U29" s="3807"/>
      <c r="V29" s="3807"/>
      <c r="W29" s="3807"/>
      <c r="X29" s="3163"/>
      <c r="Y29" s="3806" t="s">
        <v>2825</v>
      </c>
      <c r="Z29" s="3807"/>
      <c r="AA29" s="3807"/>
      <c r="AB29" s="3807"/>
      <c r="AC29" s="3807"/>
      <c r="AD29" s="3807"/>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671</v>
      </c>
      <c r="AH30" t="s">
        <v>21</v>
      </c>
      <c r="AI30" t="s">
        <v>3402</v>
      </c>
      <c r="AJ30"/>
      <c r="AK30" t="s">
        <v>3403</v>
      </c>
      <c r="AN30" t="s">
        <v>671</v>
      </c>
      <c r="AO30" t="s">
        <v>21</v>
      </c>
      <c r="AP30" t="s">
        <v>3402</v>
      </c>
      <c r="AQ30"/>
      <c r="AR30" t="s">
        <v>3403</v>
      </c>
    </row>
    <row r="31" spans="1:44" s="3159" customFormat="1" ht="12.75">
      <c r="A31" s="3147" t="s">
        <v>2831</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3400</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2.75">
      <c r="A34" s="2204" t="s">
        <v>3399</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2.75">
      <c r="A35" s="3184" t="s">
        <v>3407</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3404</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2.75">
      <c r="A37" s="2204" t="s">
        <v>3405</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2.75">
      <c r="A38" s="2204" t="s">
        <v>3369</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2.75">
      <c r="A39" s="3174" t="s">
        <v>3373</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2.75">
      <c r="A40" s="3174" t="s">
        <v>3370</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2.75">
      <c r="A41" s="3174" t="s">
        <v>3368</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2.75">
      <c r="A42" s="3174" t="s">
        <v>3366</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2.75">
      <c r="A43" s="3174" t="s">
        <v>3365</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2.75">
      <c r="A44" s="3174" t="s">
        <v>3363</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2.75">
      <c r="A45" s="3174" t="s">
        <v>3362</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2.75">
      <c r="A46" s="3174" t="s">
        <v>3361</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2.75">
      <c r="A47" s="3174" t="s">
        <v>3351</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4.25" thickTop="1"/>
    <row r="54" spans="1:44">
      <c r="A54" s="3446"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1" customFormat="1" ht="14.25" thickBot="1">
      <c r="B2" s="2172" t="s">
        <v>458</v>
      </c>
      <c r="C2" s="2172" t="s">
        <v>459</v>
      </c>
      <c r="D2" s="2173" t="s">
        <v>460</v>
      </c>
      <c r="E2" s="2173" t="s">
        <v>461</v>
      </c>
      <c r="F2" s="2172" t="s">
        <v>462</v>
      </c>
      <c r="G2" s="2174"/>
      <c r="I2" s="2172" t="s">
        <v>458</v>
      </c>
      <c r="J2" s="2173" t="s">
        <v>674</v>
      </c>
      <c r="K2" s="2173" t="s">
        <v>308</v>
      </c>
      <c r="L2" s="2172" t="s">
        <v>462</v>
      </c>
      <c r="N2" s="2172" t="s">
        <v>458</v>
      </c>
      <c r="O2" s="2173" t="s">
        <v>674</v>
      </c>
      <c r="P2" s="2173" t="s">
        <v>308</v>
      </c>
      <c r="Q2" s="2172" t="s">
        <v>462</v>
      </c>
      <c r="S2" s="2172" t="s">
        <v>458</v>
      </c>
      <c r="T2" s="2173" t="s">
        <v>674</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2305</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2304</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675</v>
      </c>
      <c r="B27" s="2205">
        <f t="shared" si="232"/>
        <v>419.31181600000002</v>
      </c>
      <c r="C27" s="2205">
        <f t="shared" si="233"/>
        <v>313.95436800000004</v>
      </c>
      <c r="D27" s="2205">
        <f t="shared" si="234"/>
        <v>313.95436800000004</v>
      </c>
      <c r="E27" s="2205">
        <f t="shared" si="235"/>
        <v>596.63028431999999</v>
      </c>
      <c r="F27" s="2205">
        <f t="shared" si="236"/>
        <v>274.74220703999998</v>
      </c>
      <c r="G27" s="380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1" t="s">
        <v>2836</v>
      </c>
      <c r="B1" s="3821"/>
      <c r="C1" s="3821"/>
      <c r="D1" s="3821"/>
      <c r="E1" s="3821"/>
      <c r="F1" s="3821"/>
      <c r="G1" s="3822"/>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19"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20"/>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45772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45586</v>
      </c>
      <c r="D13" s="2820">
        <v>3.1</v>
      </c>
      <c r="E13" s="2820">
        <f>D13</f>
        <v>3.1</v>
      </c>
      <c r="F13" s="2820">
        <f>D13</f>
        <v>3.1</v>
      </c>
      <c r="G13" s="2820">
        <f>D13</f>
        <v>3.1</v>
      </c>
      <c r="H13" s="2820">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45495</v>
      </c>
      <c r="D14" s="2815">
        <v>3.35</v>
      </c>
      <c r="E14" s="2815">
        <f>D14</f>
        <v>3.35</v>
      </c>
      <c r="F14" s="2815">
        <f>D14</f>
        <v>3.35</v>
      </c>
      <c r="G14" s="2815">
        <f>D14</f>
        <v>3.35</v>
      </c>
      <c r="H14" s="2815">
        <v>3.85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45342</v>
      </c>
      <c r="D15" s="2815">
        <v>3.45</v>
      </c>
      <c r="E15" s="2815">
        <f>D15</f>
        <v>3.45</v>
      </c>
      <c r="F15" s="2815">
        <f>D15</f>
        <v>3.45</v>
      </c>
      <c r="G15" s="2815">
        <f>D15</f>
        <v>3.45</v>
      </c>
      <c r="H15" s="2815">
        <v>3.95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45159</v>
      </c>
      <c r="D16" s="2815">
        <v>3.45</v>
      </c>
      <c r="E16" s="2815">
        <f>D16</f>
        <v>3.45</v>
      </c>
      <c r="F16" s="2815">
        <f>D16</f>
        <v>3.45</v>
      </c>
      <c r="G16" s="2815">
        <f>D16</f>
        <v>3.45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45097</v>
      </c>
      <c r="D17" s="2815">
        <v>3.55</v>
      </c>
      <c r="E17" s="2815">
        <f>D17</f>
        <v>3.55</v>
      </c>
      <c r="F17" s="2815">
        <f>D17</f>
        <v>3.55</v>
      </c>
      <c r="G17" s="2815">
        <f>D17</f>
        <v>3.55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44701</v>
      </c>
      <c r="D19" s="2815">
        <v>3.7</v>
      </c>
      <c r="E19" s="2815">
        <f>D19</f>
        <v>3.7</v>
      </c>
      <c r="F19" s="2815">
        <f>D19</f>
        <v>3.7</v>
      </c>
      <c r="G19" s="2815">
        <f>D19</f>
        <v>3.7</v>
      </c>
      <c r="H19" s="2815">
        <v>4.45</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44581</v>
      </c>
      <c r="D20" s="2815">
        <v>3.7</v>
      </c>
      <c r="E20" s="2815">
        <f>D20</f>
        <v>3.7</v>
      </c>
      <c r="F20" s="2815">
        <f>D20</f>
        <v>3.7</v>
      </c>
      <c r="G20" s="2815">
        <f>D20</f>
        <v>3.7</v>
      </c>
      <c r="H20" s="2815">
        <v>4.5999999999999996</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44550</v>
      </c>
      <c r="D21" s="2815">
        <v>3.8</v>
      </c>
      <c r="E21" s="2815">
        <f>D21</f>
        <v>3.8</v>
      </c>
      <c r="F21" s="2815">
        <f>D21</f>
        <v>3.8</v>
      </c>
      <c r="G21" s="2815">
        <f>D21</f>
        <v>3.8</v>
      </c>
      <c r="H21" s="2815">
        <v>4.6500000000000004</v>
      </c>
      <c r="I21" s="2815"/>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43941</v>
      </c>
      <c r="D22" s="2815">
        <v>3.85</v>
      </c>
      <c r="E22" s="2815">
        <v>3.85</v>
      </c>
      <c r="F22" s="2815">
        <v>3.85</v>
      </c>
      <c r="G22" s="2815">
        <v>3.85</v>
      </c>
      <c r="H22" s="2815">
        <v>4.6500000000000004</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43881</v>
      </c>
      <c r="D23" s="2815">
        <v>4.05</v>
      </c>
      <c r="E23" s="2815">
        <v>4.05</v>
      </c>
      <c r="F23" s="2815">
        <v>4.05</v>
      </c>
      <c r="G23" s="2815">
        <v>4.05</v>
      </c>
      <c r="H23" s="2815">
        <v>4.75</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43789</v>
      </c>
      <c r="D24" s="2815">
        <v>4.1500000000000004</v>
      </c>
      <c r="E24" s="2815">
        <v>4.1500000000000004</v>
      </c>
      <c r="F24" s="2815">
        <v>4.1500000000000004</v>
      </c>
      <c r="G24" s="2815">
        <v>4.1500000000000004</v>
      </c>
      <c r="H24" s="2815">
        <v>4.8</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43728</v>
      </c>
      <c r="D25" s="2815">
        <v>4.2</v>
      </c>
      <c r="E25" s="2815">
        <v>4.2</v>
      </c>
      <c r="F25" s="2815">
        <v>4.2</v>
      </c>
      <c r="G25" s="2815">
        <v>4.2</v>
      </c>
      <c r="H25" s="2815">
        <v>4.8499999999999996</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4" t="s">
        <v>2306</v>
      </c>
      <c r="C26" s="2817">
        <v>43697</v>
      </c>
      <c r="D26" s="2818">
        <v>4.25</v>
      </c>
      <c r="E26" s="2818">
        <v>4.25</v>
      </c>
      <c r="F26" s="2818">
        <v>4.25</v>
      </c>
      <c r="G26" s="2818">
        <v>4.25</v>
      </c>
      <c r="H26" s="2818">
        <v>4.8499999999999996</v>
      </c>
      <c r="I26" s="2818"/>
      <c r="J26" s="2818"/>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2"/>
      <c r="C27" s="2823">
        <v>42301</v>
      </c>
      <c r="D27" s="2824">
        <v>4.3499999999999996</v>
      </c>
      <c r="E27" s="2824">
        <v>4.3499999999999996</v>
      </c>
      <c r="F27" s="2824">
        <v>4.75</v>
      </c>
      <c r="G27" s="2824">
        <v>4.75</v>
      </c>
      <c r="H27" s="2824">
        <v>4.9000000000000004</v>
      </c>
      <c r="I27" s="2824"/>
      <c r="J27" s="2824"/>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8" workbookViewId="0">
      <selection activeCell="A236" sqref="A23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
  <sheetViews>
    <sheetView topLeftCell="A37" workbookViewId="0">
      <selection activeCell="A40" sqref="A40"/>
    </sheetView>
  </sheetViews>
  <sheetFormatPr defaultRowHeight="13.5"/>
  <sheetData>
    <row r="9" spans="4:4">
      <c r="D9" s="3473"/>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926</v>
      </c>
      <c r="B2" s="3502" t="s">
        <v>927</v>
      </c>
      <c r="C2" s="3502" t="s">
        <v>928</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3" t="s">
        <v>923</v>
      </c>
      <c r="E3" s="853" t="s">
        <v>929</v>
      </c>
      <c r="F3" s="853" t="s">
        <v>923</v>
      </c>
      <c r="G3" s="853" t="s">
        <v>924</v>
      </c>
      <c r="H3" s="853" t="s">
        <v>923</v>
      </c>
      <c r="I3" s="853" t="s">
        <v>924</v>
      </c>
    </row>
    <row r="4" spans="1:9" ht="30">
      <c r="A4" s="1504" t="str">
        <f>项目基本情况!S2</f>
        <v>北京市丰台区广安路9号院1号楼3层301办公用房房地产</v>
      </c>
      <c r="B4" s="853">
        <f>项目基本情况!C17</f>
        <v>62.62</v>
      </c>
      <c r="C4" s="853">
        <f>项目基本情况!C18</f>
        <v>0</v>
      </c>
      <c r="D4" s="853">
        <f ca="1">结果表!D118</f>
        <v>149</v>
      </c>
      <c r="E4" s="853">
        <f ca="1">结果表!E118</f>
        <v>23790</v>
      </c>
      <c r="F4" s="853">
        <f ca="1">结果表!F118</f>
        <v>59</v>
      </c>
      <c r="G4" s="853">
        <f ca="1">结果表!G118</f>
        <v>9483</v>
      </c>
      <c r="H4" s="853">
        <f ca="1">结果表!H118</f>
        <v>208</v>
      </c>
      <c r="I4" s="853">
        <f ca="1">结果表!I118</f>
        <v>33273</v>
      </c>
    </row>
    <row r="5" spans="1:9" ht="30" customHeight="1">
      <c r="A5" s="3497" t="s">
        <v>925</v>
      </c>
      <c r="B5" s="3497"/>
      <c r="C5" s="3497"/>
      <c r="D5" s="3497" t="str">
        <f ca="1">结果表!D119</f>
        <v>壹佰肆拾玖万元整</v>
      </c>
      <c r="E5" s="3497"/>
      <c r="F5" s="3497" t="str">
        <f ca="1">结果表!F119</f>
        <v>伍拾玖万元整</v>
      </c>
      <c r="G5" s="3497"/>
      <c r="H5" s="3497" t="str">
        <f ca="1">结果表!H119</f>
        <v>贰佰零捌万元整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925</v>
      </c>
      <c r="B7" s="3497"/>
      <c r="C7" s="3497"/>
      <c r="D7" s="3498" t="str">
        <f>结果表!D121</f>
        <v>零元整</v>
      </c>
      <c r="E7" s="3499"/>
      <c r="F7" s="3499"/>
      <c r="G7" s="3499"/>
      <c r="H7" s="3499"/>
      <c r="I7" s="3500"/>
    </row>
    <row r="8" spans="1:9" ht="15.75">
      <c r="A8" s="3496" t="str">
        <f>结果表!A122</f>
        <v>房地产抵押价值</v>
      </c>
      <c r="B8" s="3496"/>
      <c r="C8" s="3496"/>
      <c r="D8" s="3496">
        <f ca="1">结果表!D122</f>
        <v>208</v>
      </c>
      <c r="E8" s="3496"/>
      <c r="F8" s="3496"/>
      <c r="G8" s="3496"/>
      <c r="H8" s="3496"/>
      <c r="I8" s="3496"/>
    </row>
    <row r="9" spans="1:9" ht="15">
      <c r="A9" s="3497" t="s">
        <v>925</v>
      </c>
      <c r="B9" s="3497"/>
      <c r="C9" s="3497"/>
      <c r="D9" s="3497" t="str">
        <f ca="1">结果表!D123</f>
        <v>贰佰零捌万元整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925</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925</v>
      </c>
      <c r="B13" s="3494"/>
      <c r="C13" s="3494"/>
      <c r="D13" s="3494" t="e">
        <f>结果表!D127</f>
        <v>#VALUE!</v>
      </c>
      <c r="E13" s="3494"/>
      <c r="F13" s="3494"/>
      <c r="G13" s="3494"/>
      <c r="H13" s="3494"/>
      <c r="I13" s="3494"/>
    </row>
    <row r="14" spans="1:9" ht="15" thickTop="1">
      <c r="A14" s="3495" t="s">
        <v>930</v>
      </c>
      <c r="B14" s="3495"/>
      <c r="C14" s="3495"/>
      <c r="D14" s="3495"/>
      <c r="E14" s="3495"/>
      <c r="F14" s="3495"/>
      <c r="G14" s="3495"/>
      <c r="H14" s="3495"/>
      <c r="I14" s="3495"/>
    </row>
    <row r="16" spans="1:9" ht="18.75">
      <c r="A16" s="1505" t="s">
        <v>913</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947</v>
      </c>
      <c r="B1" s="3509"/>
      <c r="C1" s="3509"/>
      <c r="D1" s="3509"/>
    </row>
    <row r="2" spans="1:4" ht="18">
      <c r="A2" s="3510" t="s">
        <v>931</v>
      </c>
      <c r="B2" s="3510"/>
      <c r="C2" s="3510"/>
      <c r="D2" s="3510"/>
    </row>
    <row r="3" spans="1:4" ht="18.75">
      <c r="A3" s="1508" t="s">
        <v>932</v>
      </c>
      <c r="B3" s="1508" t="s">
        <v>933</v>
      </c>
      <c r="C3" s="1508" t="s">
        <v>934</v>
      </c>
      <c r="D3" s="1508" t="s">
        <v>935</v>
      </c>
    </row>
    <row r="4" spans="1:4" ht="56.25" customHeight="1">
      <c r="A4" s="1509" t="str">
        <f>项目基本情况!B4</f>
        <v>吴薇</v>
      </c>
      <c r="B4" s="1510">
        <f ca="1">项目基本情况!C4</f>
        <v>1419970001</v>
      </c>
      <c r="C4" s="1511"/>
      <c r="D4" s="1512" t="s">
        <v>936</v>
      </c>
    </row>
    <row r="5" spans="1:4" ht="56.25" customHeight="1">
      <c r="A5" s="1509" t="str">
        <f>项目基本情况!D4</f>
        <v>郑燚</v>
      </c>
      <c r="B5" s="1510">
        <f ca="1">项目基本情况!E4</f>
        <v>1120070131</v>
      </c>
      <c r="C5" s="1513"/>
      <c r="D5" s="1512" t="s">
        <v>936</v>
      </c>
    </row>
    <row r="6" spans="1:4" ht="18">
      <c r="A6" s="3510" t="s">
        <v>937</v>
      </c>
      <c r="B6" s="3510"/>
      <c r="C6" s="3510"/>
      <c r="D6" s="3510"/>
    </row>
    <row r="7" spans="1:4" ht="18.75">
      <c r="A7" s="1508" t="s">
        <v>932</v>
      </c>
      <c r="B7" s="1510" t="s">
        <v>938</v>
      </c>
      <c r="C7" s="1508" t="s">
        <v>934</v>
      </c>
      <c r="D7" s="1508" t="s">
        <v>935</v>
      </c>
    </row>
    <row r="8" spans="1:4" ht="56.25" customHeight="1">
      <c r="A8" s="1514" t="s">
        <v>390</v>
      </c>
      <c r="B8" s="1514" t="s">
        <v>0</v>
      </c>
      <c r="C8" s="1511"/>
      <c r="D8" s="1512" t="s">
        <v>936</v>
      </c>
    </row>
    <row r="9" spans="1:4">
      <c r="A9" s="674"/>
      <c r="B9" s="674"/>
      <c r="C9" s="674"/>
      <c r="D9" s="674"/>
    </row>
    <row r="10" spans="1:4" ht="18.75">
      <c r="A10" s="1515" t="s">
        <v>939</v>
      </c>
      <c r="B10" s="674"/>
      <c r="C10" s="674"/>
      <c r="D10" s="674"/>
    </row>
    <row r="11" spans="1:4" ht="30" customHeight="1">
      <c r="A11" s="3511" t="s">
        <v>940</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941</v>
      </c>
      <c r="B16" s="3505"/>
      <c r="C16" s="3505"/>
      <c r="D16" s="3505"/>
    </row>
    <row r="17" spans="1:4" ht="144" customHeight="1">
      <c r="A17" s="3505" t="s">
        <v>942</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943</v>
      </c>
      <c r="B22" s="3507"/>
      <c r="C22" s="3507"/>
      <c r="D22" s="3507"/>
    </row>
    <row r="23" spans="1:4">
      <c r="A23" s="1516"/>
      <c r="B23" s="1488"/>
      <c r="C23" s="1488"/>
      <c r="D23" s="1488"/>
    </row>
    <row r="24" spans="1:4">
      <c r="A24" s="1516"/>
      <c r="B24" s="1488"/>
      <c r="C24" s="1488"/>
      <c r="D24" s="1488"/>
    </row>
    <row r="25" spans="1:4" ht="18.75">
      <c r="A25" s="1517" t="s">
        <v>944</v>
      </c>
    </row>
    <row r="26" spans="1:4" ht="18">
      <c r="A26" s="1486"/>
    </row>
    <row r="27" spans="1:4" ht="18.75">
      <c r="A27" s="1486" t="s">
        <v>945</v>
      </c>
    </row>
    <row r="30" spans="1:4" ht="18.75">
      <c r="D30" s="1517" t="s">
        <v>946</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948</v>
      </c>
    </row>
    <row r="3" spans="1:7">
      <c r="A3" s="1522" t="s">
        <v>55</v>
      </c>
      <c r="B3" s="1506" t="s">
        <v>949</v>
      </c>
      <c r="G3" s="1523"/>
    </row>
    <row r="4" spans="1:7">
      <c r="G4" s="1523"/>
    </row>
    <row r="5" spans="1:7">
      <c r="A5" s="1525" t="s">
        <v>46</v>
      </c>
      <c r="B5" s="1506" t="s">
        <v>950</v>
      </c>
      <c r="G5" s="1523"/>
    </row>
    <row r="6" spans="1:7">
      <c r="G6" s="1523"/>
    </row>
    <row r="7" spans="1:7">
      <c r="A7" s="1526" t="s">
        <v>108</v>
      </c>
      <c r="B7" s="1506" t="s">
        <v>951</v>
      </c>
      <c r="G7" s="1523"/>
    </row>
    <row r="8" spans="1:7">
      <c r="G8" s="1523"/>
    </row>
    <row r="9" spans="1:7">
      <c r="A9" s="1527" t="s">
        <v>47</v>
      </c>
      <c r="B9" s="1506" t="s">
        <v>952</v>
      </c>
    </row>
    <row r="11" spans="1:7">
      <c r="A11" s="1528" t="s">
        <v>48</v>
      </c>
      <c r="B11" s="1529" t="s">
        <v>45</v>
      </c>
    </row>
    <row r="13" spans="1:7">
      <c r="A13" s="1530" t="s">
        <v>953</v>
      </c>
    </row>
    <row r="15" spans="1:7" ht="13.5">
      <c r="A15" s="3517" t="s">
        <v>954</v>
      </c>
      <c r="B15" s="3512" t="s">
        <v>109</v>
      </c>
      <c r="C15" s="3513"/>
    </row>
    <row r="16" spans="1:7" ht="13.5">
      <c r="A16" s="3518"/>
      <c r="B16" s="3512" t="s">
        <v>42</v>
      </c>
      <c r="C16" s="3513"/>
    </row>
    <row r="17" spans="1:3" ht="13.5">
      <c r="A17" s="3518"/>
      <c r="B17" s="3515" t="s">
        <v>955</v>
      </c>
      <c r="C17" s="1531" t="s">
        <v>954</v>
      </c>
    </row>
    <row r="18" spans="1:3" ht="13.5">
      <c r="A18" s="3518"/>
      <c r="B18" s="3515"/>
      <c r="C18" s="1531" t="s">
        <v>956</v>
      </c>
    </row>
    <row r="19" spans="1:3" ht="13.5">
      <c r="A19" s="3518"/>
      <c r="B19" s="3515"/>
      <c r="C19" s="1531" t="s">
        <v>957</v>
      </c>
    </row>
    <row r="20" spans="1:3" ht="13.5">
      <c r="A20" s="3519"/>
      <c r="B20" s="3514" t="s">
        <v>958</v>
      </c>
      <c r="C20" s="3513"/>
    </row>
    <row r="21" spans="1:3" ht="13.5">
      <c r="A21" s="1532" t="s">
        <v>959</v>
      </c>
      <c r="B21" s="1533"/>
      <c r="C21" s="1534"/>
    </row>
    <row r="22" spans="1:3" ht="13.5">
      <c r="A22" s="3516" t="s">
        <v>960</v>
      </c>
      <c r="B22" s="3514" t="s">
        <v>961</v>
      </c>
      <c r="C22" s="3513"/>
    </row>
    <row r="23" spans="1:3" ht="13.5">
      <c r="A23" s="3516"/>
      <c r="B23" s="3514" t="s">
        <v>962</v>
      </c>
      <c r="C23" s="3513"/>
    </row>
    <row r="24" spans="1:3" ht="13.5">
      <c r="A24" s="3516"/>
      <c r="B24" s="3514" t="s">
        <v>963</v>
      </c>
      <c r="C24" s="3513"/>
    </row>
    <row r="25" spans="1:3" ht="13.5">
      <c r="A25" s="3516"/>
      <c r="B25" s="3515" t="s">
        <v>964</v>
      </c>
      <c r="C25" s="1531" t="s">
        <v>965</v>
      </c>
    </row>
    <row r="26" spans="1:3" ht="13.5">
      <c r="A26" s="3516"/>
      <c r="B26" s="3515"/>
      <c r="C26" s="1531" t="s">
        <v>966</v>
      </c>
    </row>
    <row r="27" spans="1:3" ht="13.5">
      <c r="A27" s="3516"/>
      <c r="B27" s="3515"/>
      <c r="C27" s="1531" t="s">
        <v>967</v>
      </c>
    </row>
    <row r="28" spans="1:3" ht="13.5">
      <c r="A28" s="3516"/>
      <c r="B28" s="3515"/>
      <c r="C28" s="1531" t="s">
        <v>968</v>
      </c>
    </row>
    <row r="29" spans="1:3" ht="13.5">
      <c r="A29" s="3516"/>
      <c r="B29" s="3515"/>
      <c r="C29" s="1531" t="s">
        <v>969</v>
      </c>
    </row>
    <row r="30" spans="1:3" ht="13.5">
      <c r="A30" s="3516"/>
      <c r="B30" s="3515"/>
      <c r="C30" s="1531" t="s">
        <v>970</v>
      </c>
    </row>
    <row r="31" spans="1:3" ht="13.5">
      <c r="A31" s="3516"/>
      <c r="B31" s="3515"/>
      <c r="C31" s="1531" t="s">
        <v>971</v>
      </c>
    </row>
    <row r="32" spans="1:3" ht="13.5">
      <c r="A32" s="3516"/>
      <c r="B32" s="3515"/>
      <c r="C32" s="1531" t="s">
        <v>972</v>
      </c>
    </row>
    <row r="33" spans="1:3" ht="13.5">
      <c r="A33" s="3516"/>
      <c r="B33" s="3515"/>
      <c r="C33" s="1531" t="s">
        <v>973</v>
      </c>
    </row>
    <row r="34" spans="1:3">
      <c r="A34" s="1535" t="s">
        <v>49</v>
      </c>
    </row>
    <row r="37" spans="1:3">
      <c r="A37" s="1535" t="s">
        <v>974</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45866</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t="str">
        <f ca="1">IF(C9&lt;B2,"已过期",1120060040)</f>
        <v>已过期</v>
      </c>
      <c r="C9" s="2349">
        <v>45592</v>
      </c>
      <c r="D9" s="2345" t="str">
        <f t="shared" ca="1" si="0"/>
        <v>陈颖（注册号：已过期）</v>
      </c>
      <c r="E9" s="2346" t="s">
        <v>2150</v>
      </c>
      <c r="F9" s="1303">
        <f ca="1">IF(G9&lt;B2,"已过期",2004110096)</f>
        <v>2004110096</v>
      </c>
      <c r="G9" s="2347">
        <v>47118</v>
      </c>
      <c r="H9" s="2348" t="str">
        <f t="shared" ca="1" si="1"/>
        <v>陈颖（注册号：2004110096）</v>
      </c>
    </row>
    <row r="10" spans="1:8" ht="24" customHeight="1">
      <c r="A10" s="1303" t="s">
        <v>2151</v>
      </c>
      <c r="B10" s="1303" t="str">
        <f ca="1">IF(C10&lt;B2,"已过期",1120100036)</f>
        <v>已过期</v>
      </c>
      <c r="C10" s="2349">
        <v>45752</v>
      </c>
      <c r="D10" s="2345" t="str">
        <f t="shared" ca="1" si="0"/>
        <v>崔锴（注册号：已过期）</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2157</v>
      </c>
      <c r="B17" s="3520"/>
      <c r="C17" s="3520"/>
      <c r="D17" s="3520"/>
      <c r="E17" s="3520"/>
      <c r="F17" s="3520"/>
      <c r="G17" s="3520"/>
      <c r="H17" s="3520"/>
    </row>
    <row r="18" spans="1:8" ht="24" customHeight="1">
      <c r="A18" s="3521" t="s">
        <v>2158</v>
      </c>
      <c r="B18" s="3521"/>
      <c r="C18" s="3521"/>
      <c r="D18" s="2342"/>
      <c r="E18" s="3522" t="s">
        <v>2159</v>
      </c>
      <c r="F18" s="3521"/>
      <c r="G18" s="3521"/>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2025-07-28T02:41:37Z</dcterms:modified>
</cp:coreProperties>
</file>