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ThisWorkbook" defaultThemeVersion="124226"/>
  <mc:AlternateContent xmlns:mc="http://schemas.openxmlformats.org/markup-compatibility/2006">
    <mc:Choice Requires="x15">
      <x15ac:absPath xmlns:x15ac="http://schemas.microsoft.com/office/spreadsheetml/2010/11/ac" url="F:\2024-1-0150硅谷亮城租金\"/>
    </mc:Choice>
  </mc:AlternateContent>
  <xr:revisionPtr revIDLastSave="0" documentId="13_ncr:1_{22D84DEF-349F-4093-8D39-06452E1B6B6B}" xr6:coauthVersionLast="47" xr6:coauthVersionMax="47" xr10:uidLastSave="{00000000-0000-0000-0000-000000000000}"/>
  <bookViews>
    <workbookView xWindow="0" yWindow="0" windowWidth="10800" windowHeight="12900" tabRatio="899" firstSheet="16"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结果一览表-商业" sheetId="81" r:id="rId19"/>
    <sheet name="成本法" sheetId="68" state="hidden" r:id="rId20"/>
    <sheet name="比较法-商业-租金" sheetId="33" r:id="rId21"/>
    <sheet name="成本法 (元)" sheetId="69"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基准地价修正-商业" sheetId="43" r:id="rId32"/>
    <sheet name="结果一览表-库房" sheetId="82" state="hidden" r:id="rId33"/>
    <sheet name="成本法 (元) -库房" sheetId="84" state="hidden" r:id="rId34"/>
    <sheet name="基准地价修正-库房" sheetId="85" state="hidden" r:id="rId35"/>
    <sheet name="比较法-仓储" sheetId="36" state="hidden" r:id="rId36"/>
    <sheet name="库房案例" sheetId="8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r:id="rId48"/>
    <sheet name="Sheet2" sheetId="88" r:id="rId49"/>
    <sheet name="Sheet1" sheetId="87" r:id="rId50"/>
    <sheet name="地价" sheetId="71" state="hidden" r:id="rId51"/>
    <sheet name="存贷款利率" sheetId="73" r:id="rId52"/>
  </sheets>
  <externalReferences>
    <externalReference r:id="rId53"/>
    <externalReference r:id="rId54"/>
  </externalReferences>
  <definedNames>
    <definedName name="_xlnm._FilterDatabase" localSheetId="28" hidden="1">'比较法-办公'!$A$1:$L$50</definedName>
    <definedName name="_xlnm._FilterDatabase" localSheetId="35"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'比较法-商业-租金'!$A$1:$L$49</definedName>
    <definedName name="_xlnm._FilterDatabase" localSheetId="27"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5">'比较法-仓储'!$A$1:$K$42,'比较法-仓储'!$A$45:$M$96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'比较法-商业-租金'!$A$1:$K$54,'比较法-商业-租金'!$A$57:$M$131</definedName>
    <definedName name="_xlnm.Print_Area" localSheetId="27">'比较法-住宅'!$A$1:$K$54,'比较法-住宅'!$A$57:$M$131</definedName>
    <definedName name="_xlnm.Print_Area" localSheetId="19">成本法!$A$1:$G$57</definedName>
    <definedName name="_xlnm.Print_Area" localSheetId="21">'成本法 (元)'!$A$1:$G$57</definedName>
    <definedName name="_xlnm.Print_Area" localSheetId="33">'成本法 (元) -库房'!$A$1:$G$57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4">'基准地价修正-库房'!$A$1:$J$44,'基准地价修正-库房'!$A$47:$H$101,'基准地价修正-库房'!$R$1:$V$16</definedName>
    <definedName name="_xlnm.Print_Area" localSheetId="31">'基准地价修正-商业'!$A$1:$J$44,'基准地价修正-商业'!$A$47:$H$101,'基准地价修正-商业'!$R$1:$V$16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2">'[1]比较法-办公'!$B$119:$M$119</definedName>
    <definedName name="办公层高" localSheetId="18">'[1]比较法-办公'!$B$119:$M$119</definedName>
    <definedName name="办公层高">'比较法-办公'!$B$119:$M$119</definedName>
    <definedName name="办公朝向" localSheetId="32">'[1]比较法-办公'!$B$91:$M$91</definedName>
    <definedName name="办公朝向" localSheetId="18">'[1]比较法-办公'!$B$91:$M$91</definedName>
    <definedName name="办公朝向">'比较法-办公'!$B$91:$M$91</definedName>
    <definedName name="办公道路级别" localSheetId="32">'[1]比较法-办公'!$B$87:$M$87</definedName>
    <definedName name="办公道路级别" localSheetId="18">'[1]比较法-办公'!$B$87:$M$87</definedName>
    <definedName name="办公道路级别">'比较法-办公'!$B$87:$M$87</definedName>
    <definedName name="办公公共部分装修" localSheetId="32">'[1]比较法-办公'!$B$108:$M$108</definedName>
    <definedName name="办公公共部分装修" localSheetId="18">'[1]比较法-办公'!$B$108:$M$108</definedName>
    <definedName name="办公公共部分装修">'比较法-办公'!$B$108:$M$108</definedName>
    <definedName name="办公基础设施水平" localSheetId="32">'[1]比较法-办公'!$B$117:$M$117</definedName>
    <definedName name="办公基础设施水平" localSheetId="18">'[1]比较法-办公'!$B$117:$M$117</definedName>
    <definedName name="办公基础设施水平">'比较法-办公'!$B$117:$M$117</definedName>
    <definedName name="办公集聚程度" localSheetId="32">[1]定义!$M$1:$M$6</definedName>
    <definedName name="办公集聚程度" localSheetId="18">[1]定义!$M$1:$M$6</definedName>
    <definedName name="办公集聚程度">定义!$M$1:$M$6</definedName>
    <definedName name="办公建筑结构" localSheetId="32">'[1]比较法-办公'!$B$106:$M$106</definedName>
    <definedName name="办公建筑结构" localSheetId="18">'[1]比较法-办公'!$B$106:$M$106</definedName>
    <definedName name="办公建筑结构">'比较法-办公'!$B$106:$M$106</definedName>
    <definedName name="办公建筑类型" localSheetId="32">'[1]比较法-办公'!$B$101:$M$101</definedName>
    <definedName name="办公建筑类型" localSheetId="18">'[1]比较法-办公'!$B$101:$M$101</definedName>
    <definedName name="办公建筑类型">'比较法-办公'!$B$101:$M$101</definedName>
    <definedName name="办公交易情况" localSheetId="32">'[1]比较法-办公'!$A$62:$M$62</definedName>
    <definedName name="办公交易情况" localSheetId="18">'[1]比较法-办公'!$A$62:$M$62</definedName>
    <definedName name="办公交易情况">'比较法-办公'!$A$62:$M$62</definedName>
    <definedName name="办公楼层" localSheetId="32">'[1]比较法-办公'!$B$89:$M$89</definedName>
    <definedName name="办公楼层" localSheetId="18">'[1]比较法-办公'!$B$89:$M$89</definedName>
    <definedName name="办公楼层">'比较法-办公'!$B$89:$M$89</definedName>
    <definedName name="办公内部装修" localSheetId="32">'[1]比较法-办公'!$B$123:$M$123</definedName>
    <definedName name="办公内部装修" localSheetId="18">'[1]比较法-办公'!$B$123:$M$123</definedName>
    <definedName name="办公内部装修">'比较法-办公'!$B$123:$M$123</definedName>
    <definedName name="办公物业管理" localSheetId="32">'[1]比较法-办公'!$B$115:$M$115</definedName>
    <definedName name="办公物业管理" localSheetId="18">'[1]比较法-办公'!$B$115:$M$115</definedName>
    <definedName name="办公物业管理">'比较法-办公'!$B$115:$M$115</definedName>
    <definedName name="办公用途" localSheetId="32">'[1]比较法-办公'!$B$64:$M$64</definedName>
    <definedName name="办公用途" localSheetId="18">'[1]比较法-办公'!$B$64:$M$64</definedName>
    <definedName name="办公用途">'比较法-办公'!$B$64:$M$64</definedName>
    <definedName name="仓储公共部分装修" localSheetId="32">'[1]比较法-仓储'!$B$77:$M$77</definedName>
    <definedName name="仓储公共部分装修" localSheetId="18">'[1]比较法-仓储'!$B$77:$M$77</definedName>
    <definedName name="仓储公共部分装修">'比较法-仓储'!$B$77:$M$77</definedName>
    <definedName name="仓储交易情况" localSheetId="32">'[1]比较法-仓储'!$A$49:$M$49</definedName>
    <definedName name="仓储交易情况" localSheetId="18">'[1]比较法-仓储'!$A$49:$M$49</definedName>
    <definedName name="仓储交易情况">'比较法-仓储'!$A$49:$M$49</definedName>
    <definedName name="仓储楼层" localSheetId="32">'[1]比较法-仓储'!$B$69:$M$69</definedName>
    <definedName name="仓储楼层" localSheetId="18">'[1]比较法-仓储'!$B$69:$M$69</definedName>
    <definedName name="仓储楼层">'比较法-仓储'!$B$69:$M$69</definedName>
    <definedName name="仓储物业等级" localSheetId="32">'[1]比较法-仓储'!$B$82:$M$82</definedName>
    <definedName name="仓储物业等级" localSheetId="18">'[1]比较法-仓储'!$B$82:$M$82</definedName>
    <definedName name="仓储物业等级">'比较法-仓储'!$B$82:$M$82</definedName>
    <definedName name="仓储用途" localSheetId="32">'[1]比较法-仓储'!$B$51:$M$51</definedName>
    <definedName name="仓储用途" localSheetId="18">'[1]比较法-仓储'!$B$51:$M$51</definedName>
    <definedName name="仓储用途">'比较法-仓储'!$B$51:$M$51</definedName>
    <definedName name="产业集聚程度" localSheetId="32">[1]定义!$N$1:$N$6</definedName>
    <definedName name="产业集聚程度" localSheetId="18">[1]定义!$N$1:$N$6</definedName>
    <definedName name="产业集聚程度">定义!$N$1:$N$6</definedName>
    <definedName name="车位公共部分装修" localSheetId="32">'[1]比较法-车位'!$B$83:$M$83</definedName>
    <definedName name="车位公共部分装修" localSheetId="18">'[1]比较法-车位'!$B$83:$M$83</definedName>
    <definedName name="车位公共部分装修">'比较法-车位'!$B$83:$M$83</definedName>
    <definedName name="车位交易情况" localSheetId="32">'[1]比较法-车位'!$A$51:$M$51</definedName>
    <definedName name="车位交易情况" localSheetId="18">'[1]比较法-车位'!$A$51:$M$51</definedName>
    <definedName name="车位交易情况">'比较法-车位'!$A$51:$M$51</definedName>
    <definedName name="车位类型" localSheetId="32">'[1]比较法-车位'!$B$93:$M$93</definedName>
    <definedName name="车位类型" localSheetId="18">'[1]比较法-车位'!$B$93:$M$93</definedName>
    <definedName name="车位类型">'比较法-车位'!$B$93:$M$93</definedName>
    <definedName name="车位楼层" localSheetId="32">'[1]比较法-车位'!$B$71:$M$71</definedName>
    <definedName name="车位楼层" localSheetId="18">'[1]比较法-车位'!$B$71:$M$71</definedName>
    <definedName name="车位楼层">'比较法-车位'!$B$71:$M$71</definedName>
    <definedName name="车位配套类型" localSheetId="32">'[1]比较法-车位'!$B$79:$M$79</definedName>
    <definedName name="车位配套类型" localSheetId="18">'[1]比较法-车位'!$B$79:$M$79</definedName>
    <definedName name="车位配套类型">'比较法-车位'!$B$79:$M$79</definedName>
    <definedName name="车位物业等级" localSheetId="32">'[1]比较法-车位'!$B$88:$M$88</definedName>
    <definedName name="车位物业等级" localSheetId="18">'[1]比较法-车位'!$B$88:$M$88</definedName>
    <definedName name="车位物业等级">'比较法-车位'!$B$88:$M$88</definedName>
    <definedName name="车位用途" localSheetId="32">'[1]比较法-车位'!$B$53:$M$53</definedName>
    <definedName name="车位用途" localSheetId="18">'[1]比较法-车位'!$B$53:$M$53</definedName>
    <definedName name="车位用途">'比较法-车位'!$B$53:$M$53</definedName>
    <definedName name="城镇土地纳税等级分级范围" localSheetId="32">'[1]数据-取费表'!$A$53:$A$63</definedName>
    <definedName name="城镇土地纳税等级分级范围" localSheetId="18">'[1]数据-取费表'!$A$53:$A$63</definedName>
    <definedName name="城镇土地纳税等级分级范围">'数据-取费表'!$A$53:$A$63</definedName>
    <definedName name="单价内涵" localSheetId="32">[1]定义!$V$1:$V$3</definedName>
    <definedName name="单价内涵" localSheetId="18">[1]定义!$V$1:$V$3</definedName>
    <definedName name="单价内涵">定义!$V$1:$V$3</definedName>
    <definedName name="地类判定" localSheetId="32">[1]定义!$H$1:$H$9</definedName>
    <definedName name="地类判定" localSheetId="18">[1]定义!$H$1:$H$9</definedName>
    <definedName name="地类判定">定义!$H$1:$H$9</definedName>
    <definedName name="二级">区片价!$J$1:$J$21</definedName>
    <definedName name="二级分类" localSheetId="32">[1]修正!$C$17:$C$39</definedName>
    <definedName name="二级分类" localSheetId="18">[1]修正!$C$17:$C$39</definedName>
    <definedName name="二级分类">修正!$C$19:$C$51</definedName>
    <definedName name="法定最高年限" localSheetId="32">[1]定义!$G$1:$G$4</definedName>
    <definedName name="法定最高年限" localSheetId="18">[1]定义!$G$1:$G$4</definedName>
    <definedName name="法定最高年限">定义!$G$1:$G$6</definedName>
    <definedName name="工业公共部分装修" localSheetId="32">'[1]比较法-工业'!$B$95:$M$95</definedName>
    <definedName name="工业公共部分装修" localSheetId="18">'[1]比较法-工业'!$B$95:$M$95</definedName>
    <definedName name="工业公共部分装修">'比较法-工业'!$B$95:$M$95</definedName>
    <definedName name="工业基础设施水平" localSheetId="32">'[1]比较法-工业'!$B$102:$M$102</definedName>
    <definedName name="工业基础设施水平" localSheetId="18">'[1]比较法-工业'!$B$102:$M$102</definedName>
    <definedName name="工业基础设施水平">'比较法-工业'!$B$102:$M$102</definedName>
    <definedName name="工业建筑结构" localSheetId="32">'[1]比较法-工业'!$B$93:$M$93</definedName>
    <definedName name="工业建筑结构" localSheetId="18">'[1]比较法-工业'!$B$93:$M$93</definedName>
    <definedName name="工业建筑结构">'比较法-工业'!$B$93:$M$93</definedName>
    <definedName name="工业建筑类型" localSheetId="32">'[1]比较法-工业'!$B$88:$M$88</definedName>
    <definedName name="工业建筑类型" localSheetId="18">'[1]比较法-工业'!$B$88:$M$88</definedName>
    <definedName name="工业建筑类型">'比较法-工业'!$B$88:$M$88</definedName>
    <definedName name="工业交易情况" localSheetId="32">'[1]比较法-工业'!$A$55:$M$55</definedName>
    <definedName name="工业交易情况" localSheetId="18">'[1]比较法-工业'!$A$55:$M$55</definedName>
    <definedName name="工业交易情况">'比较法-工业'!$A$55:$M$55</definedName>
    <definedName name="工业内部装修" localSheetId="32">'[1]比较法-工业'!$B$104:$M$104</definedName>
    <definedName name="工业内部装修" localSheetId="18">'[1]比较法-工业'!$B$104:$M$104</definedName>
    <definedName name="工业内部装修">'比较法-工业'!$B$104:$M$104</definedName>
    <definedName name="工业物业管理" localSheetId="32">'[1]比较法-工业'!$B$100:$M$100</definedName>
    <definedName name="工业物业管理" localSheetId="18">'[1]比较法-工业'!$B$100:$M$100</definedName>
    <definedName name="工业物业管理">'比较法-工业'!$B$100:$M$100</definedName>
    <definedName name="工业用途" localSheetId="32">'[1]比较法-工业'!$B$57:$M$57</definedName>
    <definedName name="工业用途" localSheetId="18">'[1]比较法-工业'!$B$57:$M$57</definedName>
    <definedName name="工业用途">'比较法-工业'!$B$57:$M$57</definedName>
    <definedName name="公共配套设施" localSheetId="32">[1]定义!$Q$1:$Q$6</definedName>
    <definedName name="公共配套设施" localSheetId="18">[1]定义!$Q$1:$Q$6</definedName>
    <definedName name="公共配套设施">定义!$Q$1:$Q$6</definedName>
    <definedName name="估价范围判定">定义!$D$1:$D$4</definedName>
    <definedName name="估价方法" localSheetId="32">[1]定义!$B$1:$B$50</definedName>
    <definedName name="估价方法" localSheetId="18">[1]定义!$B$1:$B$50</definedName>
    <definedName name="估价方法">定义!$B$1:$B$50</definedName>
    <definedName name="环境" localSheetId="32">[1]定义!$S$1:$S$6</definedName>
    <definedName name="环境" localSheetId="18">[1]定义!$S$1:$S$6</definedName>
    <definedName name="环境">定义!$S$1:$S$6</definedName>
    <definedName name="基础设施水平" localSheetId="32">[1]定义!$R$1:$R$6</definedName>
    <definedName name="基础设施水平" localSheetId="18">[1]定义!$R$1:$R$6</definedName>
    <definedName name="基础设施水平">定义!$R$1:$R$6</definedName>
    <definedName name="季度">'基准地价修正-商业'!$Q$19:$AD$19</definedName>
    <definedName name="价值类型2" localSheetId="32">[1]定义!$B$54:$B$56</definedName>
    <definedName name="价值类型2" localSheetId="18">[1]定义!$B$54:$B$56</definedName>
    <definedName name="价值类型2">定义!$B$54:$B$56</definedName>
    <definedName name="交通便捷度" localSheetId="32">[1]定义!$O$1:$O$6</definedName>
    <definedName name="交通便捷度" localSheetId="18">[1]定义!$O$1:$O$6</definedName>
    <definedName name="交通便捷度">定义!$O$1:$O$6</definedName>
    <definedName name="九级">区片价!$Q$1:$Q$51</definedName>
    <definedName name="居住社区成熟度" localSheetId="32">[1]定义!$K$1:$K$6</definedName>
    <definedName name="居住社区成熟度" localSheetId="18">[1]定义!$K$1:$K$6</definedName>
    <definedName name="居住社区成熟度">定义!$K$1:$K$6</definedName>
    <definedName name="类别" localSheetId="32">[1]定义!$J$1:$J$3</definedName>
    <definedName name="类别" localSheetId="18">[1]定义!$J$1:$J$3</definedName>
    <definedName name="类别">定义!$J$1:$J$3</definedName>
    <definedName name="临街状况" localSheetId="32">[1]定义!$T$1:$T$5</definedName>
    <definedName name="临街状况" localSheetId="18">[1]定义!$T$1:$T$5</definedName>
    <definedName name="临街状况">定义!$T$1:$T$5</definedName>
    <definedName name="六级">区片价!$N$1:$N$64</definedName>
    <definedName name="内部装修维护情况" localSheetId="32">[1]定义!$U$1:$U$6</definedName>
    <definedName name="内部装修维护情况" localSheetId="18">[1]定义!$U$1:$U$6</definedName>
    <definedName name="内部装修维护情况">定义!$U$1:$U$6</definedName>
    <definedName name="判定">[1]定义!$D$1:$D$4</definedName>
    <definedName name="七级">区片价!$O$1:$O$45</definedName>
    <definedName name="七通一平" localSheetId="32">[1]修正!$A$6:$A$14</definedName>
    <definedName name="七通一平" localSheetId="18">[1]修正!$A$6:$A$14</definedName>
    <definedName name="七通一平">修正!$A$8:$A$16</definedName>
    <definedName name="区域土地利用方向" localSheetId="32">[1]定义!$P$1:$P$6</definedName>
    <definedName name="区域土地利用方向" localSheetId="18">[1]定义!$P$1:$P$6</definedName>
    <definedName name="区域土地利用方向">定义!$P$1:$P$6</definedName>
    <definedName name="三级">区片价!$K$1:$K$26</definedName>
    <definedName name="商业层高" localSheetId="32">'[1]比较法-商业租金'!$B$116:$M$116</definedName>
    <definedName name="商业层高" localSheetId="18">'[1]比较法-商业租金'!$B$116:$M$116</definedName>
    <definedName name="商业层高">'比较法-商业-租金'!$B$116:$M$116</definedName>
    <definedName name="商业成新度">'比较法-商业-租金'!$B$109:$M$109</definedName>
    <definedName name="商业繁华度" localSheetId="32">[1]定义!$L$1:$L$6</definedName>
    <definedName name="商业繁华度" localSheetId="18">[1]定义!$L$1:$L$6</definedName>
    <definedName name="商业繁华度">定义!$L$1:$L$6</definedName>
    <definedName name="商业公共部分装修" localSheetId="32">'[1]比较法-商业租金'!$B$107:$M$107</definedName>
    <definedName name="商业公共部分装修" localSheetId="18">'[1]比较法-商业租金'!$B$107:$M$107</definedName>
    <definedName name="商业公共部分装修">'比较法-商业-租金'!$B$107:$M$107</definedName>
    <definedName name="商业基础设施水平" localSheetId="32">'[1]比较法-商业租金'!$B$112:$M$112</definedName>
    <definedName name="商业基础设施水平" localSheetId="18">'[1]比较法-商业租金'!$B$112:$M$112</definedName>
    <definedName name="商业基础设施水平">'比较法-商业-租金'!$B$112:$M$112</definedName>
    <definedName name="商业建筑结构" localSheetId="32">'[1]比较法-商业租金'!$B$105:$M$105</definedName>
    <definedName name="商业建筑结构" localSheetId="18">'[1]比较法-商业租金'!$B$105:$M$105</definedName>
    <definedName name="商业建筑结构">'比较法-商业-租金'!$B$105:$M$105</definedName>
    <definedName name="商业交易情况" localSheetId="32">'[1]比较法-商业租金'!$A$61:$M$61</definedName>
    <definedName name="商业交易情况" localSheetId="18">'[1]比较法-商业租金'!$A$61:$M$61</definedName>
    <definedName name="商业交易情况">'比较法-商业-租金'!$A$61:$M$61</definedName>
    <definedName name="商业街名称" localSheetId="32">[1]修正!$C$59:$C$119</definedName>
    <definedName name="商业街名称" localSheetId="18">[1]修正!$C$59:$C$119</definedName>
    <definedName name="商业街名称">修正!$C$71:$C$138</definedName>
    <definedName name="商业进深比" localSheetId="32">'[1]比较法-商业租金'!$B$120:$M$120</definedName>
    <definedName name="商业进深比" localSheetId="18">'[1]比较法-商业租金'!$B$120:$M$120</definedName>
    <definedName name="商业进深比">'比较法-商业-租金'!$B$120:$M$120</definedName>
    <definedName name="商业类型" localSheetId="32">'[1]比较法-商业租金'!$B$100:$M$100</definedName>
    <definedName name="商业类型" localSheetId="18">'[1]比较法-商业租金'!$B$100:$M$100</definedName>
    <definedName name="商业类型">'比较法-商业-租金'!$B$100:$M$100</definedName>
    <definedName name="商业临街状况" localSheetId="32">'[1]比较法-商业租金'!$B$86:$M$86</definedName>
    <definedName name="商业临街状况" localSheetId="18">'[1]比较法-商业租金'!$B$86:$M$86</definedName>
    <definedName name="商业临街状况">'比较法-商业-租金'!$B$86:$M$86</definedName>
    <definedName name="商业楼层" localSheetId="32">'[1]比较法-商业租金'!$B$92:$M$92</definedName>
    <definedName name="商业楼层" localSheetId="18">'[1]比较法-商业租金'!$B$92:$M$92</definedName>
    <definedName name="商业楼层">'比较法-商业-租金'!$B$92:$M$92</definedName>
    <definedName name="商业内部装修" localSheetId="32">'[1]比较法-商业租金'!$B$122:$M$122</definedName>
    <definedName name="商业内部装修" localSheetId="18">'[1]比较法-商业租金'!$B$122:$M$122</definedName>
    <definedName name="商业内部装修">'比较法-商业-租金'!$B$122:$M$122</definedName>
    <definedName name="商业人流量" localSheetId="32">'[1]比较法-商业租金'!$B$90:$M$90</definedName>
    <definedName name="商业人流量" localSheetId="18">'[1]比较法-商业租金'!$B$90:$M$90</definedName>
    <definedName name="商业人流量">'比较法-商业-租金'!$B$90:$M$90</definedName>
    <definedName name="商业业态" localSheetId="32">'[1]比较法-商业租金'!$B$114:$M$114</definedName>
    <definedName name="商业业态" localSheetId="18">'[1]比较法-商业租金'!$B$114:$M$114</definedName>
    <definedName name="商业业态">'比较法-商业-租金'!$B$114:$M$114</definedName>
    <definedName name="商业用途" localSheetId="32">'[1]比较法-商业租金'!$B$63:$M$63</definedName>
    <definedName name="商业用途" localSheetId="18">'[1]比较法-商业租金'!$B$63:$M$63</definedName>
    <definedName name="商业用途">'比较法-商业-租金'!$B$63:$M$63</definedName>
    <definedName name="十二级">区片价!$T$1:$T$8</definedName>
    <definedName name="十级">区片价!$R$1:$R$32</definedName>
    <definedName name="十一级">区片价!$S$1:$S$21</definedName>
    <definedName name="是否封闭" localSheetId="32">'[1]比较法-仓储'!$B$89:$M$89</definedName>
    <definedName name="是否封闭" localSheetId="18">'[1]比较法-仓储'!$B$89:$M$89</definedName>
    <definedName name="是否封闭">'比较法-仓储'!$B$89:$M$89</definedName>
    <definedName name="是否直接入户" localSheetId="32">'[1]比较法-车位'!$B$95:$M$95</definedName>
    <definedName name="是否直接入户" localSheetId="18">'[1]比较法-车位'!$B$95:$M$95</definedName>
    <definedName name="是否直接入户">'比较法-车位'!$B$95:$M$95</definedName>
    <definedName name="四级">区片价!$L$1:$L$33</definedName>
    <definedName name="套工道路等级" localSheetId="32">'[1]土地比较法-工业'!$B$97:$M$97</definedName>
    <definedName name="套工道路等级" localSheetId="18">'[1]土地比较法-工业'!$B$97:$M$97</definedName>
    <definedName name="套工道路等级">'土地比较法-工业'!$B$97:$M$97</definedName>
    <definedName name="套工地质条件" localSheetId="32">'[1]土地比较法-工业'!$B$114:$M$114</definedName>
    <definedName name="套工地质条件" localSheetId="18">'[1]土地比较法-工业'!$B$114:$M$114</definedName>
    <definedName name="套工地质条件">'土地比较法-工业'!$B$114:$M$114</definedName>
    <definedName name="套工交易情况" localSheetId="32">'[1]土地比较法-住宅、综合'!$A$73:$M$73</definedName>
    <definedName name="套工交易情况" localSheetId="18">'[1]土地比较法-住宅、综合'!$A$73:$M$73</definedName>
    <definedName name="套工交易情况">'土地比较法-住宅、综合'!$A$72:$M$72</definedName>
    <definedName name="套工土地级别" localSheetId="32">'[1]土地比较法-工业'!$B$99:$M$99</definedName>
    <definedName name="套工土地级别" localSheetId="18">'[1]土地比较法-工业'!$B$99:$M$99</definedName>
    <definedName name="套工土地级别">'土地比较法-工业'!$B$99:$M$99</definedName>
    <definedName name="套工用途" localSheetId="32">'[1]土地比较法-工业'!$B$70:$M$70</definedName>
    <definedName name="套工用途" localSheetId="18">'[1]土地比较法-工业'!$B$70:$M$70</definedName>
    <definedName name="套工用途">'土地比较法-工业'!$B$70:$M$70</definedName>
    <definedName name="套工宗地开发程度" localSheetId="32">'[1]土地比较法-工业'!$B$112:$M$112</definedName>
    <definedName name="套工宗地开发程度" localSheetId="18">'[1]土地比较法-工业'!$B$112:$M$112</definedName>
    <definedName name="套工宗地开发程度">'土地比较法-工业'!$B$112:$M$112</definedName>
    <definedName name="套工宗地形状" localSheetId="32">'[1]土地比较法-工业'!$B$110:$M$110</definedName>
    <definedName name="套工宗地形状" localSheetId="18">'[1]土地比较法-工业'!$B$110:$M$110</definedName>
    <definedName name="套工宗地形状">'土地比较法-工业'!$B$110:$M$110</definedName>
    <definedName name="套综道路等级" localSheetId="32">'[1]土地比较法-住宅、综合'!$B$106:$M$106</definedName>
    <definedName name="套综道路等级" localSheetId="18">'[1]土地比较法-住宅、综合'!$B$106:$M$106</definedName>
    <definedName name="套综道路等级">'土地比较法-住宅、综合'!$B$105:$M$105</definedName>
    <definedName name="套综工程地质条件" localSheetId="32">'[1]土地比较法-住宅、综合'!$B$125:$M$125</definedName>
    <definedName name="套综工程地质条件" localSheetId="18">'[1]土地比较法-住宅、综合'!$B$125:$M$125</definedName>
    <definedName name="套综工程地质条件">'土地比较法-住宅、综合'!$B$124:$M$124</definedName>
    <definedName name="套综交易情况" localSheetId="32">'[1]土地比较法-住宅、综合'!$A$73:$M$73</definedName>
    <definedName name="套综交易情况" localSheetId="18">'[1]土地比较法-住宅、综合'!$A$73:$M$73</definedName>
    <definedName name="套综交易情况">'土地比较法-住宅、综合'!$A$72:$M$72</definedName>
    <definedName name="套综临街宽度及深度" localSheetId="32">'[1]土地比较法-住宅、综合'!$B$121:$M$121</definedName>
    <definedName name="套综临街宽度及深度" localSheetId="18">'[1]土地比较法-住宅、综合'!$B$121:$M$121</definedName>
    <definedName name="套综临街宽度及深度">'土地比较法-住宅、综合'!$B$120:$M$120</definedName>
    <definedName name="套综土地级别" localSheetId="32">'[1]土地比较法-住宅、综合'!$B$108:$M$108</definedName>
    <definedName name="套综土地级别" localSheetId="18">'[1]土地比较法-住宅、综合'!$B$108:$M$108</definedName>
    <definedName name="套综土地级别">'土地比较法-住宅、综合'!$B$107:$M$107</definedName>
    <definedName name="套综用途" localSheetId="32">'[1]土地比较法-住宅、综合'!$B$75:$M$75</definedName>
    <definedName name="套综用途" localSheetId="18">'[1]土地比较法-住宅、综合'!$B$75:$M$75</definedName>
    <definedName name="套综用途">'土地比较法-住宅、综合'!$B$74:$M$74</definedName>
    <definedName name="套综宗地内开发程度" localSheetId="32">'[1]土地比较法-住宅、综合'!$B$123:$M$123</definedName>
    <definedName name="套综宗地内开发程度" localSheetId="18">'[1]土地比较法-住宅、综合'!$B$123:$M$123</definedName>
    <definedName name="套综宗地内开发程度">'土地比较法-住宅、综合'!$B$122:$M$122</definedName>
    <definedName name="套综宗地形状" localSheetId="32">'[1]土地比较法-住宅、综合'!$B$119:$M$119</definedName>
    <definedName name="套综宗地形状" localSheetId="18">'[1]土地比较法-住宅、综合'!$B$119:$M$119</definedName>
    <definedName name="套综宗地形状">'土地比较法-住宅、综合'!$B$118:$M$118</definedName>
    <definedName name="土地估价师">估价师及机构信息!$D$3:$D$24</definedName>
    <definedName name="土地级别" localSheetId="32">[1]定义!$C$1:$C$14</definedName>
    <definedName name="土地级别" localSheetId="18">[1]定义!$C$1:$C$14</definedName>
    <definedName name="土地级别">定义!$C$1:$C$14</definedName>
    <definedName name="土地利用方向">定义!$P$1:$P$6</definedName>
    <definedName name="土地年限区间" localSheetId="32">[1]定义!$I$1:$I$8</definedName>
    <definedName name="土地年限区间" localSheetId="18">[1]定义!$I$1:$I$8</definedName>
    <definedName name="土地年限区间">定义!$I$1:$I$16</definedName>
    <definedName name="位置" localSheetId="32">[1]定义!$E$2:$E$4</definedName>
    <definedName name="位置" localSheetId="18">[1]定义!$E$2:$E$4</definedName>
    <definedName name="位置">定义!$E$2:$E$4</definedName>
    <definedName name="五等判定" localSheetId="32">[1]定义!$W$1:$W$6</definedName>
    <definedName name="五等判定" localSheetId="18">[1]定义!$W$1:$W$6</definedName>
    <definedName name="五等判定">定义!$W$1:$W$6</definedName>
    <definedName name="五级">区片价!$M$1:$M$41</definedName>
    <definedName name="项目类型" localSheetId="32">'[1]数据-汇总表'!$C$17:$C$26</definedName>
    <definedName name="项目类型" localSheetId="18">'[1]数据-汇总表'!$C$17:$C$26</definedName>
    <definedName name="项目类型" localSheetId="25">'[2]数据-汇总表'!$C$17:$C$26</definedName>
    <definedName name="项目类型">'数据-汇总表'!$C$17:$C$26</definedName>
    <definedName name="写字楼等级" localSheetId="32">'[1]比较法-办公'!$B$113:$M$113</definedName>
    <definedName name="写字楼等级" localSheetId="18">'[1]比较法-办公'!$B$113:$M$113</definedName>
    <definedName name="写字楼等级">'比较法-办公'!$B$113:$M$113</definedName>
    <definedName name="一级">区片价!$I$1:$I$6</definedName>
    <definedName name="一修多修正项2" localSheetId="32">[1]典型户型修正!$5:$5</definedName>
    <definedName name="一修多修正项2" localSheetId="18">[1]典型户型修正!$5:$5</definedName>
    <definedName name="一修多修正项2">典型户型修正!$5:$5</definedName>
    <definedName name="一修多修正项3" localSheetId="32">[1]典型户型修正!$7:$7</definedName>
    <definedName name="一修多修正项3" localSheetId="18">[1]典型户型修正!$7:$7</definedName>
    <definedName name="一修多修正项3">典型户型修正!$7:$7</definedName>
    <definedName name="一修多修正项4" localSheetId="32">[1]典型户型修正!$9:$9</definedName>
    <definedName name="一修多修正项4" localSheetId="18">[1]典型户型修正!$9:$9</definedName>
    <definedName name="一修多修正项4">典型户型修正!$9:$9</definedName>
    <definedName name="一修多修正项5" localSheetId="32">[1]典型户型修正!$11:$11</definedName>
    <definedName name="一修多修正项5" localSheetId="18">[1]典型户型修正!$11:$11</definedName>
    <definedName name="一修多修正项5">典型户型修正!$11:$11</definedName>
    <definedName name="一修多修正项6" localSheetId="32">[1]典型户型修正!$13:$13</definedName>
    <definedName name="一修多修正项6" localSheetId="18">[1]典型户型修正!$13:$13</definedName>
    <definedName name="一修多修正项6">典型户型修正!$13:$13</definedName>
    <definedName name="一修多修正项7" localSheetId="32">[1]典型户型修正!$15:$15</definedName>
    <definedName name="一修多修正项7" localSheetId="18">[1]典型户型修正!$15:$15</definedName>
    <definedName name="一修多修正项7">典型户型修正!$15:$15</definedName>
    <definedName name="一修多修正项8" localSheetId="32">[1]典型户型修正!$17:$17</definedName>
    <definedName name="一修多修正项8" localSheetId="18">[1]典型户型修正!$17:$17</definedName>
    <definedName name="一修多修正项8">典型户型修正!$17:$17</definedName>
    <definedName name="用途明细" localSheetId="32">[1]定义!$A$1:$A$50</definedName>
    <definedName name="用途明细" localSheetId="18">[1]定义!$A$1:$A$50</definedName>
    <definedName name="用途明细">定义!$A$1:$A$50</definedName>
    <definedName name="有无电梯" localSheetId="32">'[1]比较法-仓储'!$B$84:$M$84</definedName>
    <definedName name="有无电梯" localSheetId="18">'[1]比较法-仓储'!$B$84:$M$84</definedName>
    <definedName name="有无电梯">'比较法-仓储'!$B$84:$M$84</definedName>
    <definedName name="主用途" localSheetId="32">[1]定义!$F$1:$F$10</definedName>
    <definedName name="主用途" localSheetId="18">[1]定义!$F$1:$F$10</definedName>
    <definedName name="主用途">定义!$F$1:$F$12</definedName>
    <definedName name="住宅朝向" localSheetId="32">'[1]比较法-住宅'!$B$88:$M$88</definedName>
    <definedName name="住宅朝向" localSheetId="18">'[1]比较法-住宅'!$B$88:$M$88</definedName>
    <definedName name="住宅朝向">'比较法-住宅'!$B$88:$M$88</definedName>
    <definedName name="住宅房型" localSheetId="32">'[1]比较法-住宅'!$B$118:$M$118</definedName>
    <definedName name="住宅房型" localSheetId="18">'[1]比较法-住宅'!$B$118:$M$118</definedName>
    <definedName name="住宅房型">'比较法-住宅'!$B$118:$M$118</definedName>
    <definedName name="住宅公共部分装修" localSheetId="32">'[1]比较法-住宅'!$B$109:$M$109</definedName>
    <definedName name="住宅公共部分装修" localSheetId="18">'[1]比较法-住宅'!$B$109:$M$109</definedName>
    <definedName name="住宅公共部分装修">'比较法-住宅'!$B$109:$M$109</definedName>
    <definedName name="住宅基础设施水平" localSheetId="32">'[1]比较法-住宅'!$B$116:$M$116</definedName>
    <definedName name="住宅基础设施水平" localSheetId="18">'[1]比较法-住宅'!$B$116:$M$116</definedName>
    <definedName name="住宅基础设施水平">'比较法-住宅'!$B$116:$M$116</definedName>
    <definedName name="住宅建筑结构" localSheetId="32">'[1]比较法-住宅'!$B$105:$M$105</definedName>
    <definedName name="住宅建筑结构" localSheetId="18">'[1]比较法-住宅'!$B$105:$M$105</definedName>
    <definedName name="住宅建筑结构">'比较法-住宅'!$B$105:$M$105</definedName>
    <definedName name="住宅建筑类型" localSheetId="32">'[1]比较法-住宅'!$B$100:$M$100</definedName>
    <definedName name="住宅建筑类型" localSheetId="18">'[1]比较法-住宅'!$B$100:$M$100</definedName>
    <definedName name="住宅建筑类型">'比较法-住宅'!$B$100:$M$100</definedName>
    <definedName name="住宅建筑品质" localSheetId="32">'[1]比较法-住宅'!$B$107:$M$107</definedName>
    <definedName name="住宅建筑品质" localSheetId="18">'[1]比较法-住宅'!$B$107:$M$107</definedName>
    <definedName name="住宅建筑品质">'比较法-住宅'!$B$107:$M$107</definedName>
    <definedName name="住宅交易情况" localSheetId="32">'[1]比较法-住宅'!$A$61:$M$61</definedName>
    <definedName name="住宅交易情况" localSheetId="18">'[1]比较法-住宅'!$A$61:$M$61</definedName>
    <definedName name="住宅交易情况">'比较法-住宅'!$A$61:$M$61</definedName>
    <definedName name="住宅楼层" localSheetId="32">'[1]比较法-住宅'!$B$86:$M$86</definedName>
    <definedName name="住宅楼层" localSheetId="18">'[1]比较法-住宅'!$B$86:$M$86</definedName>
    <definedName name="住宅楼层">'比较法-住宅'!$B$86:$M$86</definedName>
    <definedName name="住宅内部装修" localSheetId="32">'[1]比较法-住宅'!$B$122:$M$122</definedName>
    <definedName name="住宅内部装修" localSheetId="18">'[1]比较法-住宅'!$B$122:$M$122</definedName>
    <definedName name="住宅内部装修">'比较法-住宅'!$B$122:$M$122</definedName>
    <definedName name="住宅物业管理" localSheetId="32">'[1]比较法-住宅'!$B$114:$M$114</definedName>
    <definedName name="住宅物业管理" localSheetId="18">'[1]比较法-住宅'!$B$114:$M$114</definedName>
    <definedName name="住宅物业管理">'比较法-住宅'!$B$114:$M$114</definedName>
    <definedName name="住宅用途" localSheetId="32">'[1]比较法-住宅'!$B$63:$M$63</definedName>
    <definedName name="住宅用途" localSheetId="18">'[1]比较法-住宅'!$B$63:$M$63</definedName>
    <definedName name="住宅用途">'比较法-住宅'!$B$63:$M$63</definedName>
    <definedName name="住宅主力户型面积">'比较法-住宅'!$B$120:$M$120</definedName>
    <definedName name="注册房地产估价师" localSheetId="32">[1]估价师及机构信息!$A$3:$A$16</definedName>
    <definedName name="注册房地产估价师" localSheetId="18">[1]估价师及机构信息!$A$3:$A$16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I10" i="79" l="1"/>
  <c r="I9" i="79"/>
  <c r="I8" i="79"/>
  <c r="I7" i="79"/>
  <c r="R49" i="33" l="1"/>
  <c r="E89" i="33"/>
  <c r="D89" i="33"/>
  <c r="Y6" i="1"/>
  <c r="L14" i="4"/>
  <c r="N20" i="1" l="1"/>
  <c r="B14" i="74"/>
  <c r="I33" i="33"/>
  <c r="G33" i="33"/>
  <c r="E33" i="33"/>
  <c r="C33" i="33"/>
  <c r="I47" i="33"/>
  <c r="G47" i="33"/>
  <c r="E47" i="33"/>
  <c r="I5" i="33"/>
  <c r="G5" i="33"/>
  <c r="E5" i="33"/>
  <c r="M2" i="81" l="1"/>
  <c r="I3" i="81"/>
  <c r="D37" i="43"/>
  <c r="G19" i="6"/>
  <c r="E35" i="36" l="1"/>
  <c r="G35" i="36"/>
  <c r="I35" i="36"/>
  <c r="F21" i="84"/>
  <c r="F20" i="84"/>
  <c r="I30" i="36"/>
  <c r="G30" i="36"/>
  <c r="E30" i="36"/>
  <c r="I5" i="36"/>
  <c r="G5" i="36"/>
  <c r="E5" i="36"/>
  <c r="H9" i="81" l="1"/>
  <c r="H9" i="82"/>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c r="D101" i="85"/>
  <c r="N100" i="85"/>
  <c r="M100" i="85"/>
  <c r="K100" i="85"/>
  <c r="J100" i="85" s="1"/>
  <c r="D100" i="85"/>
  <c r="M99" i="85"/>
  <c r="N99" i="85" s="1"/>
  <c r="K99" i="85"/>
  <c r="J99" i="85" s="1"/>
  <c r="D99" i="85"/>
  <c r="N98" i="85"/>
  <c r="M98" i="85"/>
  <c r="K98" i="85"/>
  <c r="J98" i="85" s="1"/>
  <c r="D98" i="85"/>
  <c r="M97" i="85"/>
  <c r="N97" i="85" s="1"/>
  <c r="K97" i="85"/>
  <c r="J97" i="85" s="1"/>
  <c r="D97" i="85"/>
  <c r="B97" i="85"/>
  <c r="M96" i="85"/>
  <c r="N96" i="85" s="1"/>
  <c r="K96" i="85"/>
  <c r="J96" i="85" s="1"/>
  <c r="D96" i="85"/>
  <c r="N95" i="85"/>
  <c r="M95" i="85"/>
  <c r="K95" i="85"/>
  <c r="J95" i="85"/>
  <c r="D95" i="85"/>
  <c r="B95" i="85"/>
  <c r="N94" i="85"/>
  <c r="M94" i="85"/>
  <c r="K94" i="85"/>
  <c r="J94" i="85" s="1"/>
  <c r="D94" i="85"/>
  <c r="E93" i="85" s="1"/>
  <c r="B91" i="85" s="1"/>
  <c r="M93" i="85"/>
  <c r="N93" i="85" s="1"/>
  <c r="K93" i="85"/>
  <c r="J93" i="85" s="1"/>
  <c r="F93" i="85"/>
  <c r="H95" i="85" s="1"/>
  <c r="D93" i="85"/>
  <c r="M90" i="85"/>
  <c r="N90" i="85" s="1"/>
  <c r="K90" i="85"/>
  <c r="J90" i="85" s="1"/>
  <c r="D90" i="85"/>
  <c r="B90" i="85"/>
  <c r="M89" i="85"/>
  <c r="N89" i="85" s="1"/>
  <c r="K89" i="85"/>
  <c r="J89" i="85" s="1"/>
  <c r="D89" i="85"/>
  <c r="N88" i="85"/>
  <c r="M88" i="85"/>
  <c r="K88" i="85"/>
  <c r="J88" i="85"/>
  <c r="D88" i="85"/>
  <c r="B88" i="85"/>
  <c r="M87" i="85"/>
  <c r="N87" i="85" s="1"/>
  <c r="K87" i="85"/>
  <c r="J87" i="85" s="1"/>
  <c r="D87" i="85"/>
  <c r="B87" i="85"/>
  <c r="M86" i="85"/>
  <c r="N86" i="85" s="1"/>
  <c r="K86" i="85"/>
  <c r="J86" i="85" s="1"/>
  <c r="D86" i="85"/>
  <c r="B86" i="85"/>
  <c r="N85" i="85"/>
  <c r="M85" i="85"/>
  <c r="K85" i="85"/>
  <c r="J85" i="85" s="1"/>
  <c r="D85" i="85"/>
  <c r="B85" i="85"/>
  <c r="N84" i="85"/>
  <c r="M84" i="85"/>
  <c r="K84" i="85"/>
  <c r="J84" i="85"/>
  <c r="D84" i="85"/>
  <c r="B84" i="85"/>
  <c r="M83" i="85"/>
  <c r="N83" i="85" s="1"/>
  <c r="K83" i="85"/>
  <c r="J83" i="85" s="1"/>
  <c r="F83" i="85"/>
  <c r="H83" i="85" s="1"/>
  <c r="D83" i="85"/>
  <c r="E83" i="85" s="1"/>
  <c r="B81" i="85" s="1"/>
  <c r="B83" i="85"/>
  <c r="M80" i="85"/>
  <c r="N80" i="85" s="1"/>
  <c r="K80" i="85"/>
  <c r="J80" i="85" s="1"/>
  <c r="D80" i="85"/>
  <c r="M79" i="85"/>
  <c r="N79" i="85" s="1"/>
  <c r="K79" i="85"/>
  <c r="J79" i="85"/>
  <c r="D79" i="85"/>
  <c r="N78" i="85"/>
  <c r="M78" i="85"/>
  <c r="K78" i="85"/>
  <c r="J78" i="85" s="1"/>
  <c r="D78" i="85"/>
  <c r="N77" i="85"/>
  <c r="M77" i="85"/>
  <c r="K77" i="85"/>
  <c r="J77" i="85" s="1"/>
  <c r="D77" i="85"/>
  <c r="N76" i="85"/>
  <c r="M76" i="85"/>
  <c r="K76" i="85"/>
  <c r="J76" i="85"/>
  <c r="D76" i="85"/>
  <c r="N75" i="85"/>
  <c r="M75" i="85"/>
  <c r="K75" i="85"/>
  <c r="J75" i="85" s="1"/>
  <c r="D75" i="85"/>
  <c r="B75" i="85"/>
  <c r="M74" i="85"/>
  <c r="N74" i="85" s="1"/>
  <c r="K74" i="85"/>
  <c r="J74" i="85" s="1"/>
  <c r="D74" i="85"/>
  <c r="B74" i="85"/>
  <c r="N73" i="85"/>
  <c r="M73" i="85"/>
  <c r="K73" i="85"/>
  <c r="J73" i="85" s="1"/>
  <c r="D73" i="85"/>
  <c r="M72" i="85"/>
  <c r="N72" i="85" s="1"/>
  <c r="K72" i="85"/>
  <c r="J72" i="85"/>
  <c r="F72" i="85"/>
  <c r="D72" i="85"/>
  <c r="E72" i="85" s="1"/>
  <c r="B70" i="85" s="1"/>
  <c r="M69" i="85"/>
  <c r="N69" i="85" s="1"/>
  <c r="K69" i="85"/>
  <c r="J69" i="85" s="1"/>
  <c r="D69" i="85"/>
  <c r="N68" i="85"/>
  <c r="M68" i="85"/>
  <c r="K68" i="85"/>
  <c r="J68" i="85" s="1"/>
  <c r="D68" i="85"/>
  <c r="M67" i="85"/>
  <c r="N67" i="85" s="1"/>
  <c r="K67" i="85"/>
  <c r="J67" i="85"/>
  <c r="D67" i="85"/>
  <c r="M66" i="85"/>
  <c r="N66" i="85" s="1"/>
  <c r="K66" i="85"/>
  <c r="J66" i="85" s="1"/>
  <c r="D66" i="85"/>
  <c r="N65" i="85"/>
  <c r="M65" i="85"/>
  <c r="K65" i="85"/>
  <c r="J65" i="85" s="1"/>
  <c r="D65" i="85"/>
  <c r="B65" i="85"/>
  <c r="M64" i="85"/>
  <c r="N64" i="85" s="1"/>
  <c r="K64" i="85"/>
  <c r="J64" i="85"/>
  <c r="D64" i="85"/>
  <c r="M63" i="85"/>
  <c r="N63" i="85" s="1"/>
  <c r="K63" i="85"/>
  <c r="J63" i="85" s="1"/>
  <c r="D63" i="85"/>
  <c r="B63" i="85"/>
  <c r="M62" i="85"/>
  <c r="N62" i="85" s="1"/>
  <c r="K62" i="85"/>
  <c r="J62" i="85" s="1"/>
  <c r="D62" i="85"/>
  <c r="M61" i="85"/>
  <c r="N61" i="85" s="1"/>
  <c r="K61" i="85"/>
  <c r="J61" i="85" s="1"/>
  <c r="D61" i="85"/>
  <c r="M58" i="85"/>
  <c r="N58" i="85" s="1"/>
  <c r="K58" i="85"/>
  <c r="J58" i="85" s="1"/>
  <c r="D58" i="85"/>
  <c r="M57" i="85"/>
  <c r="N57" i="85" s="1"/>
  <c r="K57" i="85"/>
  <c r="J57" i="85" s="1"/>
  <c r="D57" i="85" s="1"/>
  <c r="N56" i="85"/>
  <c r="M56" i="85"/>
  <c r="K56" i="85"/>
  <c r="J56" i="85"/>
  <c r="D56" i="85"/>
  <c r="M55" i="85"/>
  <c r="N55" i="85" s="1"/>
  <c r="K55" i="85"/>
  <c r="J55" i="85" s="1"/>
  <c r="D55" i="85"/>
  <c r="M54" i="85"/>
  <c r="N54" i="85" s="1"/>
  <c r="K54" i="85"/>
  <c r="J54" i="85"/>
  <c r="D54" i="85"/>
  <c r="B54" i="85"/>
  <c r="M53" i="85"/>
  <c r="N53" i="85" s="1"/>
  <c r="K53" i="85"/>
  <c r="J53" i="85" s="1"/>
  <c r="D53" i="85"/>
  <c r="M52" i="85"/>
  <c r="N52" i="85" s="1"/>
  <c r="K52" i="85"/>
  <c r="J52" i="85" s="1"/>
  <c r="D52" i="85"/>
  <c r="B52" i="85"/>
  <c r="M51" i="85"/>
  <c r="N51" i="85" s="1"/>
  <c r="K51" i="85"/>
  <c r="D51" i="85" s="1"/>
  <c r="N50" i="85"/>
  <c r="M50" i="85"/>
  <c r="K50" i="85"/>
  <c r="J50" i="85"/>
  <c r="D50" i="85"/>
  <c r="B50" i="85"/>
  <c r="H42" i="85"/>
  <c r="H40" i="85"/>
  <c r="H39" i="85"/>
  <c r="H38" i="85"/>
  <c r="H37" i="85"/>
  <c r="Q32" i="85"/>
  <c r="O32" i="85"/>
  <c r="N32" i="85"/>
  <c r="M32" i="85"/>
  <c r="J24" i="85"/>
  <c r="I24" i="85"/>
  <c r="G24" i="85"/>
  <c r="E44" i="85" s="1"/>
  <c r="E24" i="85"/>
  <c r="P32" i="85" s="1"/>
  <c r="M23" i="85"/>
  <c r="I23" i="85"/>
  <c r="C22" i="85"/>
  <c r="C20" i="85"/>
  <c r="G17" i="85"/>
  <c r="C17" i="85"/>
  <c r="C13" i="85"/>
  <c r="N12" i="85"/>
  <c r="E11" i="85"/>
  <c r="AI10" i="85"/>
  <c r="AH10" i="85"/>
  <c r="AE10" i="85"/>
  <c r="AA10" i="85"/>
  <c r="Z10" i="85"/>
  <c r="Y10" i="85"/>
  <c r="C10" i="85"/>
  <c r="C11" i="85" s="1"/>
  <c r="E8" i="85" s="1"/>
  <c r="AJ9" i="85"/>
  <c r="AJ10" i="85" s="1"/>
  <c r="AI9" i="85"/>
  <c r="AH9" i="85"/>
  <c r="AG9" i="85"/>
  <c r="AG10" i="85" s="1"/>
  <c r="AF9" i="85"/>
  <c r="AF10" i="85" s="1"/>
  <c r="AE9" i="85"/>
  <c r="AD9" i="85"/>
  <c r="AD10" i="85" s="1"/>
  <c r="AC9" i="85"/>
  <c r="AC10" i="85" s="1"/>
  <c r="AB9" i="85"/>
  <c r="AB10" i="85" s="1"/>
  <c r="AA9" i="85"/>
  <c r="Z9" i="85"/>
  <c r="C9" i="85"/>
  <c r="C7" i="85"/>
  <c r="N4" i="85"/>
  <c r="G3" i="85"/>
  <c r="Z7" i="85" s="1"/>
  <c r="M2" i="85"/>
  <c r="I2" i="85"/>
  <c r="N11" i="85" s="1"/>
  <c r="G2" i="85"/>
  <c r="F37" i="85" s="1"/>
  <c r="M1" i="85"/>
  <c r="F40" i="84"/>
  <c r="C40" i="84"/>
  <c r="F38" i="84"/>
  <c r="E37" i="84"/>
  <c r="F36" i="84"/>
  <c r="F35" i="84"/>
  <c r="F30" i="84"/>
  <c r="F48" i="84" s="1"/>
  <c r="C21" i="84"/>
  <c r="F39" i="84"/>
  <c r="E19" i="84"/>
  <c r="C19" i="84"/>
  <c r="E10" i="84"/>
  <c r="E9" i="84"/>
  <c r="F7" i="84"/>
  <c r="H1" i="84"/>
  <c r="N6" i="1"/>
  <c r="I3" i="82"/>
  <c r="D33" i="85"/>
  <c r="E2" i="84"/>
  <c r="I7" i="82" l="1"/>
  <c r="C36" i="33"/>
  <c r="E36" i="33" s="1"/>
  <c r="G36" i="33" s="1"/>
  <c r="I36" i="33" s="1"/>
  <c r="I7" i="81"/>
  <c r="M4" i="85"/>
  <c r="M11" i="85"/>
  <c r="N1" i="85"/>
  <c r="N2" i="85"/>
  <c r="N6" i="85"/>
  <c r="L21" i="85"/>
  <c r="H84" i="85"/>
  <c r="H88" i="85"/>
  <c r="S3" i="85"/>
  <c r="S5" i="85"/>
  <c r="C30" i="36"/>
  <c r="D33" i="43"/>
  <c r="H26" i="85"/>
  <c r="D41" i="85"/>
  <c r="H41" i="85" s="1"/>
  <c r="D21" i="85"/>
  <c r="N3" i="85"/>
  <c r="N5" i="85"/>
  <c r="M7" i="85"/>
  <c r="M12" i="85"/>
  <c r="E21" i="85"/>
  <c r="X7" i="85"/>
  <c r="G18" i="85"/>
  <c r="E17" i="85" s="1"/>
  <c r="J21" i="85"/>
  <c r="F61" i="85"/>
  <c r="H63" i="85" s="1"/>
  <c r="I18" i="85"/>
  <c r="H80" i="85"/>
  <c r="H74" i="85"/>
  <c r="H73" i="85"/>
  <c r="H75" i="85"/>
  <c r="H94" i="85"/>
  <c r="H97" i="85"/>
  <c r="H116" i="85"/>
  <c r="O21" i="85"/>
  <c r="K21" i="85"/>
  <c r="S2" i="85"/>
  <c r="J26" i="85"/>
  <c r="E26" i="85"/>
  <c r="S4" i="85"/>
  <c r="S6" i="85"/>
  <c r="N7" i="85"/>
  <c r="M8" i="85"/>
  <c r="E9" i="85"/>
  <c r="E10" i="85"/>
  <c r="H21" i="85"/>
  <c r="M21" i="85"/>
  <c r="C24" i="85"/>
  <c r="F26" i="85"/>
  <c r="C27" i="85"/>
  <c r="F38" i="85"/>
  <c r="F39" i="85"/>
  <c r="E50" i="85"/>
  <c r="B48" i="85" s="1"/>
  <c r="E61" i="85"/>
  <c r="B59" i="85" s="1"/>
  <c r="H72" i="85"/>
  <c r="H77" i="85"/>
  <c r="H79" i="85"/>
  <c r="H85" i="85"/>
  <c r="H89" i="85"/>
  <c r="H86" i="85"/>
  <c r="H87" i="85"/>
  <c r="H90" i="85"/>
  <c r="M10" i="85"/>
  <c r="N9" i="85"/>
  <c r="M6" i="85"/>
  <c r="M3" i="85"/>
  <c r="C6" i="85" s="1"/>
  <c r="M5" i="85"/>
  <c r="N8" i="85"/>
  <c r="M9" i="85"/>
  <c r="N10" i="85"/>
  <c r="C21" i="85"/>
  <c r="I21" i="85"/>
  <c r="N21" i="85"/>
  <c r="G26" i="85"/>
  <c r="F40" i="85"/>
  <c r="F41" i="85"/>
  <c r="F50" i="85"/>
  <c r="J51" i="85"/>
  <c r="H69" i="85"/>
  <c r="H66" i="85"/>
  <c r="H76" i="85"/>
  <c r="F42" i="85"/>
  <c r="H78" i="85"/>
  <c r="H101" i="85"/>
  <c r="H98" i="85"/>
  <c r="H99" i="85"/>
  <c r="H96" i="85"/>
  <c r="H93" i="85"/>
  <c r="H100" i="85"/>
  <c r="B116" i="85"/>
  <c r="H62" i="85" l="1"/>
  <c r="D1" i="85"/>
  <c r="C28" i="85"/>
  <c r="H64" i="85"/>
  <c r="H68" i="85"/>
  <c r="H65" i="85"/>
  <c r="H61" i="85"/>
  <c r="H67" i="85"/>
  <c r="F45" i="84"/>
  <c r="C29" i="84"/>
  <c r="D27" i="84" s="1"/>
  <c r="C47" i="84"/>
  <c r="D45" i="84" s="1"/>
  <c r="I122" i="85"/>
  <c r="J122" i="85" s="1"/>
  <c r="K122" i="85" s="1"/>
  <c r="L122" i="85" s="1"/>
  <c r="M122" i="85" s="1"/>
  <c r="I121" i="85"/>
  <c r="J121" i="85" s="1"/>
  <c r="K121" i="85" s="1"/>
  <c r="L121" i="85" s="1"/>
  <c r="M121" i="85" s="1"/>
  <c r="I120" i="85"/>
  <c r="J120" i="85" s="1"/>
  <c r="K120" i="85" s="1"/>
  <c r="L120" i="85" s="1"/>
  <c r="M120" i="85" s="1"/>
  <c r="I119" i="85"/>
  <c r="J119" i="85" s="1"/>
  <c r="K119" i="85" s="1"/>
  <c r="L119" i="85" s="1"/>
  <c r="M119" i="85" s="1"/>
  <c r="I118" i="85"/>
  <c r="J118" i="85" s="1"/>
  <c r="K118" i="85" s="1"/>
  <c r="L118" i="85" s="1"/>
  <c r="M118" i="85" s="1"/>
  <c r="D122" i="85"/>
  <c r="E122" i="85" s="1"/>
  <c r="F122" i="85" s="1"/>
  <c r="G122" i="85" s="1"/>
  <c r="H122" i="85" s="1"/>
  <c r="D121" i="85"/>
  <c r="E121" i="85" s="1"/>
  <c r="F121" i="85" s="1"/>
  <c r="D120" i="85"/>
  <c r="E120" i="85" s="1"/>
  <c r="F120" i="85" s="1"/>
  <c r="G120" i="85" s="1"/>
  <c r="H120" i="85" s="1"/>
  <c r="D119" i="85"/>
  <c r="E119" i="85" s="1"/>
  <c r="F119" i="85" s="1"/>
  <c r="G119" i="85" s="1"/>
  <c r="H119" i="85" s="1"/>
  <c r="D118" i="85"/>
  <c r="E118" i="85" s="1"/>
  <c r="F118" i="85" s="1"/>
  <c r="G118" i="85" s="1"/>
  <c r="H118" i="85" s="1"/>
  <c r="G121" i="85"/>
  <c r="H121" i="85" s="1"/>
  <c r="B120" i="85"/>
  <c r="C120" i="85" s="1"/>
  <c r="B121" i="85"/>
  <c r="C121" i="85" s="1"/>
  <c r="B122" i="85"/>
  <c r="C122" i="85" s="1"/>
  <c r="B118" i="85"/>
  <c r="C118" i="85" s="1"/>
  <c r="B119" i="85"/>
  <c r="C119" i="85" s="1"/>
  <c r="H58" i="85"/>
  <c r="H52" i="85"/>
  <c r="H56" i="85"/>
  <c r="H54" i="85"/>
  <c r="H50" i="85"/>
  <c r="H57" i="85"/>
  <c r="H55" i="85"/>
  <c r="H51" i="85"/>
  <c r="H53" i="85"/>
  <c r="D5" i="85"/>
  <c r="C5" i="85"/>
  <c r="D26" i="85"/>
  <c r="C25" i="85" s="1"/>
  <c r="G21" i="85"/>
  <c r="D116" i="85" l="1"/>
  <c r="D3" i="4" l="1"/>
  <c r="C36" i="82"/>
  <c r="E28" i="82"/>
  <c r="E25" i="82"/>
  <c r="E24" i="82"/>
  <c r="C22" i="82"/>
  <c r="C21" i="82"/>
  <c r="E19" i="82" s="1"/>
  <c r="F19" i="82"/>
  <c r="I17" i="82"/>
  <c r="F16" i="82"/>
  <c r="E15" i="82"/>
  <c r="C15" i="82"/>
  <c r="I11" i="82"/>
  <c r="C11" i="82"/>
  <c r="M10" i="82"/>
  <c r="H10" i="82"/>
  <c r="P9" i="82"/>
  <c r="O10" i="82" s="1"/>
  <c r="M4" i="82"/>
  <c r="C8" i="82"/>
  <c r="C36" i="81"/>
  <c r="E28" i="81"/>
  <c r="E25" i="81"/>
  <c r="E24" i="81"/>
  <c r="C22" i="81"/>
  <c r="C21" i="81"/>
  <c r="E19" i="81" s="1"/>
  <c r="F19" i="81"/>
  <c r="I17" i="81"/>
  <c r="F16" i="81"/>
  <c r="E15" i="81"/>
  <c r="C15" i="81"/>
  <c r="H12" i="81"/>
  <c r="I11" i="81"/>
  <c r="C11" i="81" s="1"/>
  <c r="M10" i="81"/>
  <c r="H10" i="81"/>
  <c r="P9" i="81"/>
  <c r="O10" i="81" s="1"/>
  <c r="C8" i="81"/>
  <c r="M4" i="81"/>
  <c r="I29" i="79"/>
  <c r="I28" i="79"/>
  <c r="N28" i="79"/>
  <c r="M28" i="79"/>
  <c r="P28" i="79" s="1"/>
  <c r="L28" i="79"/>
  <c r="N29" i="79"/>
  <c r="M29" i="79"/>
  <c r="L29" i="79"/>
  <c r="O6" i="79"/>
  <c r="N6" i="79"/>
  <c r="M6" i="79"/>
  <c r="P6" i="79" s="1"/>
  <c r="L6" i="79"/>
  <c r="K6" i="79"/>
  <c r="O7" i="79"/>
  <c r="N7" i="79"/>
  <c r="M7" i="79"/>
  <c r="P7" i="79" s="1"/>
  <c r="L7" i="79"/>
  <c r="K7" i="79"/>
  <c r="C10" i="81" l="1"/>
  <c r="C9" i="81"/>
  <c r="C10" i="82"/>
  <c r="C9" i="82"/>
  <c r="C12" i="82"/>
  <c r="C12" i="81"/>
  <c r="C13" i="81" s="1"/>
  <c r="P29" i="79"/>
  <c r="C13" i="82" l="1"/>
  <c r="C14" i="82" s="1"/>
  <c r="C14" i="81"/>
  <c r="G14" i="73"/>
  <c r="F14" i="73"/>
  <c r="E14" i="73"/>
  <c r="C20" i="82" l="1"/>
  <c r="C19" i="82" s="1"/>
  <c r="C20" i="81"/>
  <c r="C19" i="81" s="1"/>
  <c r="L30" i="79"/>
  <c r="M30" i="79"/>
  <c r="P30" i="79" s="1"/>
  <c r="N30" i="79"/>
  <c r="L31" i="79"/>
  <c r="M31" i="79"/>
  <c r="P31" i="79" s="1"/>
  <c r="N31" i="79"/>
  <c r="L32" i="79"/>
  <c r="M32" i="79"/>
  <c r="N32" i="79"/>
  <c r="I30" i="79"/>
  <c r="I31" i="79"/>
  <c r="I32" i="79"/>
  <c r="K8" i="79"/>
  <c r="L8" i="79"/>
  <c r="M8" i="79"/>
  <c r="P8" i="79" s="1"/>
  <c r="N8" i="79"/>
  <c r="O8" i="79"/>
  <c r="K9" i="79"/>
  <c r="L9" i="79"/>
  <c r="M9" i="79"/>
  <c r="P9" i="79" s="1"/>
  <c r="N9" i="79"/>
  <c r="O9" i="79"/>
  <c r="K10" i="79"/>
  <c r="L10" i="79"/>
  <c r="M10" i="79"/>
  <c r="P10" i="79" s="1"/>
  <c r="N10" i="79"/>
  <c r="O10" i="79"/>
  <c r="P3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D37" i="79" s="1"/>
  <c r="AB36" i="79"/>
  <c r="AA36" i="79"/>
  <c r="Z36" i="79"/>
  <c r="N36" i="79"/>
  <c r="U36" i="79" s="1"/>
  <c r="M36" i="79"/>
  <c r="L36" i="79"/>
  <c r="S36" i="79" s="1"/>
  <c r="I36" i="79"/>
  <c r="AD36" i="79" s="1"/>
  <c r="AB35" i="79"/>
  <c r="AA35" i="79"/>
  <c r="Z35" i="79"/>
  <c r="N35" i="79"/>
  <c r="U35" i="79" s="1"/>
  <c r="M35" i="79"/>
  <c r="L35" i="79"/>
  <c r="S35" i="79" s="1"/>
  <c r="I35" i="79"/>
  <c r="AB34" i="79"/>
  <c r="AA34" i="79"/>
  <c r="Z34" i="79"/>
  <c r="N34" i="79"/>
  <c r="M34" i="79"/>
  <c r="T34" i="79" s="1"/>
  <c r="L34" i="79"/>
  <c r="I34" i="79"/>
  <c r="AB33" i="79"/>
  <c r="AA33" i="79"/>
  <c r="Z33" i="79"/>
  <c r="N33" i="79"/>
  <c r="M33" i="79"/>
  <c r="L33" i="79"/>
  <c r="S28" i="79" s="1"/>
  <c r="I33" i="79"/>
  <c r="AB27" i="79"/>
  <c r="AA27" i="79"/>
  <c r="AA25" i="79" s="1"/>
  <c r="AD25" i="79" s="1"/>
  <c r="Z27" i="79"/>
  <c r="N27" i="79"/>
  <c r="M27" i="79"/>
  <c r="T25" i="79" s="1"/>
  <c r="W25" i="79" s="1"/>
  <c r="L27" i="79"/>
  <c r="I27" i="79"/>
  <c r="AD27" i="79" s="1"/>
  <c r="N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N14" i="79"/>
  <c r="U14" i="79" s="1"/>
  <c r="M14" i="79"/>
  <c r="L14" i="79"/>
  <c r="S14" i="79" s="1"/>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S12" i="79" s="1"/>
  <c r="K12" i="79"/>
  <c r="I12" i="79"/>
  <c r="AC11" i="79"/>
  <c r="AB11" i="79"/>
  <c r="AA11" i="79"/>
  <c r="AD11" i="79" s="1"/>
  <c r="Z11" i="79"/>
  <c r="Y11" i="79"/>
  <c r="O11" i="79"/>
  <c r="N11" i="79"/>
  <c r="M11" i="79"/>
  <c r="L11" i="79"/>
  <c r="K11" i="79"/>
  <c r="I11" i="79"/>
  <c r="AC5" i="79"/>
  <c r="AB5" i="79"/>
  <c r="AA5" i="79"/>
  <c r="AD5" i="79" s="1"/>
  <c r="Z5" i="79"/>
  <c r="Y5" i="79"/>
  <c r="O5" i="79"/>
  <c r="N5" i="79"/>
  <c r="N3" i="79" s="1"/>
  <c r="M5" i="79"/>
  <c r="P5" i="79" s="1"/>
  <c r="L5" i="79"/>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AB3" i="79"/>
  <c r="T12" i="79"/>
  <c r="W12" i="79" s="1"/>
  <c r="U13" i="79"/>
  <c r="R14" i="79"/>
  <c r="V14" i="79"/>
  <c r="R15" i="79"/>
  <c r="V15" i="79"/>
  <c r="T28" i="79"/>
  <c r="W28" i="79" s="1"/>
  <c r="U34" i="79"/>
  <c r="AD35" i="79"/>
  <c r="S3" i="79"/>
  <c r="AC3" i="79"/>
  <c r="U12" i="79"/>
  <c r="R13" i="79"/>
  <c r="V13" i="79"/>
  <c r="L25" i="79"/>
  <c r="U25" i="79"/>
  <c r="T27" i="79"/>
  <c r="W27" i="79" s="1"/>
  <c r="U28" i="79"/>
  <c r="AD34" i="79"/>
  <c r="U37" i="79"/>
  <c r="AD38" i="79"/>
  <c r="Y3" i="79"/>
  <c r="V3" i="79"/>
  <c r="Z3" i="79"/>
  <c r="U3" i="79"/>
  <c r="R12" i="79"/>
  <c r="V12" i="79"/>
  <c r="S13" i="79"/>
  <c r="T14" i="79"/>
  <c r="W14" i="79" s="1"/>
  <c r="M25" i="79"/>
  <c r="P25" i="79" s="1"/>
  <c r="S38" i="79"/>
  <c r="S37" i="79"/>
  <c r="S27" i="79"/>
  <c r="M3" i="79"/>
  <c r="P3" i="79" s="1"/>
  <c r="T3" i="79"/>
  <c r="W3" i="79" s="1"/>
  <c r="U27" i="79"/>
  <c r="AD33" i="79"/>
  <c r="T32" i="79"/>
  <c r="W32" i="79" s="1"/>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D7" i="77" s="1"/>
  <c r="C26" i="77" s="1"/>
  <c r="R9" i="77"/>
  <c r="D9" i="77"/>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E88" i="71"/>
  <c r="E87" i="71" s="1"/>
  <c r="E86" i="71" s="1"/>
  <c r="C88" i="71"/>
  <c r="D88" i="71"/>
  <c r="B88" i="71"/>
  <c r="F86" i="71"/>
  <c r="B87" i="71"/>
  <c r="B86" i="71" s="1"/>
  <c r="D85" i="71"/>
  <c r="F84" i="71"/>
  <c r="F83" i="71" s="1"/>
  <c r="E84" i="71"/>
  <c r="E83" i="71" s="1"/>
  <c r="E82" i="71" s="1"/>
  <c r="C84" i="71"/>
  <c r="D84" i="71"/>
  <c r="B84" i="71"/>
  <c r="F82" i="71"/>
  <c r="B83" i="71"/>
  <c r="B82" i="71" s="1"/>
  <c r="D81" i="71"/>
  <c r="Q80" i="71"/>
  <c r="P80" i="71"/>
  <c r="O80" i="71"/>
  <c r="N80" i="71"/>
  <c r="F80" i="71"/>
  <c r="V80" i="71"/>
  <c r="E80" i="71"/>
  <c r="U80" i="71"/>
  <c r="C80" i="71"/>
  <c r="D80" i="71" s="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B75" i="71"/>
  <c r="B74" i="7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F66" i="71" s="1"/>
  <c r="Q66" i="71" s="1"/>
  <c r="V68" i="71"/>
  <c r="E68" i="71"/>
  <c r="P68" i="71" s="1"/>
  <c r="C68" i="71"/>
  <c r="B68" i="71"/>
  <c r="B67" i="71" s="1"/>
  <c r="S68" i="71"/>
  <c r="D65" i="71"/>
  <c r="Q64" i="71"/>
  <c r="P64" i="71"/>
  <c r="O64" i="71"/>
  <c r="N64" i="71"/>
  <c r="Q63" i="71"/>
  <c r="P63" i="71"/>
  <c r="O63" i="71"/>
  <c r="N63" i="71"/>
  <c r="Q62" i="71"/>
  <c r="P62" i="71"/>
  <c r="O62" i="71"/>
  <c r="N62" i="71"/>
  <c r="Q61" i="71"/>
  <c r="F62" i="71"/>
  <c r="F63" i="71"/>
  <c r="F64" i="71" s="1"/>
  <c r="V64" i="71" s="1"/>
  <c r="P61" i="71"/>
  <c r="E62" i="71"/>
  <c r="E63" i="71" s="1"/>
  <c r="E64" i="71" s="1"/>
  <c r="U64" i="71" s="1"/>
  <c r="O61" i="71"/>
  <c r="C62" i="71"/>
  <c r="N61" i="71"/>
  <c r="B62" i="71"/>
  <c r="B63" i="71" s="1"/>
  <c r="B64" i="71" s="1"/>
  <c r="S64" i="71" s="1"/>
  <c r="D61" i="71"/>
  <c r="Q60" i="71"/>
  <c r="P60" i="71"/>
  <c r="O60" i="71"/>
  <c r="N60" i="71"/>
  <c r="Q59" i="71"/>
  <c r="P59" i="71"/>
  <c r="O59" i="71"/>
  <c r="N59" i="71"/>
  <c r="Q58" i="71"/>
  <c r="P58" i="71"/>
  <c r="O58" i="71"/>
  <c r="N58" i="71"/>
  <c r="Q57" i="71"/>
  <c r="F58" i="71"/>
  <c r="F59" i="7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F55" i="71" s="1"/>
  <c r="F56" i="71" s="1"/>
  <c r="V56" i="71" s="1"/>
  <c r="P54" i="71"/>
  <c r="O54" i="71"/>
  <c r="N54" i="71"/>
  <c r="C54" i="71"/>
  <c r="Q53" i="71"/>
  <c r="F54" i="71"/>
  <c r="P53" i="71"/>
  <c r="E54" i="71"/>
  <c r="E55" i="71" s="1"/>
  <c r="O53" i="71"/>
  <c r="N53" i="71"/>
  <c r="B54" i="71"/>
  <c r="B55" i="71"/>
  <c r="B56" i="71" s="1"/>
  <c r="S56" i="71" s="1"/>
  <c r="D53" i="71"/>
  <c r="Q52" i="71"/>
  <c r="P52" i="71"/>
  <c r="O52" i="71"/>
  <c r="N52" i="71"/>
  <c r="Q51" i="71"/>
  <c r="P51" i="71"/>
  <c r="O51" i="71"/>
  <c r="N51" i="71"/>
  <c r="Q50" i="71"/>
  <c r="P50" i="71"/>
  <c r="E51" i="71" s="1"/>
  <c r="E52" i="71" s="1"/>
  <c r="U52" i="71" s="1"/>
  <c r="O50" i="71"/>
  <c r="N50" i="71"/>
  <c r="Q49" i="71"/>
  <c r="F50" i="71"/>
  <c r="F51" i="71" s="1"/>
  <c r="F52" i="71" s="1"/>
  <c r="V52" i="71" s="1"/>
  <c r="P49" i="71"/>
  <c r="E50" i="71"/>
  <c r="O49" i="71"/>
  <c r="C50" i="71"/>
  <c r="N49" i="71"/>
  <c r="B50" i="71" s="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c r="O41" i="71"/>
  <c r="C42" i="71" s="1"/>
  <c r="C43" i="71" s="1"/>
  <c r="C44" i="71" s="1"/>
  <c r="N41" i="71"/>
  <c r="B42" i="71"/>
  <c r="B43" i="71"/>
  <c r="B44" i="71" s="1"/>
  <c r="S44" i="71" s="1"/>
  <c r="D41" i="71"/>
  <c r="Q40" i="71"/>
  <c r="P40" i="71"/>
  <c r="O40" i="71"/>
  <c r="N40" i="71"/>
  <c r="AB39" i="71"/>
  <c r="Q39" i="71"/>
  <c r="P39" i="71"/>
  <c r="AA39" i="71"/>
  <c r="O39" i="71"/>
  <c r="N39" i="71"/>
  <c r="X39" i="71"/>
  <c r="Q38" i="71"/>
  <c r="AB38" i="71"/>
  <c r="P38" i="71"/>
  <c r="O38" i="71"/>
  <c r="Y38" i="71" s="1"/>
  <c r="Z38" i="71" s="1"/>
  <c r="N38" i="71"/>
  <c r="Q37" i="71"/>
  <c r="P37" i="71"/>
  <c r="O37" i="71"/>
  <c r="N37" i="71"/>
  <c r="D37" i="71"/>
  <c r="Q36" i="71"/>
  <c r="P36" i="71"/>
  <c r="O36" i="71"/>
  <c r="N36" i="71"/>
  <c r="Q35" i="71"/>
  <c r="AB35" i="71" s="1"/>
  <c r="P35" i="71"/>
  <c r="O35" i="71"/>
  <c r="Y34" i="71" s="1"/>
  <c r="Z34" i="71" s="1"/>
  <c r="Y35" i="71"/>
  <c r="Z35" i="71" s="1"/>
  <c r="N35" i="71"/>
  <c r="X33" i="71" s="1"/>
  <c r="Q34" i="71"/>
  <c r="P34" i="71"/>
  <c r="O34" i="71"/>
  <c r="N34" i="71"/>
  <c r="F35" i="71"/>
  <c r="F36" i="71" s="1"/>
  <c r="V36" i="71" s="1"/>
  <c r="Q33" i="71"/>
  <c r="F34" i="71" s="1"/>
  <c r="P33" i="71"/>
  <c r="O33" i="71"/>
  <c r="N33" i="71"/>
  <c r="D33" i="71"/>
  <c r="Q32" i="71"/>
  <c r="AB32" i="71"/>
  <c r="P32" i="71"/>
  <c r="O32" i="71"/>
  <c r="N32" i="71"/>
  <c r="Q31" i="71"/>
  <c r="AB31" i="71"/>
  <c r="P31" i="71"/>
  <c r="AA31" i="71" s="1"/>
  <c r="O31" i="71"/>
  <c r="N31" i="71"/>
  <c r="Q30" i="71"/>
  <c r="P30" i="71"/>
  <c r="O30" i="71"/>
  <c r="N30" i="71"/>
  <c r="X30" i="71" s="1"/>
  <c r="F30" i="71"/>
  <c r="F31" i="71" s="1"/>
  <c r="F32" i="71" s="1"/>
  <c r="V32" i="71" s="1"/>
  <c r="Q29" i="71"/>
  <c r="P29" i="71"/>
  <c r="O29" i="71"/>
  <c r="N29" i="71"/>
  <c r="D29" i="71"/>
  <c r="O28" i="71"/>
  <c r="N28" i="71"/>
  <c r="B30" i="71"/>
  <c r="X29" i="71"/>
  <c r="E30" i="71"/>
  <c r="E31" i="71" s="1"/>
  <c r="E32" i="71" s="1"/>
  <c r="U32" i="71" s="1"/>
  <c r="B34" i="71"/>
  <c r="B35" i="71"/>
  <c r="B36" i="71"/>
  <c r="S36" i="71"/>
  <c r="E38" i="71"/>
  <c r="E39" i="71"/>
  <c r="E40" i="71" s="1"/>
  <c r="U40" i="71" s="1"/>
  <c r="AA37" i="71"/>
  <c r="N68" i="71"/>
  <c r="C30" i="71"/>
  <c r="Y29" i="71"/>
  <c r="Z29" i="71" s="1"/>
  <c r="X31" i="71"/>
  <c r="AA32" i="71"/>
  <c r="AB33" i="71"/>
  <c r="X35" i="71"/>
  <c r="AA35" i="71"/>
  <c r="C38" i="71"/>
  <c r="D38" i="71" s="1"/>
  <c r="Y37" i="71"/>
  <c r="Z37" i="71" s="1"/>
  <c r="X38" i="71"/>
  <c r="AA38" i="71"/>
  <c r="C28" i="71"/>
  <c r="C27" i="71" s="1"/>
  <c r="B28" i="71"/>
  <c r="B27" i="71"/>
  <c r="B26" i="71" s="1"/>
  <c r="X27" i="71"/>
  <c r="X28" i="71"/>
  <c r="C31" i="71"/>
  <c r="D30" i="71"/>
  <c r="C39" i="71"/>
  <c r="D39" i="71" s="1"/>
  <c r="C47" i="71"/>
  <c r="D47" i="71"/>
  <c r="C51" i="71"/>
  <c r="D50" i="71"/>
  <c r="P28" i="71"/>
  <c r="E56" i="71"/>
  <c r="U56" i="71" s="1"/>
  <c r="Q65" i="71"/>
  <c r="U68" i="71"/>
  <c r="E67" i="71"/>
  <c r="Q28" i="71"/>
  <c r="AB28" i="71" s="1"/>
  <c r="C55" i="71"/>
  <c r="D55" i="71" s="1"/>
  <c r="D54" i="71"/>
  <c r="C59" i="71"/>
  <c r="D58" i="71"/>
  <c r="C63" i="71"/>
  <c r="D62" i="71"/>
  <c r="Q67" i="71"/>
  <c r="T68" i="71"/>
  <c r="O68" i="71"/>
  <c r="D68" i="71"/>
  <c r="C67" i="71"/>
  <c r="O67" i="71" s="1"/>
  <c r="Q68" i="71"/>
  <c r="C71" i="71"/>
  <c r="E71" i="71"/>
  <c r="E70" i="71"/>
  <c r="D72" i="71"/>
  <c r="E75" i="71"/>
  <c r="E74" i="71"/>
  <c r="E79" i="71"/>
  <c r="E78" i="71"/>
  <c r="C83" i="71"/>
  <c r="D83" i="71" s="1"/>
  <c r="C87" i="71"/>
  <c r="D87" i="71" s="1"/>
  <c r="T28" i="71"/>
  <c r="S28" i="71"/>
  <c r="F28" i="71"/>
  <c r="F27" i="71"/>
  <c r="F26" i="71" s="1"/>
  <c r="AB26" i="71"/>
  <c r="AB27" i="71"/>
  <c r="AA26" i="71"/>
  <c r="AA27" i="71"/>
  <c r="C66" i="71"/>
  <c r="D66" i="71" s="1"/>
  <c r="C64" i="71"/>
  <c r="T64" i="71" s="1"/>
  <c r="D63" i="71"/>
  <c r="C82" i="71"/>
  <c r="D82" i="71"/>
  <c r="D71" i="71"/>
  <c r="C70" i="71"/>
  <c r="D70" i="71" s="1"/>
  <c r="C60" i="71"/>
  <c r="D59" i="71"/>
  <c r="C56" i="71"/>
  <c r="T56" i="71" s="1"/>
  <c r="P67" i="71"/>
  <c r="E66" i="71"/>
  <c r="P65" i="71" s="1"/>
  <c r="C52" i="71"/>
  <c r="T52" i="71" s="1"/>
  <c r="D51" i="71"/>
  <c r="D43" i="71"/>
  <c r="C40" i="71"/>
  <c r="T40" i="71" s="1"/>
  <c r="C32" i="71"/>
  <c r="T32" i="71" s="1"/>
  <c r="D31" i="71"/>
  <c r="P66" i="71"/>
  <c r="O66" i="71"/>
  <c r="D32" i="71"/>
  <c r="D40" i="71"/>
  <c r="D52" i="71"/>
  <c r="T60"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AA18" i="35"/>
  <c r="C18" i="35"/>
  <c r="Q21" i="37"/>
  <c r="Z21" i="37" s="1"/>
  <c r="D77" i="37"/>
  <c r="E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77" i="43" s="1"/>
  <c r="B68" i="43"/>
  <c r="C29" i="39"/>
  <c r="S25" i="40"/>
  <c r="U18" i="36"/>
  <c r="S21" i="34"/>
  <c r="F94" i="40"/>
  <c r="G94" i="40" s="1"/>
  <c r="H25" i="40"/>
  <c r="U25" i="40" s="1"/>
  <c r="J25" i="40"/>
  <c r="H29" i="39"/>
  <c r="AB29" i="39" s="1"/>
  <c r="J29" i="39"/>
  <c r="AC29" i="39" s="1"/>
  <c r="J18" i="36"/>
  <c r="AC18" i="36" s="1"/>
  <c r="F68" i="35"/>
  <c r="H18" i="35"/>
  <c r="U18" i="35" s="1"/>
  <c r="S18" i="35"/>
  <c r="G68" i="35"/>
  <c r="J18" i="35"/>
  <c r="F77" i="37"/>
  <c r="G77" i="37" s="1"/>
  <c r="H21" i="37"/>
  <c r="F21" i="37"/>
  <c r="AA21" i="37" s="1"/>
  <c r="F84" i="34"/>
  <c r="H21" i="34"/>
  <c r="AB21" i="34" s="1"/>
  <c r="H21" i="33"/>
  <c r="U21" i="33" s="1"/>
  <c r="F21" i="33"/>
  <c r="AA21" i="33" s="1"/>
  <c r="E83" i="21"/>
  <c r="F83" i="21" s="1"/>
  <c r="G83" i="21" s="1"/>
  <c r="H1" i="69"/>
  <c r="AC25" i="40"/>
  <c r="W25" i="40"/>
  <c r="U29" i="39"/>
  <c r="W29" i="39"/>
  <c r="AB21" i="37"/>
  <c r="U21" i="37"/>
  <c r="S21" i="37"/>
  <c r="S21" i="33"/>
  <c r="AC18" i="35"/>
  <c r="W18" i="35"/>
  <c r="J21" i="37"/>
  <c r="W21" i="37" s="1"/>
  <c r="G84" i="34"/>
  <c r="J21" i="34"/>
  <c r="W21" i="34" s="1"/>
  <c r="J21" i="33"/>
  <c r="W21" i="33" s="1"/>
  <c r="H21" i="21"/>
  <c r="U21" i="21" s="1"/>
  <c r="F38" i="69"/>
  <c r="E37" i="69"/>
  <c r="F36" i="69"/>
  <c r="F35" i="69"/>
  <c r="F21" i="69"/>
  <c r="F40" i="69" s="1"/>
  <c r="F20" i="69"/>
  <c r="F39" i="69" s="1"/>
  <c r="E10" i="69"/>
  <c r="E9" i="69"/>
  <c r="AC21" i="37"/>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c r="J6" i="31" s="1"/>
  <c r="K6" i="31" s="1"/>
  <c r="L6" i="31" s="1"/>
  <c r="M6" i="31" s="1"/>
  <c r="N6" i="31" s="1"/>
  <c r="O6" i="31" s="1"/>
  <c r="P6" i="31" s="1"/>
  <c r="Q6" i="31" s="1"/>
  <c r="R6" i="31" s="1"/>
  <c r="S6" i="31" s="1"/>
  <c r="B2" i="1"/>
  <c r="G23" i="85" s="1"/>
  <c r="E15" i="4"/>
  <c r="F8" i="1" s="1"/>
  <c r="G8" i="1" s="1"/>
  <c r="A7" i="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AZ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G57" i="3" s="1"/>
  <c r="BT56" i="3"/>
  <c r="BS56" i="3"/>
  <c r="BR56" i="3"/>
  <c r="BQ56" i="3"/>
  <c r="BP56" i="3"/>
  <c r="BO56" i="3"/>
  <c r="BL56" i="3" s="1"/>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c r="BK54" i="3"/>
  <c r="BJ54" i="3"/>
  <c r="BI54" i="3"/>
  <c r="BH54" i="3"/>
  <c r="BG54" i="3"/>
  <c r="BF54" i="3"/>
  <c r="BE54" i="3"/>
  <c r="BD54" i="3"/>
  <c r="BA54" i="3" s="1"/>
  <c r="BC54" i="3"/>
  <c r="BB54" i="3"/>
  <c r="AZ54" i="3"/>
  <c r="AX54" i="3"/>
  <c r="AW54" i="3"/>
  <c r="AV54" i="3"/>
  <c r="AC54" i="3"/>
  <c r="H54" i="3"/>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A49" i="3" s="1"/>
  <c r="BC49" i="3"/>
  <c r="BB49" i="3"/>
  <c r="AZ49" i="3"/>
  <c r="AX49" i="3"/>
  <c r="AW49" i="3"/>
  <c r="AV49" i="3"/>
  <c r="AC49" i="3"/>
  <c r="H49" i="3"/>
  <c r="BT48" i="3"/>
  <c r="BS48" i="3"/>
  <c r="BR48" i="3"/>
  <c r="BQ48" i="3"/>
  <c r="BP48" i="3"/>
  <c r="BO48" i="3"/>
  <c r="BL48" i="3" s="1"/>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A46" i="3" s="1"/>
  <c r="BC46" i="3"/>
  <c r="BB46" i="3"/>
  <c r="AZ46" i="3"/>
  <c r="AX46" i="3"/>
  <c r="AW46" i="3"/>
  <c r="AV46" i="3"/>
  <c r="AC46" i="3"/>
  <c r="H46" i="3"/>
  <c r="BT45" i="3"/>
  <c r="BS45" i="3"/>
  <c r="BR45" i="3"/>
  <c r="BQ45" i="3"/>
  <c r="BP45" i="3"/>
  <c r="BO45" i="3"/>
  <c r="BL45" i="3" s="1"/>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L20" i="3" s="1"/>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A182" i="3" s="1"/>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G301" i="3" s="1"/>
  <c r="BT300" i="3"/>
  <c r="BS300" i="3"/>
  <c r="BR300" i="3"/>
  <c r="BQ300" i="3"/>
  <c r="BP300" i="3"/>
  <c r="BO300" i="3"/>
  <c r="BL300" i="3" s="1"/>
  <c r="BN300" i="3"/>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A290" i="3" s="1"/>
  <c r="BB290" i="3"/>
  <c r="AZ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L282" i="3" s="1"/>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G278" i="3" s="1"/>
  <c r="H278" i="3"/>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A462" i="3" s="1"/>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A456" i="3" s="1"/>
  <c r="AZ456" i="3" s="1"/>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A451" i="3" s="1"/>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A443" i="3" s="1"/>
  <c r="AZ443" i="3" s="1"/>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A437" i="3" s="1"/>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A425" i="3" s="1"/>
  <c r="AZ425" i="3" s="1"/>
  <c r="BC425" i="3"/>
  <c r="BB425" i="3"/>
  <c r="AX425" i="3"/>
  <c r="AW425" i="3"/>
  <c r="AV425" i="3"/>
  <c r="AC425" i="3"/>
  <c r="G425" i="3" s="1"/>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5" i="4"/>
  <c r="F11" i="1" s="1"/>
  <c r="G11" i="1" s="1"/>
  <c r="D15" i="4"/>
  <c r="C15" i="4"/>
  <c r="F6" i="1" s="1"/>
  <c r="L21" i="4"/>
  <c r="F19" i="4"/>
  <c r="F2" i="52"/>
  <c r="B50" i="72" s="1"/>
  <c r="D2" i="52"/>
  <c r="B46" i="72"/>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L565" i="3" s="1"/>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c r="D114" i="34"/>
  <c r="E114" i="34" s="1"/>
  <c r="F38" i="34"/>
  <c r="D112" i="34"/>
  <c r="E112" i="34"/>
  <c r="F112" i="34"/>
  <c r="G112" i="34" s="1"/>
  <c r="H112" i="34" s="1"/>
  <c r="I112" i="34"/>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c r="B120" i="40"/>
  <c r="B118" i="40"/>
  <c r="H39" i="40" s="1"/>
  <c r="J39" i="40"/>
  <c r="B116" i="40"/>
  <c r="D115" i="40"/>
  <c r="E115" i="40"/>
  <c r="F115" i="40" s="1"/>
  <c r="G115" i="40" s="1"/>
  <c r="H115" i="40"/>
  <c r="I115" i="40"/>
  <c r="J115" i="40" s="1"/>
  <c r="K115" i="40" s="1"/>
  <c r="L115" i="40" s="1"/>
  <c r="M115" i="40" s="1"/>
  <c r="D113" i="40"/>
  <c r="E113" i="40"/>
  <c r="F113" i="40"/>
  <c r="G113" i="40"/>
  <c r="H113" i="40" s="1"/>
  <c r="I113" i="40" s="1"/>
  <c r="J113" i="40"/>
  <c r="K113" i="40" s="1"/>
  <c r="L113" i="40" s="1"/>
  <c r="M113" i="40" s="1"/>
  <c r="D111" i="40"/>
  <c r="E111" i="40"/>
  <c r="M107" i="40"/>
  <c r="L107" i="40"/>
  <c r="K107" i="40"/>
  <c r="J107" i="40"/>
  <c r="H107" i="40"/>
  <c r="G107" i="40"/>
  <c r="F107" i="40"/>
  <c r="E107" i="40"/>
  <c r="D107" i="40"/>
  <c r="C107" i="40"/>
  <c r="B105" i="40"/>
  <c r="J33" i="40"/>
  <c r="W33" i="40" s="1"/>
  <c r="B103" i="40"/>
  <c r="J32" i="40"/>
  <c r="B101" i="40"/>
  <c r="J31" i="40"/>
  <c r="AC31" i="40"/>
  <c r="D100" i="40"/>
  <c r="E100" i="40" s="1"/>
  <c r="F100" i="40" s="1"/>
  <c r="G100" i="40"/>
  <c r="H100" i="40"/>
  <c r="I100" i="40" s="1"/>
  <c r="J100" i="40" s="1"/>
  <c r="K100" i="40" s="1"/>
  <c r="L100" i="40" s="1"/>
  <c r="M100" i="40" s="1"/>
  <c r="D98" i="40"/>
  <c r="J28" i="40"/>
  <c r="AC28" i="40"/>
  <c r="D96" i="40"/>
  <c r="E96" i="40"/>
  <c r="F96" i="40"/>
  <c r="G96" i="40"/>
  <c r="H96" i="40" s="1"/>
  <c r="I96" i="40" s="1"/>
  <c r="J96" i="40" s="1"/>
  <c r="K96" i="40" s="1"/>
  <c r="L96" i="40" s="1"/>
  <c r="M96" i="40" s="1"/>
  <c r="B95" i="40"/>
  <c r="D92" i="40"/>
  <c r="E92" i="40" s="1"/>
  <c r="F92" i="40" s="1"/>
  <c r="G92" i="40" s="1"/>
  <c r="D90" i="40"/>
  <c r="E90" i="40" s="1"/>
  <c r="F90" i="40" s="1"/>
  <c r="G90" i="40"/>
  <c r="D88" i="40"/>
  <c r="E88" i="40" s="1"/>
  <c r="D86" i="40"/>
  <c r="E86" i="40"/>
  <c r="F86" i="40"/>
  <c r="G86" i="40" s="1"/>
  <c r="D84" i="40"/>
  <c r="E84" i="40"/>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c r="H40" i="40"/>
  <c r="F40" i="40"/>
  <c r="AA40" i="40"/>
  <c r="Q39" i="40"/>
  <c r="Z39" i="40" s="1"/>
  <c r="Q38" i="40"/>
  <c r="Z38" i="40"/>
  <c r="Q37" i="40"/>
  <c r="Z37" i="40"/>
  <c r="Q36" i="40"/>
  <c r="Z36" i="40" s="1"/>
  <c r="Q35" i="40"/>
  <c r="Z35" i="40"/>
  <c r="Q34" i="40"/>
  <c r="Z34" i="40" s="1"/>
  <c r="J34" i="40"/>
  <c r="AC34" i="40"/>
  <c r="H34" i="40"/>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F9" i="40"/>
  <c r="S9" i="40"/>
  <c r="J8" i="40"/>
  <c r="AC8" i="40" s="1"/>
  <c r="H8" i="40"/>
  <c r="AB8" i="40"/>
  <c r="F8" i="40"/>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c r="D92" i="39"/>
  <c r="E92" i="39"/>
  <c r="F92" i="39" s="1"/>
  <c r="G92" i="39" s="1"/>
  <c r="D90" i="39"/>
  <c r="E90" i="39"/>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H39" i="37" s="1"/>
  <c r="AB39" i="37" s="1"/>
  <c r="J39" i="37"/>
  <c r="AC39" i="37" s="1"/>
  <c r="B108" i="37"/>
  <c r="C23" i="37"/>
  <c r="C19" i="37"/>
  <c r="C17" i="37"/>
  <c r="C15" i="37"/>
  <c r="B112" i="37"/>
  <c r="J40" i="37" s="1"/>
  <c r="D107" i="37"/>
  <c r="E107" i="37" s="1"/>
  <c r="D105" i="37"/>
  <c r="E105" i="37"/>
  <c r="F105" i="37" s="1"/>
  <c r="D103" i="37"/>
  <c r="E103" i="37" s="1"/>
  <c r="J35" i="37"/>
  <c r="W35" i="37"/>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c r="D75" i="37"/>
  <c r="E75" i="37"/>
  <c r="D73" i="37"/>
  <c r="E73" i="37"/>
  <c r="F73" i="37" s="1"/>
  <c r="G73" i="37" s="1"/>
  <c r="D71" i="37"/>
  <c r="H15" i="37"/>
  <c r="AB15" i="37"/>
  <c r="B68" i="37"/>
  <c r="H14" i="37"/>
  <c r="AB14" i="37"/>
  <c r="B66" i="37"/>
  <c r="J13" i="37" s="1"/>
  <c r="W13" i="37" s="1"/>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F30" i="37"/>
  <c r="AA30" i="37" s="1"/>
  <c r="Q29" i="37"/>
  <c r="Z29" i="37"/>
  <c r="H29" i="37"/>
  <c r="Q28" i="37"/>
  <c r="Z28" i="37"/>
  <c r="Q27" i="37"/>
  <c r="Z27" i="37" s="1"/>
  <c r="Q26" i="37"/>
  <c r="Z26" i="37"/>
  <c r="J26" i="37"/>
  <c r="F26" i="37"/>
  <c r="AA26" i="37"/>
  <c r="Q25" i="37"/>
  <c r="Z25" i="37"/>
  <c r="J25" i="37"/>
  <c r="AC25" i="37"/>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s="1"/>
  <c r="B59" i="36"/>
  <c r="B57" i="36"/>
  <c r="J12" i="36"/>
  <c r="B55" i="36"/>
  <c r="F11" i="36" s="1"/>
  <c r="C51" i="36"/>
  <c r="P37" i="36"/>
  <c r="P36" i="36"/>
  <c r="V35" i="36"/>
  <c r="T35" i="36"/>
  <c r="R35" i="36"/>
  <c r="P35" i="36"/>
  <c r="Q34" i="36"/>
  <c r="Z34" i="36" s="1"/>
  <c r="Q33" i="36"/>
  <c r="Z33" i="36"/>
  <c r="Q32" i="36"/>
  <c r="Z32" i="36" s="1"/>
  <c r="Q31" i="36"/>
  <c r="Z31" i="36"/>
  <c r="Q30" i="36"/>
  <c r="Z30" i="36" s="1"/>
  <c r="Q29" i="36"/>
  <c r="Z29" i="36"/>
  <c r="Q28" i="36"/>
  <c r="Z28" i="36"/>
  <c r="J28" i="36"/>
  <c r="Q27" i="36"/>
  <c r="Z27" i="36" s="1"/>
  <c r="Q26" i="36"/>
  <c r="Z26" i="36"/>
  <c r="H26" i="36"/>
  <c r="AB26" i="36" s="1"/>
  <c r="Q25" i="36"/>
  <c r="Z25" i="36"/>
  <c r="Q24" i="36"/>
  <c r="Z24" i="36" s="1"/>
  <c r="Q23" i="36"/>
  <c r="Z23" i="36" s="1"/>
  <c r="H23" i="36"/>
  <c r="AB23" i="36" s="1"/>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W22" i="35" s="1"/>
  <c r="AC22" i="35"/>
  <c r="B101" i="35"/>
  <c r="H36" i="35"/>
  <c r="AB36" i="35"/>
  <c r="B99" i="35"/>
  <c r="F35" i="35" s="1"/>
  <c r="B97" i="35"/>
  <c r="B77" i="35"/>
  <c r="B75" i="35"/>
  <c r="J24" i="35"/>
  <c r="AC24" i="35" s="1"/>
  <c r="B73" i="35"/>
  <c r="H23" i="35"/>
  <c r="U23" i="35" s="1"/>
  <c r="B57" i="35"/>
  <c r="B61" i="35"/>
  <c r="B59" i="35"/>
  <c r="B131" i="34"/>
  <c r="B129" i="34"/>
  <c r="B127" i="34"/>
  <c r="B99" i="34"/>
  <c r="B97" i="34"/>
  <c r="B95" i="34"/>
  <c r="B93" i="34"/>
  <c r="B75" i="34"/>
  <c r="F14" i="34" s="1"/>
  <c r="B73" i="34"/>
  <c r="J13" i="34" s="1"/>
  <c r="B71" i="34"/>
  <c r="B130" i="33"/>
  <c r="B128" i="33"/>
  <c r="B126" i="33"/>
  <c r="J44" i="33" s="1"/>
  <c r="B98" i="33"/>
  <c r="B96" i="33"/>
  <c r="B94" i="33"/>
  <c r="B74" i="33"/>
  <c r="F14" i="33" s="1"/>
  <c r="B72" i="33"/>
  <c r="B70" i="33"/>
  <c r="J12" i="33"/>
  <c r="D96" i="35"/>
  <c r="E96" i="35" s="1"/>
  <c r="F96" i="35" s="1"/>
  <c r="G96" i="35"/>
  <c r="D94" i="35"/>
  <c r="E94" i="35" s="1"/>
  <c r="F94" i="35" s="1"/>
  <c r="G94" i="35" s="1"/>
  <c r="H94" i="35" s="1"/>
  <c r="I94" i="35" s="1"/>
  <c r="J94" i="35" s="1"/>
  <c r="K94" i="35" s="1"/>
  <c r="L94" i="35" s="1"/>
  <c r="M94" i="35" s="1"/>
  <c r="D84" i="35"/>
  <c r="E84" i="35"/>
  <c r="F84" i="35"/>
  <c r="G84" i="35" s="1"/>
  <c r="H84" i="35" s="1"/>
  <c r="I84" i="35"/>
  <c r="J84" i="35" s="1"/>
  <c r="K84" i="35" s="1"/>
  <c r="L84" i="35" s="1"/>
  <c r="M84" i="35" s="1"/>
  <c r="D80" i="35"/>
  <c r="E80" i="35" s="1"/>
  <c r="F80" i="35" s="1"/>
  <c r="G80" i="35"/>
  <c r="H80" i="35"/>
  <c r="I80" i="35" s="1"/>
  <c r="J80" i="35" s="1"/>
  <c r="K80" i="35" s="1"/>
  <c r="L80" i="35" s="1"/>
  <c r="M80" i="35" s="1"/>
  <c r="D72" i="35"/>
  <c r="E72" i="35"/>
  <c r="F72" i="35" s="1"/>
  <c r="G72" i="35" s="1"/>
  <c r="D70" i="35"/>
  <c r="E70" i="35"/>
  <c r="F70" i="35" s="1"/>
  <c r="G70" i="35" s="1"/>
  <c r="D66" i="35"/>
  <c r="E66" i="35"/>
  <c r="F66" i="35"/>
  <c r="G66" i="35" s="1"/>
  <c r="D64" i="35"/>
  <c r="E64" i="35"/>
  <c r="F64" i="35"/>
  <c r="G64" i="35" s="1"/>
  <c r="J14" i="35"/>
  <c r="W14" i="35"/>
  <c r="C53" i="35"/>
  <c r="J9" i="35" s="1"/>
  <c r="P39" i="35"/>
  <c r="P38" i="35"/>
  <c r="V37" i="35"/>
  <c r="T37" i="35"/>
  <c r="R37" i="35"/>
  <c r="P37" i="35"/>
  <c r="Q36" i="35"/>
  <c r="Z36" i="35" s="1"/>
  <c r="J36" i="35"/>
  <c r="AC36" i="35"/>
  <c r="Q35" i="35"/>
  <c r="Z35" i="35" s="1"/>
  <c r="Q34" i="35"/>
  <c r="Z34" i="35"/>
  <c r="J34" i="35"/>
  <c r="AC34" i="35" s="1"/>
  <c r="H34" i="35"/>
  <c r="AB34" i="35"/>
  <c r="F34" i="35"/>
  <c r="Q33" i="35"/>
  <c r="Z33" i="35"/>
  <c r="Q32" i="35"/>
  <c r="Z32" i="35" s="1"/>
  <c r="H32" i="35"/>
  <c r="AB32" i="35" s="1"/>
  <c r="F32" i="35"/>
  <c r="AA32" i="35" s="1"/>
  <c r="Q31" i="35"/>
  <c r="Z31" i="35" s="1"/>
  <c r="AA31" i="35"/>
  <c r="Q30" i="35"/>
  <c r="Z30" i="35"/>
  <c r="Q29" i="35"/>
  <c r="Z29" i="35" s="1"/>
  <c r="Q28" i="35"/>
  <c r="Z28" i="35"/>
  <c r="J28" i="35"/>
  <c r="AC28" i="35" s="1"/>
  <c r="H28" i="35"/>
  <c r="AB28" i="35"/>
  <c r="F28" i="35"/>
  <c r="AA28" i="35" s="1"/>
  <c r="Q27" i="35"/>
  <c r="Z27" i="35"/>
  <c r="Q26" i="35"/>
  <c r="Z26" i="35" s="1"/>
  <c r="Q25" i="35"/>
  <c r="Z25" i="35"/>
  <c r="Q24" i="35"/>
  <c r="Z24" i="35" s="1"/>
  <c r="Q23" i="35"/>
  <c r="Z23" i="35"/>
  <c r="J23" i="35"/>
  <c r="Q22" i="35"/>
  <c r="Z22" i="35"/>
  <c r="Q20" i="35"/>
  <c r="Z20" i="35" s="1"/>
  <c r="Q16" i="35"/>
  <c r="Z16" i="35"/>
  <c r="Q14" i="35"/>
  <c r="Z14" i="35" s="1"/>
  <c r="Q13" i="35"/>
  <c r="Z13" i="35"/>
  <c r="Q12" i="35"/>
  <c r="Z12" i="35" s="1"/>
  <c r="Q11" i="35"/>
  <c r="Z11" i="35" s="1"/>
  <c r="Q10" i="35"/>
  <c r="Z10" i="35"/>
  <c r="Q9" i="35"/>
  <c r="Z9" i="35" s="1"/>
  <c r="J8" i="35"/>
  <c r="W8" i="35" s="1"/>
  <c r="H8" i="35"/>
  <c r="AB8" i="35" s="1"/>
  <c r="F8" i="35"/>
  <c r="AA8" i="35" s="1"/>
  <c r="D120" i="34"/>
  <c r="E120" i="34"/>
  <c r="F120" i="34"/>
  <c r="G120" i="34" s="1"/>
  <c r="H120" i="34" s="1"/>
  <c r="I120" i="34" s="1"/>
  <c r="J120" i="34" s="1"/>
  <c r="K120" i="34"/>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c r="F118" i="34"/>
  <c r="G118" i="34" s="1"/>
  <c r="D116" i="34"/>
  <c r="E116" i="34"/>
  <c r="F116" i="34"/>
  <c r="G116" i="34" s="1"/>
  <c r="H116" i="34" s="1"/>
  <c r="I116" i="34"/>
  <c r="J116" i="34"/>
  <c r="K116" i="34" s="1"/>
  <c r="L116" i="34" s="1"/>
  <c r="M116" i="34" s="1"/>
  <c r="F110" i="34"/>
  <c r="E110" i="34"/>
  <c r="D110" i="34"/>
  <c r="C110" i="34"/>
  <c r="D109" i="34"/>
  <c r="E109" i="34" s="1"/>
  <c r="F109" i="34" s="1"/>
  <c r="G109" i="34"/>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c r="F92" i="34" s="1"/>
  <c r="G92" i="34" s="1"/>
  <c r="H92" i="34" s="1"/>
  <c r="I92" i="34" s="1"/>
  <c r="J92" i="34" s="1"/>
  <c r="K92" i="34" s="1"/>
  <c r="L92" i="34" s="1"/>
  <c r="M92" i="34" s="1"/>
  <c r="B91" i="34"/>
  <c r="B89" i="34"/>
  <c r="J27" i="34"/>
  <c r="D88" i="34"/>
  <c r="E88" i="34" s="1"/>
  <c r="F88" i="34" s="1"/>
  <c r="G88" i="34" s="1"/>
  <c r="H88" i="34" s="1"/>
  <c r="I88" i="34" s="1"/>
  <c r="J88" i="34" s="1"/>
  <c r="K88" i="34"/>
  <c r="L88" i="34"/>
  <c r="M88" i="34" s="1"/>
  <c r="D86" i="34"/>
  <c r="E86" i="34"/>
  <c r="F86" i="34"/>
  <c r="G86" i="34" s="1"/>
  <c r="D82" i="34"/>
  <c r="E82" i="34"/>
  <c r="F82" i="34"/>
  <c r="G82" i="34" s="1"/>
  <c r="D80" i="34"/>
  <c r="E80" i="34"/>
  <c r="F80" i="34" s="1"/>
  <c r="G80" i="34" s="1"/>
  <c r="D78" i="34"/>
  <c r="E78" i="34"/>
  <c r="F78" i="34"/>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c r="Q13" i="34"/>
  <c r="Z13" i="34" s="1"/>
  <c r="Q12" i="34"/>
  <c r="Z12" i="34"/>
  <c r="J12" i="34"/>
  <c r="H12" i="34"/>
  <c r="F12" i="34"/>
  <c r="S12" i="34" s="1"/>
  <c r="Q11" i="34"/>
  <c r="Z11" i="34"/>
  <c r="Q10" i="34"/>
  <c r="Z10" i="34"/>
  <c r="F10" i="34"/>
  <c r="AA10" i="34" s="1"/>
  <c r="Q9" i="34"/>
  <c r="Z9" i="34" s="1"/>
  <c r="H9" i="34"/>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c r="G117" i="33"/>
  <c r="D115" i="33"/>
  <c r="E115" i="33"/>
  <c r="F115" i="33"/>
  <c r="G115" i="33"/>
  <c r="H115" i="33" s="1"/>
  <c r="I115" i="33" s="1"/>
  <c r="J115" i="33"/>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Q39" i="33"/>
  <c r="Z39" i="33" s="1"/>
  <c r="J39" i="33"/>
  <c r="AC39" i="33"/>
  <c r="Q38" i="33"/>
  <c r="Z38" i="33" s="1"/>
  <c r="J38" i="33"/>
  <c r="AC38" i="33"/>
  <c r="H38" i="33"/>
  <c r="F38" i="33"/>
  <c r="AA38" i="33"/>
  <c r="Q37" i="33"/>
  <c r="Z37" i="33" s="1"/>
  <c r="Q36" i="33"/>
  <c r="Z36" i="33"/>
  <c r="Q35" i="33"/>
  <c r="Z35" i="33" s="1"/>
  <c r="H35" i="33"/>
  <c r="U35" i="33" s="1"/>
  <c r="AB35" i="33"/>
  <c r="Q34" i="33"/>
  <c r="Z34" i="33" s="1"/>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Q11" i="33"/>
  <c r="Z11" i="33" s="1"/>
  <c r="Q10" i="33"/>
  <c r="Z10" i="33"/>
  <c r="Q9" i="33"/>
  <c r="Z9" i="33" s="1"/>
  <c r="H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C20" i="20"/>
  <c r="C18" i="20"/>
  <c r="C17" i="20"/>
  <c r="B61" i="85" s="1"/>
  <c r="C16" i="20"/>
  <c r="C17" i="39" s="1"/>
  <c r="C15" i="20"/>
  <c r="B72" i="85" s="1"/>
  <c r="E54" i="21"/>
  <c r="F54" i="21" s="1"/>
  <c r="I54" i="21"/>
  <c r="J54" i="21" s="1"/>
  <c r="G54" i="21"/>
  <c r="H54" i="21" s="1"/>
  <c r="D125" i="21"/>
  <c r="E125" i="21"/>
  <c r="F125" i="21" s="1"/>
  <c r="G125" i="21" s="1"/>
  <c r="D123" i="21"/>
  <c r="E123" i="21"/>
  <c r="F123" i="21"/>
  <c r="G123" i="21" s="1"/>
  <c r="H123" i="21" s="1"/>
  <c r="I123" i="21" s="1"/>
  <c r="J123" i="21" s="1"/>
  <c r="K123" i="21" s="1"/>
  <c r="F42" i="21"/>
  <c r="AA42" i="21"/>
  <c r="D119" i="21"/>
  <c r="F40" i="21"/>
  <c r="D117" i="21"/>
  <c r="E117" i="21"/>
  <c r="F117" i="21"/>
  <c r="G117" i="21" s="1"/>
  <c r="D115" i="21"/>
  <c r="E115" i="21"/>
  <c r="F115" i="21" s="1"/>
  <c r="G115" i="21" s="1"/>
  <c r="H115" i="21" s="1"/>
  <c r="I115" i="21" s="1"/>
  <c r="J115" i="21" s="1"/>
  <c r="K115" i="21" s="1"/>
  <c r="L115" i="21" s="1"/>
  <c r="M115" i="21" s="1"/>
  <c r="D113" i="21"/>
  <c r="E113" i="21" s="1"/>
  <c r="F113" i="21" s="1"/>
  <c r="G113" i="21"/>
  <c r="H113" i="21" s="1"/>
  <c r="D110" i="21"/>
  <c r="E110" i="21"/>
  <c r="F110" i="21"/>
  <c r="G110" i="21" s="1"/>
  <c r="H110" i="21" s="1"/>
  <c r="I110" i="21" s="1"/>
  <c r="J110" i="21" s="1"/>
  <c r="K110" i="21" s="1"/>
  <c r="L110" i="21" s="1"/>
  <c r="M110" i="21" s="1"/>
  <c r="J36" i="21"/>
  <c r="AC36" i="21"/>
  <c r="D108" i="21"/>
  <c r="E108" i="21"/>
  <c r="F108" i="21"/>
  <c r="G108" i="2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c r="H101" i="21" s="1"/>
  <c r="D89" i="21"/>
  <c r="E89" i="21"/>
  <c r="F89" i="21"/>
  <c r="G89" i="21" s="1"/>
  <c r="H89" i="21" s="1"/>
  <c r="I89" i="2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c r="G79" i="21"/>
  <c r="D85" i="21"/>
  <c r="F19" i="21"/>
  <c r="AA19" i="21"/>
  <c r="E81" i="21"/>
  <c r="F81" i="21" s="1"/>
  <c r="G81" i="21" s="1"/>
  <c r="D77" i="21"/>
  <c r="E77" i="21" s="1"/>
  <c r="F77" i="21" s="1"/>
  <c r="G77" i="21" s="1"/>
  <c r="B130" i="21"/>
  <c r="B128" i="21"/>
  <c r="J45" i="21"/>
  <c r="W45" i="21" s="1"/>
  <c r="B126" i="21"/>
  <c r="B98" i="21"/>
  <c r="H31" i="21"/>
  <c r="B96" i="21"/>
  <c r="B94" i="21"/>
  <c r="J29" i="21"/>
  <c r="AC29" i="21"/>
  <c r="B92" i="21"/>
  <c r="F28" i="21" s="1"/>
  <c r="B90" i="21"/>
  <c r="J27" i="21"/>
  <c r="W27" i="21"/>
  <c r="B74" i="21"/>
  <c r="B72" i="21"/>
  <c r="H13" i="21"/>
  <c r="B70"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H40" i="2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H34" i="21"/>
  <c r="AB34" i="21"/>
  <c r="F43" i="21"/>
  <c r="H38" i="21"/>
  <c r="U38" i="21"/>
  <c r="H43" i="21"/>
  <c r="F38" i="21"/>
  <c r="S38" i="21"/>
  <c r="F36" i="21"/>
  <c r="F39" i="21"/>
  <c r="AA39" i="21"/>
  <c r="J40" i="2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s="1"/>
  <c r="S41" i="21"/>
  <c r="AA41" i="21"/>
  <c r="J45" i="39"/>
  <c r="W45" i="39" s="1"/>
  <c r="F36" i="39"/>
  <c r="S36" i="39"/>
  <c r="H36" i="39"/>
  <c r="AB36" i="39"/>
  <c r="J35" i="39"/>
  <c r="W35" i="39" s="1"/>
  <c r="AC35" i="39"/>
  <c r="F35" i="39"/>
  <c r="AA35" i="39"/>
  <c r="J36" i="39"/>
  <c r="AC36" i="39"/>
  <c r="U9" i="39"/>
  <c r="W25" i="37"/>
  <c r="W31" i="37"/>
  <c r="F103" i="37"/>
  <c r="G103" i="37" s="1"/>
  <c r="H103" i="37" s="1"/>
  <c r="I103" i="37" s="1"/>
  <c r="J103" i="37" s="1"/>
  <c r="K103" i="37" s="1"/>
  <c r="L103" i="37" s="1"/>
  <c r="M103" i="37" s="1"/>
  <c r="F39" i="37"/>
  <c r="U14" i="37"/>
  <c r="F29" i="36"/>
  <c r="AA29" i="36" s="1"/>
  <c r="F16" i="36"/>
  <c r="AA16" i="36" s="1"/>
  <c r="U31" i="36"/>
  <c r="J33" i="36"/>
  <c r="AC33" i="36" s="1"/>
  <c r="H22" i="35"/>
  <c r="AB22" i="35"/>
  <c r="AC27" i="35"/>
  <c r="W34" i="35"/>
  <c r="W36" i="35"/>
  <c r="S31" i="35"/>
  <c r="U34" i="35"/>
  <c r="F36" i="34"/>
  <c r="J35" i="34"/>
  <c r="U34" i="34"/>
  <c r="H39" i="33"/>
  <c r="W39" i="33"/>
  <c r="S27" i="35"/>
  <c r="F11" i="40"/>
  <c r="AA11" i="40" s="1"/>
  <c r="H11" i="40"/>
  <c r="AB11" i="40"/>
  <c r="AC40" i="40"/>
  <c r="AA9" i="40"/>
  <c r="AC9" i="40"/>
  <c r="S34" i="40"/>
  <c r="S40" i="40"/>
  <c r="W31" i="40"/>
  <c r="F42" i="39"/>
  <c r="AA42" i="39" s="1"/>
  <c r="F41" i="39"/>
  <c r="S41" i="39" s="1"/>
  <c r="H40" i="39"/>
  <c r="AB40" i="39" s="1"/>
  <c r="H39" i="39"/>
  <c r="U39" i="39" s="1"/>
  <c r="S34" i="39"/>
  <c r="H34" i="39"/>
  <c r="U34" i="39" s="1"/>
  <c r="H31" i="39"/>
  <c r="AB31" i="39"/>
  <c r="F31" i="39"/>
  <c r="AA31" i="39" s="1"/>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A12" i="34"/>
  <c r="AB12" i="36"/>
  <c r="F37" i="39"/>
  <c r="AA37" i="39"/>
  <c r="J34" i="36"/>
  <c r="W34" i="36" s="1"/>
  <c r="J30" i="35"/>
  <c r="W30" i="35" s="1"/>
  <c r="H30" i="35"/>
  <c r="AB30" i="35" s="1"/>
  <c r="F22" i="35"/>
  <c r="AA22" i="35"/>
  <c r="H10" i="35"/>
  <c r="U10" i="35" s="1"/>
  <c r="AC16" i="36"/>
  <c r="F33" i="36"/>
  <c r="AA33" i="36"/>
  <c r="H16" i="36"/>
  <c r="AB16" i="36" s="1"/>
  <c r="E85" i="36"/>
  <c r="F85" i="36"/>
  <c r="G85" i="36" s="1"/>
  <c r="H85" i="36" s="1"/>
  <c r="I85" i="36" s="1"/>
  <c r="J85" i="36" s="1"/>
  <c r="K85" i="36" s="1"/>
  <c r="L85" i="36" s="1"/>
  <c r="M85" i="36" s="1"/>
  <c r="J29" i="36"/>
  <c r="AC29" i="36" s="1"/>
  <c r="F12" i="36"/>
  <c r="S12" i="36" s="1"/>
  <c r="F34" i="36"/>
  <c r="S34" i="36"/>
  <c r="F14" i="35"/>
  <c r="AA14" i="35"/>
  <c r="F23" i="35"/>
  <c r="AA23" i="35"/>
  <c r="J32" i="35"/>
  <c r="AC32" i="35" s="1"/>
  <c r="J16" i="35"/>
  <c r="AC16" i="35"/>
  <c r="H16" i="35"/>
  <c r="U16" i="35" s="1"/>
  <c r="F16" i="35"/>
  <c r="S16" i="35"/>
  <c r="H14" i="35"/>
  <c r="AB14" i="35" s="1"/>
  <c r="J29" i="35"/>
  <c r="H33" i="35"/>
  <c r="J20" i="35"/>
  <c r="W20" i="35"/>
  <c r="F35" i="37"/>
  <c r="S35" i="37" s="1"/>
  <c r="E101" i="37"/>
  <c r="F101" i="37"/>
  <c r="G101" i="37"/>
  <c r="H101" i="37" s="1"/>
  <c r="I101" i="37" s="1"/>
  <c r="J101" i="37" s="1"/>
  <c r="K101" i="37" s="1"/>
  <c r="L101" i="37" s="1"/>
  <c r="M101" i="37" s="1"/>
  <c r="J34" i="37"/>
  <c r="W34" i="37"/>
  <c r="J33" i="37"/>
  <c r="AC33" i="37" s="1"/>
  <c r="U42" i="34"/>
  <c r="H40" i="34"/>
  <c r="U40" i="34" s="1"/>
  <c r="H36" i="34"/>
  <c r="U36" i="34"/>
  <c r="F37" i="34"/>
  <c r="AA37" i="34" s="1"/>
  <c r="F28" i="34"/>
  <c r="AA28" i="34" s="1"/>
  <c r="F27" i="34"/>
  <c r="AA27" i="34"/>
  <c r="F25" i="34"/>
  <c r="S25" i="34" s="1"/>
  <c r="H23" i="34"/>
  <c r="U23" i="34"/>
  <c r="J23" i="34"/>
  <c r="F19" i="34"/>
  <c r="H17" i="34"/>
  <c r="U17" i="34"/>
  <c r="F15" i="34"/>
  <c r="J15" i="34"/>
  <c r="H15" i="34"/>
  <c r="AB15" i="34"/>
  <c r="W8" i="34"/>
  <c r="J28" i="34"/>
  <c r="W28" i="34" s="1"/>
  <c r="F41" i="33"/>
  <c r="AA41" i="33"/>
  <c r="S38" i="33"/>
  <c r="E113" i="33"/>
  <c r="F32" i="33"/>
  <c r="AA32" i="33" s="1"/>
  <c r="J19" i="33"/>
  <c r="AC19" i="33" s="1"/>
  <c r="J15" i="33"/>
  <c r="AC15" i="33" s="1"/>
  <c r="F11" i="33"/>
  <c r="U40" i="33"/>
  <c r="W40" i="33"/>
  <c r="F37" i="40"/>
  <c r="AA37" i="40" s="1"/>
  <c r="F36" i="40"/>
  <c r="AA36" i="40"/>
  <c r="H28" i="40"/>
  <c r="U28" i="40" s="1"/>
  <c r="F23" i="40"/>
  <c r="AA23" i="40"/>
  <c r="F17" i="40"/>
  <c r="AA17" i="40" s="1"/>
  <c r="J17" i="40"/>
  <c r="W17" i="40"/>
  <c r="F15" i="40"/>
  <c r="H15" i="40"/>
  <c r="AB15" i="40" s="1"/>
  <c r="AC11" i="40"/>
  <c r="AA12" i="36"/>
  <c r="F29" i="35"/>
  <c r="S29" i="35" s="1"/>
  <c r="H29" i="35"/>
  <c r="AB29" i="35" s="1"/>
  <c r="H33" i="37"/>
  <c r="AB33" i="37" s="1"/>
  <c r="F33" i="37"/>
  <c r="AA33" i="37" s="1"/>
  <c r="S34" i="37"/>
  <c r="AA34" i="37"/>
  <c r="J43" i="34"/>
  <c r="AB42" i="34"/>
  <c r="J40" i="34"/>
  <c r="AC40" i="34" s="1"/>
  <c r="F114" i="34"/>
  <c r="G114" i="34" s="1"/>
  <c r="H114" i="34" s="1"/>
  <c r="I114" i="34" s="1"/>
  <c r="J114" i="34" s="1"/>
  <c r="K114" i="34" s="1"/>
  <c r="L114" i="34" s="1"/>
  <c r="M114" i="34" s="1"/>
  <c r="H38" i="34"/>
  <c r="AB38" i="34"/>
  <c r="J36" i="34"/>
  <c r="W36" i="34"/>
  <c r="H37" i="34"/>
  <c r="U37" i="34" s="1"/>
  <c r="H25" i="34"/>
  <c r="AB25" i="34" s="1"/>
  <c r="J25" i="34"/>
  <c r="AC25" i="34" s="1"/>
  <c r="AB23" i="34"/>
  <c r="F23" i="34"/>
  <c r="AA23" i="34"/>
  <c r="J19" i="34"/>
  <c r="AC19" i="34" s="1"/>
  <c r="F17" i="34"/>
  <c r="AA17" i="34"/>
  <c r="J17" i="34"/>
  <c r="W17" i="34" s="1"/>
  <c r="AB17" i="34"/>
  <c r="AA15" i="34"/>
  <c r="S15" i="34"/>
  <c r="S41" i="33"/>
  <c r="F113" i="33"/>
  <c r="G113" i="33"/>
  <c r="H113" i="33" s="1"/>
  <c r="I113" i="33" s="1"/>
  <c r="J113" i="33" s="1"/>
  <c r="K113" i="33"/>
  <c r="L113" i="33" s="1"/>
  <c r="M113" i="33" s="1"/>
  <c r="H37" i="33"/>
  <c r="AB37" i="33"/>
  <c r="H15" i="33"/>
  <c r="H11" i="33"/>
  <c r="AB11" i="33" s="1"/>
  <c r="F28" i="40"/>
  <c r="AA28" i="40" s="1"/>
  <c r="AA29" i="35"/>
  <c r="AC38" i="34"/>
  <c r="J37" i="34"/>
  <c r="AC37" i="34" s="1"/>
  <c r="J11" i="33"/>
  <c r="W11" i="33" s="1"/>
  <c r="S28" i="34"/>
  <c r="U23" i="40"/>
  <c r="L123" i="21"/>
  <c r="M123" i="21" s="1"/>
  <c r="J42" i="21"/>
  <c r="AC42" i="21" s="1"/>
  <c r="H42" i="21"/>
  <c r="U42" i="21" s="1"/>
  <c r="J44" i="34"/>
  <c r="F44" i="34"/>
  <c r="AA44" i="34"/>
  <c r="J10" i="35"/>
  <c r="AC10" i="35" s="1"/>
  <c r="F14" i="21"/>
  <c r="H28" i="21"/>
  <c r="AB28" i="21"/>
  <c r="AA28" i="21"/>
  <c r="J28" i="21"/>
  <c r="W28" i="21" s="1"/>
  <c r="F30" i="21"/>
  <c r="S30" i="21" s="1"/>
  <c r="J44" i="21"/>
  <c r="H44" i="21"/>
  <c r="U44" i="21"/>
  <c r="F44" i="21"/>
  <c r="AA44" i="21" s="1"/>
  <c r="H46" i="21"/>
  <c r="U46" i="21"/>
  <c r="J46" i="21"/>
  <c r="F46" i="21"/>
  <c r="AA46" i="21"/>
  <c r="E119" i="21"/>
  <c r="F119" i="21" s="1"/>
  <c r="G119" i="21" s="1"/>
  <c r="H119" i="21" s="1"/>
  <c r="I119" i="21" s="1"/>
  <c r="J119" i="21" s="1"/>
  <c r="K119" i="21" s="1"/>
  <c r="L119" i="21" s="1"/>
  <c r="M119" i="21" s="1"/>
  <c r="H28" i="33"/>
  <c r="F28" i="33"/>
  <c r="AA28" i="33" s="1"/>
  <c r="J28" i="33"/>
  <c r="W28" i="33"/>
  <c r="F33" i="35"/>
  <c r="S33" i="35" s="1"/>
  <c r="J33" i="35"/>
  <c r="AC33" i="35" s="1"/>
  <c r="F30" i="35"/>
  <c r="S30" i="35" s="1"/>
  <c r="E89" i="35"/>
  <c r="F89" i="35" s="1"/>
  <c r="G89" i="35" s="1"/>
  <c r="H89" i="35" s="1"/>
  <c r="I89" i="35" s="1"/>
  <c r="J89" i="35" s="1"/>
  <c r="K89" i="35" s="1"/>
  <c r="L89" i="35"/>
  <c r="M89" i="35" s="1"/>
  <c r="H10" i="36"/>
  <c r="AB10" i="36" s="1"/>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s="1"/>
  <c r="J31" i="33"/>
  <c r="W31" i="33"/>
  <c r="H31" i="33"/>
  <c r="U31" i="33" s="1"/>
  <c r="F31" i="33"/>
  <c r="J45" i="33"/>
  <c r="J14" i="34"/>
  <c r="W14" i="34" s="1"/>
  <c r="H14" i="34"/>
  <c r="AB14" i="34" s="1"/>
  <c r="H30" i="34"/>
  <c r="F30" i="34"/>
  <c r="S30" i="34"/>
  <c r="J30" i="34"/>
  <c r="F32" i="34"/>
  <c r="H46" i="34"/>
  <c r="U46" i="34"/>
  <c r="F46" i="34"/>
  <c r="J46" i="34"/>
  <c r="H11" i="35"/>
  <c r="AB11" i="35" s="1"/>
  <c r="J11" i="35"/>
  <c r="F11" i="35"/>
  <c r="S11" i="35" s="1"/>
  <c r="H28" i="36"/>
  <c r="U28" i="36" s="1"/>
  <c r="H32" i="36"/>
  <c r="AB32" i="36" s="1"/>
  <c r="J11" i="36"/>
  <c r="AC11" i="36" s="1"/>
  <c r="H11" i="36"/>
  <c r="U11" i="36" s="1"/>
  <c r="H13" i="36"/>
  <c r="AB13" i="36"/>
  <c r="J13" i="36"/>
  <c r="W13" i="36" s="1"/>
  <c r="F13" i="36"/>
  <c r="S13" i="36" s="1"/>
  <c r="E89" i="37"/>
  <c r="F89" i="37" s="1"/>
  <c r="G89" i="37" s="1"/>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s="1"/>
  <c r="H37" i="37"/>
  <c r="U37" i="37"/>
  <c r="H40" i="37"/>
  <c r="AC40" i="37"/>
  <c r="F40" i="37"/>
  <c r="AA40" i="37" s="1"/>
  <c r="W12" i="40"/>
  <c r="H14" i="33"/>
  <c r="U14" i="33" s="1"/>
  <c r="S14" i="33"/>
  <c r="J14" i="33"/>
  <c r="H30" i="33"/>
  <c r="AB30" i="33" s="1"/>
  <c r="F30" i="33"/>
  <c r="J30" i="33"/>
  <c r="H44" i="33"/>
  <c r="AC44" i="33"/>
  <c r="F44" i="33"/>
  <c r="S44" i="33" s="1"/>
  <c r="J46" i="33"/>
  <c r="AC46" i="33"/>
  <c r="F46" i="33"/>
  <c r="AA46" i="33" s="1"/>
  <c r="H46" i="33"/>
  <c r="AB46" i="33"/>
  <c r="H13" i="34"/>
  <c r="U13" i="34" s="1"/>
  <c r="W13" i="34"/>
  <c r="F13" i="34"/>
  <c r="AA13" i="34" s="1"/>
  <c r="J29" i="34"/>
  <c r="F29" i="34"/>
  <c r="S29" i="34"/>
  <c r="H29" i="34"/>
  <c r="AB29" i="34" s="1"/>
  <c r="H31" i="34"/>
  <c r="U31" i="34" s="1"/>
  <c r="AB31" i="34"/>
  <c r="H45" i="34"/>
  <c r="U45" i="34" s="1"/>
  <c r="J45" i="34"/>
  <c r="W45" i="34"/>
  <c r="F45" i="34"/>
  <c r="S45" i="34" s="1"/>
  <c r="F47" i="34"/>
  <c r="S47" i="34" s="1"/>
  <c r="F13" i="35"/>
  <c r="S13" i="35" s="1"/>
  <c r="J13" i="35"/>
  <c r="AC13" i="35"/>
  <c r="H13" i="35"/>
  <c r="U13" i="35" s="1"/>
  <c r="J25" i="35"/>
  <c r="W25" i="35"/>
  <c r="F25" i="35"/>
  <c r="S25" i="35" s="1"/>
  <c r="H25" i="35"/>
  <c r="AB25" i="35"/>
  <c r="J35" i="35"/>
  <c r="AC35" i="35" s="1"/>
  <c r="AA35" i="35"/>
  <c r="H35" i="35"/>
  <c r="AB35" i="35"/>
  <c r="F25" i="36"/>
  <c r="S25" i="36" s="1"/>
  <c r="H13" i="37"/>
  <c r="AB13" i="37" s="1"/>
  <c r="F13" i="37"/>
  <c r="S13" i="37" s="1"/>
  <c r="F28" i="37"/>
  <c r="J28" i="37"/>
  <c r="AC28" i="37"/>
  <c r="H28" i="37"/>
  <c r="U28" i="37" s="1"/>
  <c r="H38" i="37"/>
  <c r="AB38" i="37"/>
  <c r="J38" i="37"/>
  <c r="F38" i="37"/>
  <c r="S38" i="37"/>
  <c r="F43" i="39"/>
  <c r="H43" i="39"/>
  <c r="J14" i="39"/>
  <c r="AC14" i="39" s="1"/>
  <c r="F14" i="39"/>
  <c r="AA14" i="39" s="1"/>
  <c r="H14" i="39"/>
  <c r="AB14" i="39" s="1"/>
  <c r="F12" i="40"/>
  <c r="S12" i="40" s="1"/>
  <c r="H12" i="40"/>
  <c r="AB12" i="40" s="1"/>
  <c r="H30" i="40"/>
  <c r="AB30" i="40" s="1"/>
  <c r="F33" i="40"/>
  <c r="AA33" i="40" s="1"/>
  <c r="H33" i="40"/>
  <c r="U33" i="40"/>
  <c r="J35" i="40"/>
  <c r="AC35" i="40" s="1"/>
  <c r="J37" i="40"/>
  <c r="AC37" i="40"/>
  <c r="H13" i="40"/>
  <c r="J13" i="40"/>
  <c r="W13" i="40" s="1"/>
  <c r="F13" i="40"/>
  <c r="AA13" i="40" s="1"/>
  <c r="F14" i="37"/>
  <c r="S14" i="37"/>
  <c r="F13" i="39"/>
  <c r="J13" i="39"/>
  <c r="W13" i="39" s="1"/>
  <c r="H13" i="39"/>
  <c r="H14" i="40"/>
  <c r="AB14" i="40"/>
  <c r="J14" i="40"/>
  <c r="W14" i="40" s="1"/>
  <c r="F14" i="40"/>
  <c r="AA14" i="40"/>
  <c r="J14" i="37"/>
  <c r="W14" i="37" s="1"/>
  <c r="AA44" i="33"/>
  <c r="AA13" i="35"/>
  <c r="U46" i="33"/>
  <c r="AA14" i="33"/>
  <c r="J36" i="37"/>
  <c r="AC36" i="37" s="1"/>
  <c r="G105" i="37"/>
  <c r="J10" i="36"/>
  <c r="AC10" i="36" s="1"/>
  <c r="AA14" i="37"/>
  <c r="AC13" i="36"/>
  <c r="AB46" i="34"/>
  <c r="AB31" i="33"/>
  <c r="AC28" i="21"/>
  <c r="S44" i="34"/>
  <c r="BA585" i="3"/>
  <c r="F17" i="21"/>
  <c r="AA17" i="21" s="1"/>
  <c r="H17" i="21"/>
  <c r="AB17" i="21"/>
  <c r="F15" i="21"/>
  <c r="S15" i="21" s="1"/>
  <c r="J41" i="39"/>
  <c r="W41" i="39" s="1"/>
  <c r="AC45" i="39"/>
  <c r="W36" i="39"/>
  <c r="U36" i="39"/>
  <c r="S35" i="39"/>
  <c r="G544" i="3"/>
  <c r="G536" i="3"/>
  <c r="G532" i="3"/>
  <c r="G528" i="3"/>
  <c r="G527" i="3"/>
  <c r="G518" i="3"/>
  <c r="G514" i="3"/>
  <c r="G510" i="3"/>
  <c r="G504" i="3"/>
  <c r="G500" i="3"/>
  <c r="G496" i="3"/>
  <c r="G580" i="3"/>
  <c r="G572" i="3"/>
  <c r="G568" i="3"/>
  <c r="G564" i="3"/>
  <c r="G560" i="3"/>
  <c r="G554" i="3"/>
  <c r="G550" i="3"/>
  <c r="BL568" i="3"/>
  <c r="BL546" i="3"/>
  <c r="BL542" i="3"/>
  <c r="BL538" i="3"/>
  <c r="BL530" i="3"/>
  <c r="BL526" i="3"/>
  <c r="BL522" i="3"/>
  <c r="BL512" i="3"/>
  <c r="BL506" i="3"/>
  <c r="BL502" i="3"/>
  <c r="BL494" i="3"/>
  <c r="BL570" i="3"/>
  <c r="BL566" i="3"/>
  <c r="BL544" i="3"/>
  <c r="BL540" i="3"/>
  <c r="G533" i="3"/>
  <c r="BL532" i="3"/>
  <c r="G529" i="3"/>
  <c r="G525" i="3"/>
  <c r="BL524" i="3"/>
  <c r="BL518" i="3"/>
  <c r="BL510" i="3"/>
  <c r="BL504" i="3"/>
  <c r="BL500" i="3"/>
  <c r="G493" i="3"/>
  <c r="BA582" i="3"/>
  <c r="BA576" i="3"/>
  <c r="BA572" i="3"/>
  <c r="BA570" i="3"/>
  <c r="AZ570" i="3" s="1"/>
  <c r="BA568" i="3"/>
  <c r="BA566" i="3"/>
  <c r="BA560" i="3"/>
  <c r="BA554" i="3"/>
  <c r="BA548" i="3"/>
  <c r="BA546" i="3"/>
  <c r="AZ546" i="3" s="1"/>
  <c r="BA542" i="3"/>
  <c r="AZ542" i="3" s="1"/>
  <c r="BA538" i="3"/>
  <c r="AZ538" i="3" s="1"/>
  <c r="BA534" i="3"/>
  <c r="BA530" i="3"/>
  <c r="BA528" i="3"/>
  <c r="BA526" i="3"/>
  <c r="AZ526" i="3" s="1"/>
  <c r="BA524" i="3"/>
  <c r="BA522" i="3"/>
  <c r="AZ522" i="3" s="1"/>
  <c r="BA520" i="3"/>
  <c r="BA518" i="3"/>
  <c r="AZ518" i="3" s="1"/>
  <c r="BA516" i="3"/>
  <c r="BA514" i="3"/>
  <c r="BA510" i="3"/>
  <c r="AZ510" i="3"/>
  <c r="BA506" i="3"/>
  <c r="BA504" i="3"/>
  <c r="AZ504" i="3" s="1"/>
  <c r="BA500" i="3"/>
  <c r="BA498" i="3"/>
  <c r="BA494" i="3"/>
  <c r="BA587" i="3"/>
  <c r="BA579" i="3"/>
  <c r="BA573" i="3"/>
  <c r="BA571" i="3"/>
  <c r="BA569" i="3"/>
  <c r="BA567" i="3"/>
  <c r="BA559" i="3"/>
  <c r="BA547" i="3"/>
  <c r="BA545" i="3"/>
  <c r="AZ545" i="3" s="1"/>
  <c r="BA543" i="3"/>
  <c r="BA539" i="3"/>
  <c r="BA537" i="3"/>
  <c r="BA535" i="3"/>
  <c r="BA531" i="3"/>
  <c r="BA529" i="3"/>
  <c r="BA527" i="3"/>
  <c r="BA523" i="3"/>
  <c r="BA519" i="3"/>
  <c r="BA517" i="3"/>
  <c r="BA513" i="3"/>
  <c r="BA511" i="3"/>
  <c r="BA507" i="3"/>
  <c r="BA503" i="3"/>
  <c r="BA501" i="3"/>
  <c r="BA499" i="3"/>
  <c r="BA495" i="3"/>
  <c r="BA493" i="3"/>
  <c r="G583" i="3"/>
  <c r="G581" i="3"/>
  <c r="G573" i="3"/>
  <c r="G571" i="3"/>
  <c r="G569" i="3"/>
  <c r="G567" i="3"/>
  <c r="G565" i="3"/>
  <c r="G563" i="3"/>
  <c r="G561" i="3"/>
  <c r="AC557" i="3"/>
  <c r="BQ557" i="3"/>
  <c r="BQ583" i="3"/>
  <c r="BQ581" i="3"/>
  <c r="BQ579" i="3"/>
  <c r="BQ577" i="3"/>
  <c r="BQ575" i="3"/>
  <c r="BQ573" i="3"/>
  <c r="BL573" i="3"/>
  <c r="AZ573" i="3" s="1"/>
  <c r="BQ571" i="3"/>
  <c r="BL571" i="3"/>
  <c r="AZ571" i="3"/>
  <c r="BQ569" i="3"/>
  <c r="BL569" i="3" s="1"/>
  <c r="AZ569" i="3" s="1"/>
  <c r="BQ567" i="3"/>
  <c r="BL567" i="3"/>
  <c r="BQ565" i="3"/>
  <c r="BQ563" i="3"/>
  <c r="BQ561" i="3"/>
  <c r="BQ559" i="3"/>
  <c r="G555" i="3"/>
  <c r="G553" i="3"/>
  <c r="G549" i="3"/>
  <c r="G547" i="3"/>
  <c r="G545" i="3"/>
  <c r="G543" i="3"/>
  <c r="G541" i="3"/>
  <c r="G537" i="3"/>
  <c r="BQ555" i="3"/>
  <c r="BL555" i="3"/>
  <c r="BQ553" i="3"/>
  <c r="BQ551" i="3"/>
  <c r="BL551" i="3"/>
  <c r="BQ549" i="3"/>
  <c r="BQ547" i="3"/>
  <c r="BQ545" i="3"/>
  <c r="BL545" i="3" s="1"/>
  <c r="BQ543" i="3"/>
  <c r="BL543" i="3"/>
  <c r="AZ543" i="3" s="1"/>
  <c r="BQ541" i="3"/>
  <c r="BL541" i="3"/>
  <c r="BQ539" i="3"/>
  <c r="BQ537" i="3"/>
  <c r="BL537" i="3"/>
  <c r="BQ535" i="3"/>
  <c r="BL535" i="3" s="1"/>
  <c r="BQ533" i="3"/>
  <c r="BL533" i="3"/>
  <c r="BQ531" i="3"/>
  <c r="BQ529" i="3"/>
  <c r="BL529" i="3" s="1"/>
  <c r="BQ527" i="3"/>
  <c r="BL527" i="3"/>
  <c r="AZ527" i="3" s="1"/>
  <c r="BQ525" i="3"/>
  <c r="BL525" i="3"/>
  <c r="BQ523" i="3"/>
  <c r="BA521" i="3"/>
  <c r="AC521" i="3"/>
  <c r="G521" i="3"/>
  <c r="BQ521" i="3"/>
  <c r="BL521" i="3"/>
  <c r="AZ521" i="3" s="1"/>
  <c r="G519" i="3"/>
  <c r="G517" i="3"/>
  <c r="G513" i="3"/>
  <c r="G511" i="3"/>
  <c r="BQ519" i="3"/>
  <c r="BQ517" i="3"/>
  <c r="BL517" i="3" s="1"/>
  <c r="BQ515" i="3"/>
  <c r="BL515" i="3" s="1"/>
  <c r="BQ513" i="3"/>
  <c r="BL513" i="3"/>
  <c r="AZ513" i="3" s="1"/>
  <c r="BQ511" i="3"/>
  <c r="BA509" i="3"/>
  <c r="AC509" i="3"/>
  <c r="BQ509" i="3"/>
  <c r="BL509" i="3"/>
  <c r="BL508" i="3"/>
  <c r="G507" i="3"/>
  <c r="G505" i="3"/>
  <c r="G503" i="3"/>
  <c r="G501" i="3"/>
  <c r="G499" i="3"/>
  <c r="G497" i="3"/>
  <c r="G495" i="3"/>
  <c r="BQ507" i="3"/>
  <c r="BQ505" i="3"/>
  <c r="BL505" i="3" s="1"/>
  <c r="BQ503" i="3"/>
  <c r="BL503" i="3"/>
  <c r="AZ503" i="3" s="1"/>
  <c r="BQ501" i="3"/>
  <c r="BL501" i="3"/>
  <c r="BQ499" i="3"/>
  <c r="BL499" i="3" s="1"/>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c r="AA36" i="39"/>
  <c r="F39" i="33"/>
  <c r="E123" i="33"/>
  <c r="F42" i="33"/>
  <c r="AA42" i="33" s="1"/>
  <c r="H28" i="34"/>
  <c r="AB28" i="34" s="1"/>
  <c r="F22" i="36"/>
  <c r="F26" i="36"/>
  <c r="S26" i="36" s="1"/>
  <c r="H27" i="34"/>
  <c r="AB27" i="34" s="1"/>
  <c r="H35" i="34"/>
  <c r="F41" i="34"/>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B28" i="37"/>
  <c r="U33" i="37"/>
  <c r="U39" i="37"/>
  <c r="U26" i="37"/>
  <c r="AB13" i="34"/>
  <c r="AC36" i="34"/>
  <c r="AA13" i="33"/>
  <c r="AC31" i="33"/>
  <c r="W44" i="33"/>
  <c r="U11" i="33"/>
  <c r="U19" i="21"/>
  <c r="U26" i="21"/>
  <c r="AB38" i="21"/>
  <c r="F43" i="33"/>
  <c r="AA43" i="33"/>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J42" i="39"/>
  <c r="AC42" i="39" s="1"/>
  <c r="H21" i="40"/>
  <c r="AB21" i="40" s="1"/>
  <c r="AC12" i="37"/>
  <c r="F94" i="37"/>
  <c r="G94" i="37" s="1"/>
  <c r="H94" i="37" s="1"/>
  <c r="I94" i="37"/>
  <c r="J94" i="37" s="1"/>
  <c r="K94" i="37" s="1"/>
  <c r="L94" i="37" s="1"/>
  <c r="M94" i="37" s="1"/>
  <c r="H31" i="37"/>
  <c r="U31" i="37" s="1"/>
  <c r="G71" i="37"/>
  <c r="J15" i="37"/>
  <c r="W15" i="37" s="1"/>
  <c r="AT6" i="3"/>
  <c r="AA25" i="21"/>
  <c r="H19" i="40"/>
  <c r="U19" i="40" s="1"/>
  <c r="F88" i="40"/>
  <c r="G88" i="40" s="1"/>
  <c r="F19" i="40"/>
  <c r="S19" i="40" s="1"/>
  <c r="S14" i="40"/>
  <c r="AC13" i="40"/>
  <c r="AB33" i="40"/>
  <c r="AC43" i="39"/>
  <c r="W43"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c r="S11" i="39"/>
  <c r="G4" i="4"/>
  <c r="I4" i="4"/>
  <c r="A2" i="9"/>
  <c r="F61" i="43"/>
  <c r="H64" i="43" s="1"/>
  <c r="BL549" i="3"/>
  <c r="AZ49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AZ144" i="3" s="1"/>
  <c r="G145" i="3"/>
  <c r="BA147" i="3"/>
  <c r="AZ147" i="3"/>
  <c r="BL148" i="3"/>
  <c r="AZ148" i="3"/>
  <c r="G149" i="3"/>
  <c r="BA151" i="3"/>
  <c r="AZ151" i="3" s="1"/>
  <c r="BL152" i="3"/>
  <c r="G153" i="3"/>
  <c r="BA155" i="3"/>
  <c r="AZ155" i="3" s="1"/>
  <c r="BL156" i="3"/>
  <c r="AZ156" i="3" s="1"/>
  <c r="G157" i="3"/>
  <c r="BA159" i="3"/>
  <c r="AZ159" i="3"/>
  <c r="BL160" i="3"/>
  <c r="G161" i="3"/>
  <c r="BA163" i="3"/>
  <c r="BL164" i="3"/>
  <c r="AZ164" i="3"/>
  <c r="G165" i="3"/>
  <c r="BA167" i="3"/>
  <c r="AZ167" i="3" s="1"/>
  <c r="BL168" i="3"/>
  <c r="AZ168" i="3" s="1"/>
  <c r="G169" i="3"/>
  <c r="BA171" i="3"/>
  <c r="AZ171" i="3" s="1"/>
  <c r="BL172" i="3"/>
  <c r="AZ172" i="3" s="1"/>
  <c r="G173" i="3"/>
  <c r="BA175" i="3"/>
  <c r="BL176" i="3"/>
  <c r="AZ176" i="3" s="1"/>
  <c r="G177" i="3"/>
  <c r="BA179" i="3"/>
  <c r="AZ179" i="3"/>
  <c r="BL180" i="3"/>
  <c r="AZ180" i="3"/>
  <c r="G181" i="3"/>
  <c r="BA183" i="3"/>
  <c r="AZ183" i="3" s="1"/>
  <c r="BL184" i="3"/>
  <c r="G185" i="3"/>
  <c r="BA187" i="3"/>
  <c r="AZ187" i="3" s="1"/>
  <c r="BL188" i="3"/>
  <c r="AZ188" i="3" s="1"/>
  <c r="G189" i="3"/>
  <c r="BA191" i="3"/>
  <c r="AZ191" i="3"/>
  <c r="BL192" i="3"/>
  <c r="G193" i="3"/>
  <c r="BA195" i="3"/>
  <c r="BL196" i="3"/>
  <c r="AZ196" i="3"/>
  <c r="G197" i="3"/>
  <c r="BA199" i="3"/>
  <c r="AZ199" i="3" s="1"/>
  <c r="BL200" i="3"/>
  <c r="AZ200" i="3" s="1"/>
  <c r="G201" i="3"/>
  <c r="BA203" i="3"/>
  <c r="AZ203" i="3" s="1"/>
  <c r="BL204" i="3"/>
  <c r="AZ204" i="3" s="1"/>
  <c r="AZ39" i="3"/>
  <c r="AZ43" i="3"/>
  <c r="AZ47" i="3"/>
  <c r="AZ51" i="3"/>
  <c r="AZ55" i="3"/>
  <c r="AZ59" i="3"/>
  <c r="AZ63" i="3"/>
  <c r="AZ67" i="3"/>
  <c r="AZ71" i="3"/>
  <c r="AZ75" i="3"/>
  <c r="AZ79" i="3"/>
  <c r="AZ83" i="3"/>
  <c r="AZ152" i="3"/>
  <c r="AZ160" i="3"/>
  <c r="AZ184" i="3"/>
  <c r="AZ192" i="3"/>
  <c r="AZ85"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AZ342" i="3" s="1"/>
  <c r="BL342" i="3"/>
  <c r="BA344" i="3"/>
  <c r="AZ344" i="3" s="1"/>
  <c r="BL344" i="3"/>
  <c r="BA346" i="3"/>
  <c r="AZ346" i="3"/>
  <c r="BA347" i="3"/>
  <c r="AZ347" i="3"/>
  <c r="BL347" i="3"/>
  <c r="G350" i="3"/>
  <c r="BA351" i="3"/>
  <c r="AZ351" i="3"/>
  <c r="BL351" i="3"/>
  <c r="G352" i="3"/>
  <c r="G354" i="3"/>
  <c r="BA355" i="3"/>
  <c r="AZ355" i="3" s="1"/>
  <c r="BA356" i="3"/>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70" i="3"/>
  <c r="AZ174" i="3"/>
  <c r="AZ178" i="3"/>
  <c r="AZ182" i="3"/>
  <c r="AZ190"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AZ388" i="3" s="1"/>
  <c r="G389" i="3"/>
  <c r="BA391" i="3"/>
  <c r="AZ391" i="3" s="1"/>
  <c r="BL392" i="3"/>
  <c r="AZ392" i="3" s="1"/>
  <c r="G393" i="3"/>
  <c r="AZ263" i="3"/>
  <c r="AZ275" i="3"/>
  <c r="AZ295" i="3"/>
  <c r="AZ299" i="3"/>
  <c r="BJ5" i="3"/>
  <c r="AZ309" i="3"/>
  <c r="AZ317" i="3"/>
  <c r="AZ333" i="3"/>
  <c r="AZ341" i="3"/>
  <c r="AZ506" i="3"/>
  <c r="G548" i="3"/>
  <c r="G538" i="3"/>
  <c r="G520" i="3"/>
  <c r="G502" i="3"/>
  <c r="BN5" i="3"/>
  <c r="BG5" i="3"/>
  <c r="G17" i="3"/>
  <c r="BA17" i="3"/>
  <c r="AZ350" i="3"/>
  <c r="AZ356" i="3"/>
  <c r="AZ368" i="3"/>
  <c r="BA15" i="3"/>
  <c r="AZ15" i="3" s="1"/>
  <c r="AZ380" i="3"/>
  <c r="AZ396" i="3"/>
  <c r="AZ509" i="3"/>
  <c r="G509" i="3"/>
  <c r="BL493" i="3"/>
  <c r="AZ491" i="3"/>
  <c r="AZ390" i="3"/>
  <c r="AZ493" i="3"/>
  <c r="U36" i="40"/>
  <c r="F83" i="43"/>
  <c r="H85" i="43" s="1"/>
  <c r="F50" i="43"/>
  <c r="H54" i="43" s="1"/>
  <c r="F72" i="43"/>
  <c r="H75" i="43" s="1"/>
  <c r="U17" i="39"/>
  <c r="S14" i="35"/>
  <c r="U35" i="21"/>
  <c r="G10" i="1"/>
  <c r="AC11" i="39"/>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s="1"/>
  <c r="J20" i="36"/>
  <c r="W20" i="36" s="1"/>
  <c r="J27" i="36"/>
  <c r="W27" i="36" s="1"/>
  <c r="AC33" i="40"/>
  <c r="F111" i="40"/>
  <c r="G111" i="40" s="1"/>
  <c r="H111" i="40" s="1"/>
  <c r="I111" i="40"/>
  <c r="J111" i="40" s="1"/>
  <c r="K111" i="40" s="1"/>
  <c r="L111" i="40" s="1"/>
  <c r="M111" i="40"/>
  <c r="H35" i="40"/>
  <c r="AB35" i="40" s="1"/>
  <c r="AC29" i="35"/>
  <c r="W29" i="35"/>
  <c r="H35" i="37"/>
  <c r="U35" i="37" s="1"/>
  <c r="AC14" i="35"/>
  <c r="H20" i="35"/>
  <c r="F20" i="35"/>
  <c r="AA20" i="35" s="1"/>
  <c r="AB29" i="36"/>
  <c r="U29" i="36"/>
  <c r="H32" i="37"/>
  <c r="AB32" i="37"/>
  <c r="F96" i="37"/>
  <c r="H27" i="40"/>
  <c r="U27" i="40" s="1"/>
  <c r="J27" i="40"/>
  <c r="AC27" i="40" s="1"/>
  <c r="F27" i="40"/>
  <c r="S27" i="40" s="1"/>
  <c r="J30" i="40"/>
  <c r="F30" i="40"/>
  <c r="AA30" i="40" s="1"/>
  <c r="AC21" i="40"/>
  <c r="S31" i="39"/>
  <c r="S11" i="40"/>
  <c r="E98" i="40"/>
  <c r="F98" i="40"/>
  <c r="G98" i="40" s="1"/>
  <c r="H98" i="40" s="1"/>
  <c r="I98" i="40" s="1"/>
  <c r="J98" i="40"/>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50" i="3"/>
  <c r="AZ58" i="3"/>
  <c r="AZ61" i="3"/>
  <c r="AZ66" i="3"/>
  <c r="AZ69" i="3"/>
  <c r="AZ72" i="3"/>
  <c r="AZ74" i="3"/>
  <c r="AZ77" i="3"/>
  <c r="AZ82" i="3"/>
  <c r="AZ86" i="3"/>
  <c r="AZ94"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c r="H23" i="39"/>
  <c r="U23" i="39" s="1"/>
  <c r="D48" i="9"/>
  <c r="M52" i="9" s="1"/>
  <c r="K9" i="1"/>
  <c r="M9" i="1" s="1"/>
  <c r="D93" i="9"/>
  <c r="W27" i="34"/>
  <c r="AC27" i="34"/>
  <c r="AB34" i="36"/>
  <c r="U34" i="36"/>
  <c r="AB33" i="36"/>
  <c r="U33" i="36"/>
  <c r="AC12" i="39"/>
  <c r="W12" i="39"/>
  <c r="AC39" i="40"/>
  <c r="W39" i="40"/>
  <c r="AZ401" i="3"/>
  <c r="AZ417" i="3"/>
  <c r="AZ428" i="3"/>
  <c r="AZ465" i="3"/>
  <c r="W12" i="33"/>
  <c r="AC12" i="33"/>
  <c r="AZ408" i="3"/>
  <c r="AZ437" i="3"/>
  <c r="AZ441" i="3"/>
  <c r="AZ457" i="3"/>
  <c r="AZ473" i="3"/>
  <c r="AZ490" i="3"/>
  <c r="AA39" i="34"/>
  <c r="BL14" i="3"/>
  <c r="AZ14" i="3" s="1"/>
  <c r="AZ266" i="3"/>
  <c r="U30" i="33"/>
  <c r="AC13" i="34"/>
  <c r="AA47" i="34"/>
  <c r="W28" i="37"/>
  <c r="S19" i="39"/>
  <c r="F12" i="33"/>
  <c r="H12" i="39"/>
  <c r="F39" i="40"/>
  <c r="BA14" i="3"/>
  <c r="AZ367" i="3"/>
  <c r="AZ213" i="3"/>
  <c r="AZ224" i="3"/>
  <c r="AZ234" i="3"/>
  <c r="AZ238" i="3"/>
  <c r="AZ250" i="3"/>
  <c r="AZ254" i="3"/>
  <c r="AZ286" i="3"/>
  <c r="AZ297" i="3"/>
  <c r="AZ149" i="3"/>
  <c r="AZ157" i="3"/>
  <c r="AZ165" i="3"/>
  <c r="AZ173" i="3"/>
  <c r="AZ197" i="3"/>
  <c r="AZ26" i="3"/>
  <c r="AZ41" i="3"/>
  <c r="B12" i="1"/>
  <c r="E12" i="1" s="1"/>
  <c r="B10" i="1"/>
  <c r="E10" i="1" s="1"/>
  <c r="AZ80" i="3"/>
  <c r="AZ84" i="3"/>
  <c r="AZ88" i="3"/>
  <c r="AZ107" i="3"/>
  <c r="AZ111" i="3"/>
  <c r="K12" i="1"/>
  <c r="M12" i="1" s="1"/>
  <c r="S13" i="1"/>
  <c r="AR13" i="1" s="1"/>
  <c r="R13" i="1"/>
  <c r="J51" i="67"/>
  <c r="C42" i="1"/>
  <c r="AC34" i="33"/>
  <c r="AA34" i="33"/>
  <c r="B41" i="1"/>
  <c r="AB37" i="40"/>
  <c r="S35" i="40"/>
  <c r="U35" i="40"/>
  <c r="AC36" i="40"/>
  <c r="AA32" i="40"/>
  <c r="S17" i="40"/>
  <c r="S23" i="40"/>
  <c r="AC17" i="40"/>
  <c r="AC15" i="40"/>
  <c r="S30" i="40"/>
  <c r="AA19" i="40"/>
  <c r="S28" i="40"/>
  <c r="U21" i="40"/>
  <c r="AB19" i="40"/>
  <c r="U37" i="39"/>
  <c r="S37" i="39"/>
  <c r="U35" i="39"/>
  <c r="F32" i="39"/>
  <c r="U25" i="39"/>
  <c r="AB27" i="39"/>
  <c r="U31" i="39"/>
  <c r="J21" i="39"/>
  <c r="W21" i="39" s="1"/>
  <c r="F21" i="39"/>
  <c r="S21" i="39" s="1"/>
  <c r="G94" i="39"/>
  <c r="H21" i="39"/>
  <c r="W19" i="39"/>
  <c r="U19" i="39"/>
  <c r="S17" i="39"/>
  <c r="S15" i="39"/>
  <c r="S9" i="39"/>
  <c r="U14" i="39"/>
  <c r="AC13" i="39"/>
  <c r="U13" i="36"/>
  <c r="S33" i="36"/>
  <c r="AA34" i="36"/>
  <c r="U22" i="36"/>
  <c r="S16" i="36"/>
  <c r="U23"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S26" i="37"/>
  <c r="AC29" i="37"/>
  <c r="AB31" i="37"/>
  <c r="W30" i="37"/>
  <c r="S36" i="37"/>
  <c r="AA38" i="37"/>
  <c r="U32" i="37"/>
  <c r="AC35" i="37"/>
  <c r="W39" i="37"/>
  <c r="S30" i="37"/>
  <c r="S37" i="37"/>
  <c r="AC15" i="37"/>
  <c r="J17" i="37"/>
  <c r="F17" i="37"/>
  <c r="AA17" i="37"/>
  <c r="AB17" i="37"/>
  <c r="F75" i="37"/>
  <c r="F19" i="37"/>
  <c r="F79" i="37"/>
  <c r="G79" i="37" s="1"/>
  <c r="F23" i="37"/>
  <c r="S23" i="37"/>
  <c r="U23" i="37"/>
  <c r="U15" i="37"/>
  <c r="AC13" i="37"/>
  <c r="AA13" i="37"/>
  <c r="H10" i="37"/>
  <c r="AB10" i="37" s="1"/>
  <c r="F63" i="37"/>
  <c r="F11" i="37"/>
  <c r="S11" i="37" s="1"/>
  <c r="S27" i="34"/>
  <c r="W25" i="34"/>
  <c r="AB8" i="34"/>
  <c r="AA33" i="34"/>
  <c r="U44" i="34"/>
  <c r="U43" i="34"/>
  <c r="AC39" i="34"/>
  <c r="W41" i="34"/>
  <c r="AC42" i="34"/>
  <c r="U39" i="34"/>
  <c r="S43" i="34"/>
  <c r="AB41" i="34"/>
  <c r="AA45" i="34"/>
  <c r="AA25" i="34"/>
  <c r="U28" i="34"/>
  <c r="S17" i="34"/>
  <c r="AA29" i="34"/>
  <c r="U27" i="34"/>
  <c r="S23" i="34"/>
  <c r="U15" i="34"/>
  <c r="S13" i="34"/>
  <c r="H10" i="34"/>
  <c r="AB10" i="34" s="1"/>
  <c r="F11" i="34"/>
  <c r="S11" i="34" s="1"/>
  <c r="F70" i="34"/>
  <c r="W42" i="33"/>
  <c r="AA35" i="33"/>
  <c r="W38" i="33"/>
  <c r="H41" i="33"/>
  <c r="F121" i="33"/>
  <c r="G121" i="33"/>
  <c r="H121" i="33" s="1"/>
  <c r="I121" i="33" s="1"/>
  <c r="J121" i="33" s="1"/>
  <c r="K121" i="33" s="1"/>
  <c r="L121" i="33" s="1"/>
  <c r="M121" i="33" s="1"/>
  <c r="F36" i="33"/>
  <c r="AA36" i="33" s="1"/>
  <c r="G111" i="33"/>
  <c r="G108" i="33"/>
  <c r="H108" i="33"/>
  <c r="I108" i="33" s="1"/>
  <c r="J108" i="33" s="1"/>
  <c r="K108" i="33" s="1"/>
  <c r="L108" i="33"/>
  <c r="M108" i="33" s="1"/>
  <c r="J35" i="33"/>
  <c r="S37" i="33"/>
  <c r="AA37" i="33"/>
  <c r="F101" i="33"/>
  <c r="G101" i="33" s="1"/>
  <c r="H101" i="33" s="1"/>
  <c r="I101" i="33" s="1"/>
  <c r="J101" i="33" s="1"/>
  <c r="K101" i="33" s="1"/>
  <c r="L101" i="33" s="1"/>
  <c r="M101" i="33" s="1"/>
  <c r="J32" i="33"/>
  <c r="W32" i="33" s="1"/>
  <c r="S46" i="33"/>
  <c r="W43" i="33"/>
  <c r="S43" i="33"/>
  <c r="H27" i="33"/>
  <c r="U27" i="33" s="1"/>
  <c r="F87" i="33"/>
  <c r="G87" i="33" s="1"/>
  <c r="H25" i="33"/>
  <c r="F25" i="33"/>
  <c r="J23" i="33"/>
  <c r="W23" i="33" s="1"/>
  <c r="F85" i="33"/>
  <c r="G85" i="33" s="1"/>
  <c r="H23" i="33"/>
  <c r="AB23" i="33" s="1"/>
  <c r="F81" i="33"/>
  <c r="F19" i="33"/>
  <c r="S19" i="33" s="1"/>
  <c r="J17" i="33"/>
  <c r="AC17" i="33" s="1"/>
  <c r="S15" i="33"/>
  <c r="J10" i="33"/>
  <c r="W10" i="33" s="1"/>
  <c r="H10" i="33"/>
  <c r="U10" i="33" s="1"/>
  <c r="AC11" i="33"/>
  <c r="AB14" i="33"/>
  <c r="W43" i="21"/>
  <c r="W36" i="21"/>
  <c r="W41" i="21"/>
  <c r="AB39" i="21"/>
  <c r="S39" i="21"/>
  <c r="AA38" i="21"/>
  <c r="J15" i="21"/>
  <c r="W15" i="21" s="1"/>
  <c r="F23" i="21"/>
  <c r="E85" i="21"/>
  <c r="D120" i="9"/>
  <c r="D121" i="9" s="1"/>
  <c r="D7" i="52" s="1"/>
  <c r="C18" i="9"/>
  <c r="D18" i="9"/>
  <c r="F34" i="67"/>
  <c r="F62" i="67" s="1"/>
  <c r="M20" i="67"/>
  <c r="F34" i="15"/>
  <c r="F62" i="15" s="1"/>
  <c r="BA13" i="3"/>
  <c r="BL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U11" i="40"/>
  <c r="S31" i="40"/>
  <c r="U15" i="40"/>
  <c r="AB17" i="40"/>
  <c r="U8" i="40"/>
  <c r="AA39" i="39"/>
  <c r="AC41" i="39"/>
  <c r="U42" i="39"/>
  <c r="U41" i="39"/>
  <c r="W25" i="39"/>
  <c r="AC25" i="39"/>
  <c r="U13" i="39"/>
  <c r="AB13" i="39"/>
  <c r="AA13" i="39"/>
  <c r="S13" i="39"/>
  <c r="S14" i="39"/>
  <c r="U43" i="39"/>
  <c r="AB43" i="39"/>
  <c r="AB11" i="39"/>
  <c r="U11" i="39"/>
  <c r="AA27" i="39"/>
  <c r="S27" i="39"/>
  <c r="W17" i="39"/>
  <c r="AC17" i="39"/>
  <c r="W31" i="39"/>
  <c r="AC31" i="39"/>
  <c r="S23" i="39"/>
  <c r="AB39" i="39"/>
  <c r="W34" i="39"/>
  <c r="U38" i="39"/>
  <c r="S8" i="39"/>
  <c r="S20" i="36"/>
  <c r="U32" i="36"/>
  <c r="W29" i="36"/>
  <c r="AA13" i="36"/>
  <c r="W9" i="36"/>
  <c r="W22" i="36"/>
  <c r="S9" i="36"/>
  <c r="AC25" i="35"/>
  <c r="U25" i="35"/>
  <c r="S24" i="35"/>
  <c r="U24" i="35"/>
  <c r="S35" i="35"/>
  <c r="W35" i="35"/>
  <c r="AA16" i="35"/>
  <c r="AA35" i="37"/>
  <c r="W32" i="37"/>
  <c r="U36" i="37"/>
  <c r="S40" i="37"/>
  <c r="U38" i="37"/>
  <c r="AB37" i="37"/>
  <c r="AC34" i="37"/>
  <c r="AB35" i="37"/>
  <c r="AA31" i="37"/>
  <c r="U19" i="37"/>
  <c r="AA29" i="37"/>
  <c r="U8" i="37"/>
  <c r="AA40" i="34"/>
  <c r="AB40" i="34"/>
  <c r="U19" i="34"/>
  <c r="W19" i="34"/>
  <c r="AB33" i="34"/>
  <c r="AC45" i="34"/>
  <c r="AA30" i="34"/>
  <c r="AB45" i="34"/>
  <c r="U25" i="34"/>
  <c r="AB36" i="34"/>
  <c r="W33" i="34"/>
  <c r="AC14" i="34"/>
  <c r="AC29" i="34"/>
  <c r="W29" i="34"/>
  <c r="W46" i="34"/>
  <c r="AC46" i="34"/>
  <c r="S32" i="34"/>
  <c r="AA32" i="34"/>
  <c r="U30" i="34"/>
  <c r="AB30" i="34"/>
  <c r="S37" i="34"/>
  <c r="U38" i="34"/>
  <c r="W40" i="34"/>
  <c r="AA19" i="34"/>
  <c r="S19" i="34"/>
  <c r="AA36" i="34"/>
  <c r="S36" i="34"/>
  <c r="AA8" i="34"/>
  <c r="S8" i="34"/>
  <c r="AB9" i="34"/>
  <c r="U9" i="34"/>
  <c r="S46" i="34"/>
  <c r="AA46" i="34"/>
  <c r="U14" i="34"/>
  <c r="AC43" i="34"/>
  <c r="W43" i="34"/>
  <c r="W23" i="34"/>
  <c r="AC23" i="34"/>
  <c r="AC35" i="34"/>
  <c r="W35" i="34"/>
  <c r="U12" i="34"/>
  <c r="AB12" i="34"/>
  <c r="AC37" i="33"/>
  <c r="W46" i="33"/>
  <c r="AB34" i="33"/>
  <c r="U44" i="33"/>
  <c r="AB44" i="33"/>
  <c r="S30" i="33"/>
  <c r="AA30" i="33"/>
  <c r="AC14" i="33"/>
  <c r="W14" i="33"/>
  <c r="AC30" i="33"/>
  <c r="W30" i="33"/>
  <c r="S31" i="33"/>
  <c r="AA31" i="33"/>
  <c r="W13" i="33"/>
  <c r="AC13" i="33"/>
  <c r="U37" i="33"/>
  <c r="AC28" i="33"/>
  <c r="S28" i="33"/>
  <c r="S44" i="21"/>
  <c r="AB42" i="21"/>
  <c r="U28" i="21"/>
  <c r="S45" i="21"/>
  <c r="I101" i="21"/>
  <c r="J101" i="21" s="1"/>
  <c r="K101" i="21" s="1"/>
  <c r="L101" i="21"/>
  <c r="M101" i="21" s="1"/>
  <c r="F33" i="21"/>
  <c r="AA33" i="21" s="1"/>
  <c r="J33" i="21"/>
  <c r="AC33" i="21" s="1"/>
  <c r="H33" i="21"/>
  <c r="AB33" i="21" s="1"/>
  <c r="F37" i="21"/>
  <c r="AA37" i="21" s="1"/>
  <c r="AA26" i="21"/>
  <c r="AB46" i="21"/>
  <c r="AB31" i="21"/>
  <c r="U31" i="21"/>
  <c r="AC15" i="21"/>
  <c r="U13" i="21"/>
  <c r="AB13" i="21"/>
  <c r="J37" i="21"/>
  <c r="W37" i="21" s="1"/>
  <c r="H15" i="21"/>
  <c r="U15" i="21" s="1"/>
  <c r="J17" i="21"/>
  <c r="AC17" i="21" s="1"/>
  <c r="AC19" i="21"/>
  <c r="W39" i="21"/>
  <c r="S46" i="21"/>
  <c r="H45" i="21"/>
  <c r="U45" i="21"/>
  <c r="F29" i="2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19" i="39"/>
  <c r="C15" i="40"/>
  <c r="C17" i="40"/>
  <c r="C23" i="40"/>
  <c r="C21" i="40"/>
  <c r="U30" i="40"/>
  <c r="B51" i="43"/>
  <c r="B54" i="43"/>
  <c r="B58" i="43"/>
  <c r="B62" i="43"/>
  <c r="B65" i="43"/>
  <c r="B69" i="43"/>
  <c r="D23" i="15"/>
  <c r="D22" i="15"/>
  <c r="E4" i="4"/>
  <c r="B5" i="62" s="1"/>
  <c r="B73" i="72" s="1"/>
  <c r="C4" i="4"/>
  <c r="F28" i="67"/>
  <c r="C28" i="67" s="1"/>
  <c r="F31" i="12"/>
  <c r="F32" i="67"/>
  <c r="F60" i="67" s="1"/>
  <c r="F30" i="69"/>
  <c r="F48" i="69" s="1"/>
  <c r="F28" i="15"/>
  <c r="AA39" i="40"/>
  <c r="S39" i="40"/>
  <c r="S12" i="33"/>
  <c r="AA12" i="33"/>
  <c r="D68" i="9"/>
  <c r="J32" i="39"/>
  <c r="H32" i="39"/>
  <c r="AB32" i="39" s="1"/>
  <c r="AA32" i="39"/>
  <c r="S32" i="39"/>
  <c r="AB21" i="39"/>
  <c r="U21" i="39"/>
  <c r="AA21" i="39"/>
  <c r="S17" i="37"/>
  <c r="J19" i="37"/>
  <c r="W19" i="37" s="1"/>
  <c r="G75" i="37"/>
  <c r="S19" i="37"/>
  <c r="AA19" i="37"/>
  <c r="AA23" i="37"/>
  <c r="J23" i="37"/>
  <c r="J10" i="37"/>
  <c r="W10" i="37" s="1"/>
  <c r="G63" i="37"/>
  <c r="H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J27" i="33"/>
  <c r="AC27" i="33" s="1"/>
  <c r="U25" i="33"/>
  <c r="AB25" i="33"/>
  <c r="S25" i="33"/>
  <c r="AA25" i="33"/>
  <c r="H87" i="33"/>
  <c r="I87" i="33" s="1"/>
  <c r="J87" i="33" s="1"/>
  <c r="K87" i="33" s="1"/>
  <c r="L87" i="33" s="1"/>
  <c r="M87" i="33" s="1"/>
  <c r="J25" i="33"/>
  <c r="F23" i="33"/>
  <c r="S23" i="33" s="1"/>
  <c r="H19" i="33"/>
  <c r="U19" i="33" s="1"/>
  <c r="G81" i="33"/>
  <c r="H17" i="33"/>
  <c r="AB17" i="33" s="1"/>
  <c r="F17" i="33"/>
  <c r="S17" i="33" s="1"/>
  <c r="S37" i="21"/>
  <c r="AB15" i="21"/>
  <c r="J23" i="21"/>
  <c r="AC23" i="21" s="1"/>
  <c r="F85" i="21"/>
  <c r="G85" i="21" s="1"/>
  <c r="H23" i="21"/>
  <c r="S13" i="21"/>
  <c r="AP7" i="1"/>
  <c r="AB45" i="21"/>
  <c r="AB9" i="21"/>
  <c r="U9" i="21"/>
  <c r="AA32" i="21"/>
  <c r="S32" i="21"/>
  <c r="AB32" i="21"/>
  <c r="U32" i="21"/>
  <c r="U32" i="39"/>
  <c r="AC32" i="39"/>
  <c r="W32" i="39"/>
  <c r="AC19" i="37"/>
  <c r="W23" i="37"/>
  <c r="AC23" i="37"/>
  <c r="I63" i="37"/>
  <c r="J63" i="37"/>
  <c r="K63" i="37" s="1"/>
  <c r="L63" i="37" s="1"/>
  <c r="M63" i="37" s="1"/>
  <c r="J11" i="37"/>
  <c r="AC11" i="37" s="1"/>
  <c r="H70" i="34"/>
  <c r="I70" i="34" s="1"/>
  <c r="J70" i="34" s="1"/>
  <c r="K70" i="34" s="1"/>
  <c r="L70" i="34" s="1"/>
  <c r="M70" i="34" s="1"/>
  <c r="J11" i="34"/>
  <c r="W11" i="34" s="1"/>
  <c r="W25" i="33"/>
  <c r="AC25" i="33"/>
  <c r="U23" i="21"/>
  <c r="AB23" i="21"/>
  <c r="H109" i="9"/>
  <c r="H112" i="9"/>
  <c r="D21" i="53" s="1"/>
  <c r="B39" i="72" s="1"/>
  <c r="H111" i="9"/>
  <c r="AD3" i="71"/>
  <c r="J1" i="73"/>
  <c r="H69" i="43"/>
  <c r="H50" i="43"/>
  <c r="C22" i="71"/>
  <c r="C21" i="71" s="1"/>
  <c r="C20" i="71" s="1"/>
  <c r="C19"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V20" i="71"/>
  <c r="D20" i="71"/>
  <c r="F26" i="67"/>
  <c r="M22" i="15"/>
  <c r="F42" i="15"/>
  <c r="F36" i="15"/>
  <c r="M6" i="15"/>
  <c r="B7" i="76"/>
  <c r="M29" i="67"/>
  <c r="D34" i="9"/>
  <c r="E2" i="68"/>
  <c r="E10" i="76"/>
  <c r="F40" i="15"/>
  <c r="F9" i="15"/>
  <c r="M22" i="67"/>
  <c r="M23" i="15"/>
  <c r="F13" i="67"/>
  <c r="B10" i="76"/>
  <c r="D20" i="9"/>
  <c r="C20" i="9"/>
  <c r="B13" i="76"/>
  <c r="F3" i="73"/>
  <c r="M26" i="15"/>
  <c r="L47" i="15"/>
  <c r="F16" i="15"/>
  <c r="M24" i="15"/>
  <c r="B8" i="76"/>
  <c r="M9" i="15"/>
  <c r="E2" i="69"/>
  <c r="D35" i="9"/>
  <c r="E13" i="76"/>
  <c r="F6" i="67"/>
  <c r="F26" i="15"/>
  <c r="F5" i="73"/>
  <c r="J15" i="15"/>
  <c r="F7" i="73"/>
  <c r="F6" i="15"/>
  <c r="F43" i="67"/>
  <c r="B11" i="76"/>
  <c r="M28" i="67"/>
  <c r="F38" i="15"/>
  <c r="M8" i="15"/>
  <c r="E11" i="76"/>
  <c r="E7" i="76"/>
  <c r="F43" i="15"/>
  <c r="M29" i="15"/>
  <c r="D19" i="9"/>
  <c r="C76" i="15"/>
  <c r="M26" i="67"/>
  <c r="F4" i="73"/>
  <c r="B9" i="76"/>
  <c r="F6" i="73"/>
  <c r="M28" i="15"/>
  <c r="F8" i="15"/>
  <c r="F37" i="15"/>
  <c r="F40" i="67"/>
  <c r="B12" i="76"/>
  <c r="AO13" i="1"/>
  <c r="F7" i="15"/>
  <c r="F13" i="15"/>
  <c r="F42" i="67"/>
  <c r="D6" i="73"/>
  <c r="E8" i="76"/>
  <c r="D4" i="73"/>
  <c r="E9" i="76"/>
  <c r="E12" i="76"/>
  <c r="F20" i="31"/>
  <c r="F16" i="67"/>
  <c r="C19" i="9"/>
  <c r="AB19" i="33" l="1"/>
  <c r="AC23" i="33"/>
  <c r="U23" i="33"/>
  <c r="AB21" i="33"/>
  <c r="AC21" i="33"/>
  <c r="W19" i="33"/>
  <c r="AA19" i="33"/>
  <c r="W15" i="33"/>
  <c r="G41" i="69"/>
  <c r="G41" i="84"/>
  <c r="G22" i="84"/>
  <c r="B72" i="43"/>
  <c r="U42" i="33"/>
  <c r="S42" i="33"/>
  <c r="B7" i="1"/>
  <c r="E7" i="1" s="1"/>
  <c r="G1" i="84"/>
  <c r="C24" i="12"/>
  <c r="C30" i="84"/>
  <c r="C48" i="84"/>
  <c r="M24" i="85"/>
  <c r="P26" i="85"/>
  <c r="P28" i="85"/>
  <c r="P29" i="85"/>
  <c r="P25" i="85"/>
  <c r="C23" i="85"/>
  <c r="O23" i="85"/>
  <c r="P27" i="85"/>
  <c r="F7" i="1"/>
  <c r="I5" i="81"/>
  <c r="F12" i="1"/>
  <c r="G12" i="1" s="1"/>
  <c r="I5" i="82"/>
  <c r="G44" i="85"/>
  <c r="C44" i="85" s="1"/>
  <c r="U33" i="33"/>
  <c r="S33" i="33"/>
  <c r="G13" i="3"/>
  <c r="M7" i="1"/>
  <c r="O7" i="1" s="1"/>
  <c r="P7" i="1" s="1"/>
  <c r="B61" i="43"/>
  <c r="S32" i="33"/>
  <c r="AC32" i="33"/>
  <c r="U32" i="33"/>
  <c r="S27" i="33"/>
  <c r="W8" i="33"/>
  <c r="B57" i="43"/>
  <c r="B100" i="43"/>
  <c r="B100" i="85"/>
  <c r="B68" i="85"/>
  <c r="B77" i="85"/>
  <c r="B57" i="85"/>
  <c r="B99" i="85"/>
  <c r="B67" i="85"/>
  <c r="B56" i="85"/>
  <c r="B76" i="85"/>
  <c r="B101" i="43"/>
  <c r="B101" i="85"/>
  <c r="B79" i="85"/>
  <c r="B58" i="85"/>
  <c r="B69" i="85"/>
  <c r="B79" i="43"/>
  <c r="B94" i="85"/>
  <c r="B62" i="85"/>
  <c r="B51" i="85"/>
  <c r="B73" i="85"/>
  <c r="J26" i="36"/>
  <c r="W26" i="36" s="1"/>
  <c r="H14" i="36"/>
  <c r="F14" i="36"/>
  <c r="AA14" i="36" s="1"/>
  <c r="J14" i="36"/>
  <c r="AC14" i="36" s="1"/>
  <c r="AB28" i="36"/>
  <c r="U26" i="36"/>
  <c r="AA26" i="36"/>
  <c r="S18" i="36"/>
  <c r="AC20" i="36"/>
  <c r="AB20" i="36"/>
  <c r="W18" i="36"/>
  <c r="W17" i="33"/>
  <c r="AA17" i="33"/>
  <c r="U17" i="33"/>
  <c r="W14" i="36"/>
  <c r="W27" i="33"/>
  <c r="AB27" i="33"/>
  <c r="S36" i="33"/>
  <c r="W29" i="33"/>
  <c r="C21" i="68"/>
  <c r="C40" i="69"/>
  <c r="G6" i="1"/>
  <c r="I24" i="43"/>
  <c r="C24" i="43" s="1"/>
  <c r="S32" i="37"/>
  <c r="AB20" i="35"/>
  <c r="U20" i="35"/>
  <c r="AZ357" i="3"/>
  <c r="AB35" i="34"/>
  <c r="U35" i="34"/>
  <c r="AZ499" i="3"/>
  <c r="AZ535" i="3"/>
  <c r="W38" i="37"/>
  <c r="AC38" i="37"/>
  <c r="AC30" i="34"/>
  <c r="W30" i="34"/>
  <c r="AC44" i="21"/>
  <c r="W44" i="21"/>
  <c r="AC40" i="21"/>
  <c r="W40" i="21"/>
  <c r="S34" i="21"/>
  <c r="AA34" i="21"/>
  <c r="U40" i="40"/>
  <c r="AB40" i="40"/>
  <c r="U31" i="35"/>
  <c r="AB31" i="35"/>
  <c r="U30" i="36"/>
  <c r="AB30" i="36"/>
  <c r="BL584" i="3"/>
  <c r="BA584" i="3"/>
  <c r="AZ584" i="3" s="1"/>
  <c r="BL582" i="3"/>
  <c r="AZ582" i="3" s="1"/>
  <c r="BL581" i="3"/>
  <c r="BA581" i="3"/>
  <c r="AZ581" i="3" s="1"/>
  <c r="BL580" i="3"/>
  <c r="BA580" i="3"/>
  <c r="BL579" i="3"/>
  <c r="BL578" i="3"/>
  <c r="BA578" i="3"/>
  <c r="AZ578" i="3" s="1"/>
  <c r="BL577" i="3"/>
  <c r="BA577" i="3"/>
  <c r="AZ577" i="3" s="1"/>
  <c r="BL576" i="3"/>
  <c r="BL575" i="3"/>
  <c r="BA575" i="3"/>
  <c r="BL574" i="3"/>
  <c r="BA574" i="3"/>
  <c r="AZ574" i="3" s="1"/>
  <c r="BA565" i="3"/>
  <c r="AZ565" i="3" s="1"/>
  <c r="BL564" i="3"/>
  <c r="BA564" i="3"/>
  <c r="BL563" i="3"/>
  <c r="BA563" i="3"/>
  <c r="BL562" i="3"/>
  <c r="BA562" i="3"/>
  <c r="BL561" i="3"/>
  <c r="BA561" i="3"/>
  <c r="BL560" i="3"/>
  <c r="BL559" i="3"/>
  <c r="G559" i="3"/>
  <c r="AC5" i="3"/>
  <c r="BR5" i="3"/>
  <c r="BL558" i="3"/>
  <c r="BA558" i="3"/>
  <c r="AZ558" i="3" s="1"/>
  <c r="BL557" i="3"/>
  <c r="BI5" i="3"/>
  <c r="BA557" i="3"/>
  <c r="BE5" i="3"/>
  <c r="BL556" i="3"/>
  <c r="BM5" i="3"/>
  <c r="BH5" i="3"/>
  <c r="BA556" i="3"/>
  <c r="AZ556" i="3" s="1"/>
  <c r="BD5" i="3"/>
  <c r="BA555" i="3"/>
  <c r="AZ555" i="3" s="1"/>
  <c r="BP5" i="3"/>
  <c r="BK5" i="3"/>
  <c r="BC5" i="3"/>
  <c r="BT5" i="3"/>
  <c r="G28" i="6" s="1"/>
  <c r="BL553" i="3"/>
  <c r="BA553" i="3"/>
  <c r="AZ553" i="3" s="1"/>
  <c r="BS5" i="3"/>
  <c r="BL552" i="3"/>
  <c r="BO5" i="3"/>
  <c r="BF5" i="3"/>
  <c r="BA552" i="3"/>
  <c r="AZ552" i="3" s="1"/>
  <c r="BB5" i="3"/>
  <c r="E15" i="6" s="1"/>
  <c r="E64" i="39" s="1"/>
  <c r="C18" i="71"/>
  <c r="D19" i="71"/>
  <c r="AC17" i="37"/>
  <c r="W17" i="37"/>
  <c r="W30" i="40"/>
  <c r="AC30" i="40"/>
  <c r="AA39" i="33"/>
  <c r="S39" i="33"/>
  <c r="AZ560" i="3"/>
  <c r="S43" i="39"/>
  <c r="AA43" i="39"/>
  <c r="AA43" i="21"/>
  <c r="S43" i="21"/>
  <c r="AC23" i="35"/>
  <c r="W23" i="35"/>
  <c r="S8" i="40"/>
  <c r="AA8" i="40"/>
  <c r="U34" i="40"/>
  <c r="AB34" i="40"/>
  <c r="F38" i="40"/>
  <c r="J38" i="40"/>
  <c r="D126" i="9"/>
  <c r="D19" i="53"/>
  <c r="B38" i="72" s="1"/>
  <c r="W23" i="21"/>
  <c r="AC9" i="21"/>
  <c r="S29" i="21"/>
  <c r="AA29" i="21"/>
  <c r="S35" i="21"/>
  <c r="AA25" i="36"/>
  <c r="F48" i="9"/>
  <c r="O52" i="9" s="1"/>
  <c r="F30" i="68"/>
  <c r="F48" i="68" s="1"/>
  <c r="F52" i="9"/>
  <c r="F32" i="15"/>
  <c r="F60" i="15" s="1"/>
  <c r="F54" i="9"/>
  <c r="F30" i="11"/>
  <c r="C48" i="11" s="1"/>
  <c r="M18" i="67"/>
  <c r="M18" i="15"/>
  <c r="AB23" i="35"/>
  <c r="G29" i="6"/>
  <c r="S12" i="39"/>
  <c r="AA12" i="39"/>
  <c r="AZ559" i="3"/>
  <c r="AZ566" i="3"/>
  <c r="S28" i="37"/>
  <c r="AA28" i="37"/>
  <c r="U40" i="37"/>
  <c r="AB40" i="37"/>
  <c r="W45" i="33"/>
  <c r="AC45" i="33"/>
  <c r="AB28" i="33"/>
  <c r="U28" i="33"/>
  <c r="AC46" i="21"/>
  <c r="W46" i="21"/>
  <c r="AA14" i="21"/>
  <c r="S14" i="21"/>
  <c r="AB15" i="33"/>
  <c r="U15" i="33"/>
  <c r="AB39" i="33"/>
  <c r="U39" i="33"/>
  <c r="W28" i="35"/>
  <c r="AB43" i="21"/>
  <c r="U43" i="21"/>
  <c r="BL587" i="3"/>
  <c r="AZ587" i="3" s="1"/>
  <c r="AB40" i="21"/>
  <c r="U40" i="21"/>
  <c r="W35" i="21"/>
  <c r="AC35" i="21"/>
  <c r="AA40" i="21"/>
  <c r="S40" i="21"/>
  <c r="B99" i="43"/>
  <c r="B76" i="43"/>
  <c r="B56" i="43"/>
  <c r="B67" i="43"/>
  <c r="C27" i="39"/>
  <c r="AB9" i="33"/>
  <c r="U9" i="33"/>
  <c r="AC33" i="33"/>
  <c r="W33" i="33"/>
  <c r="AB38" i="33"/>
  <c r="U38" i="33"/>
  <c r="J9" i="33"/>
  <c r="F9" i="33"/>
  <c r="AA9" i="33" s="1"/>
  <c r="AC23" i="39"/>
  <c r="W23" i="39"/>
  <c r="H44" i="39"/>
  <c r="J44" i="39"/>
  <c r="F44" i="39"/>
  <c r="AA38" i="39"/>
  <c r="S38" i="39"/>
  <c r="H38" i="40"/>
  <c r="T20" i="71"/>
  <c r="E15" i="71"/>
  <c r="E14" i="71" s="1"/>
  <c r="E13" i="71" s="1"/>
  <c r="E12" i="71" s="1"/>
  <c r="V16" i="71"/>
  <c r="M49" i="9"/>
  <c r="D16" i="53"/>
  <c r="B34" i="72" s="1"/>
  <c r="D21" i="71"/>
  <c r="U20" i="71" s="1"/>
  <c r="D22" i="71"/>
  <c r="AA23" i="33"/>
  <c r="AB36" i="33"/>
  <c r="D6" i="52"/>
  <c r="W36" i="37"/>
  <c r="AA23" i="21"/>
  <c r="S23" i="21"/>
  <c r="U12" i="39"/>
  <c r="AB12" i="39"/>
  <c r="AZ17" i="3"/>
  <c r="AZ372" i="3"/>
  <c r="AZ343" i="3"/>
  <c r="S22" i="36"/>
  <c r="AA22" i="36"/>
  <c r="BL495" i="3"/>
  <c r="BQ5" i="3"/>
  <c r="F28" i="6" s="1"/>
  <c r="E28" i="6" s="1"/>
  <c r="K14" i="1" s="1"/>
  <c r="AZ579" i="3"/>
  <c r="AZ568" i="3"/>
  <c r="AZ576" i="3"/>
  <c r="U13" i="40"/>
  <c r="AB13" i="40"/>
  <c r="S15" i="40"/>
  <c r="AA15" i="40"/>
  <c r="AA11" i="33"/>
  <c r="S11" i="33"/>
  <c r="W8" i="40"/>
  <c r="AA36" i="21"/>
  <c r="S36" i="21"/>
  <c r="G587" i="3"/>
  <c r="AB29" i="37"/>
  <c r="U29" i="37"/>
  <c r="AB30" i="37"/>
  <c r="U30" i="37"/>
  <c r="U9" i="40"/>
  <c r="AB9" i="40"/>
  <c r="S38" i="34"/>
  <c r="AA38" i="34"/>
  <c r="AA42" i="34"/>
  <c r="S42" i="34"/>
  <c r="AZ495" i="3"/>
  <c r="AZ567" i="3"/>
  <c r="W11" i="35"/>
  <c r="AC11" i="35"/>
  <c r="BA586" i="3"/>
  <c r="AZ586" i="3" s="1"/>
  <c r="BL585" i="3"/>
  <c r="AZ585" i="3" s="1"/>
  <c r="AA11" i="36"/>
  <c r="S11" i="36"/>
  <c r="J32" i="36"/>
  <c r="W32" i="36" s="1"/>
  <c r="F32" i="36"/>
  <c r="J27" i="37"/>
  <c r="H27" i="37"/>
  <c r="F27" i="37"/>
  <c r="S40" i="33"/>
  <c r="AA40" i="33"/>
  <c r="BL572" i="3"/>
  <c r="AZ572" i="3" s="1"/>
  <c r="BL554" i="3"/>
  <c r="AZ554" i="3" s="1"/>
  <c r="BA551" i="3"/>
  <c r="AZ551" i="3" s="1"/>
  <c r="BA549" i="3"/>
  <c r="AZ549" i="3" s="1"/>
  <c r="BL547" i="3"/>
  <c r="AZ547" i="3" s="1"/>
  <c r="BA541" i="3"/>
  <c r="AZ541" i="3" s="1"/>
  <c r="BA540" i="3"/>
  <c r="AZ540" i="3" s="1"/>
  <c r="BL536" i="3"/>
  <c r="BA536" i="3"/>
  <c r="AZ536" i="3" s="1"/>
  <c r="BL534" i="3"/>
  <c r="AZ534" i="3" s="1"/>
  <c r="BA533" i="3"/>
  <c r="AZ533" i="3" s="1"/>
  <c r="BA532" i="3"/>
  <c r="AZ532" i="3" s="1"/>
  <c r="BL528" i="3"/>
  <c r="AZ528" i="3" s="1"/>
  <c r="BL523" i="3"/>
  <c r="AZ523" i="3" s="1"/>
  <c r="BL520" i="3"/>
  <c r="AZ520" i="3" s="1"/>
  <c r="BL519" i="3"/>
  <c r="AZ519" i="3" s="1"/>
  <c r="BL516" i="3"/>
  <c r="AZ516" i="3" s="1"/>
  <c r="BA515" i="3"/>
  <c r="AZ515" i="3" s="1"/>
  <c r="BA512" i="3"/>
  <c r="AZ512" i="3" s="1"/>
  <c r="BL511" i="3"/>
  <c r="AZ511" i="3" s="1"/>
  <c r="BA508" i="3"/>
  <c r="AZ508" i="3" s="1"/>
  <c r="BL507" i="3"/>
  <c r="AZ507" i="3" s="1"/>
  <c r="BA502" i="3"/>
  <c r="AZ502" i="3" s="1"/>
  <c r="BL498" i="3"/>
  <c r="AZ498" i="3" s="1"/>
  <c r="BL496" i="3"/>
  <c r="AA27" i="40"/>
  <c r="AB27" i="40"/>
  <c r="AZ537" i="3"/>
  <c r="AZ524" i="3"/>
  <c r="AZ548" i="3"/>
  <c r="AC14" i="37"/>
  <c r="AB33" i="35"/>
  <c r="U33" i="35"/>
  <c r="S39" i="37"/>
  <c r="AA39" i="37"/>
  <c r="B94" i="43"/>
  <c r="C21" i="39"/>
  <c r="B73" i="43"/>
  <c r="U12" i="33"/>
  <c r="AB12" i="33"/>
  <c r="H29" i="33"/>
  <c r="F29" i="33"/>
  <c r="H45" i="33"/>
  <c r="F45" i="33"/>
  <c r="AA14" i="34"/>
  <c r="S14" i="34"/>
  <c r="H32" i="34"/>
  <c r="J32" i="34"/>
  <c r="H12" i="35"/>
  <c r="J12" i="35"/>
  <c r="F12" i="35"/>
  <c r="J25" i="36"/>
  <c r="H25" i="36"/>
  <c r="W31" i="35"/>
  <c r="AC31" i="35"/>
  <c r="AC30" i="36"/>
  <c r="W30" i="36"/>
  <c r="BL583" i="3"/>
  <c r="BA583" i="3"/>
  <c r="AZ583" i="3" s="1"/>
  <c r="S41" i="34"/>
  <c r="AA41" i="34"/>
  <c r="AB43" i="33"/>
  <c r="U43" i="33"/>
  <c r="AZ517" i="3"/>
  <c r="AZ529" i="3"/>
  <c r="H12" i="21"/>
  <c r="F12" i="21"/>
  <c r="J12" i="21"/>
  <c r="F26" i="33"/>
  <c r="J26" i="33"/>
  <c r="H26" i="33"/>
  <c r="AC26" i="37"/>
  <c r="W26" i="37"/>
  <c r="W32" i="40"/>
  <c r="AC32" i="40"/>
  <c r="AB34" i="37"/>
  <c r="U34" i="37"/>
  <c r="BA544" i="3"/>
  <c r="AZ544" i="3" s="1"/>
  <c r="BL539" i="3"/>
  <c r="AZ539" i="3" s="1"/>
  <c r="BL531" i="3"/>
  <c r="AZ531" i="3" s="1"/>
  <c r="BA525" i="3"/>
  <c r="AZ525" i="3" s="1"/>
  <c r="BL514" i="3"/>
  <c r="AZ514" i="3" s="1"/>
  <c r="BA505" i="3"/>
  <c r="AZ505" i="3" s="1"/>
  <c r="BA497" i="3"/>
  <c r="AZ497" i="3" s="1"/>
  <c r="BA496" i="3"/>
  <c r="AZ496" i="3" s="1"/>
  <c r="AZ399" i="3"/>
  <c r="AZ403" i="3"/>
  <c r="AZ413" i="3"/>
  <c r="W12" i="34"/>
  <c r="AC12" i="34"/>
  <c r="AC9" i="34"/>
  <c r="W9" i="34"/>
  <c r="AB9" i="36"/>
  <c r="U9" i="36"/>
  <c r="AC28" i="36"/>
  <c r="W28" i="36"/>
  <c r="J23" i="36"/>
  <c r="F23" i="36"/>
  <c r="H45" i="39"/>
  <c r="F45" i="39"/>
  <c r="U39" i="40"/>
  <c r="AB39" i="40"/>
  <c r="AZ421" i="3"/>
  <c r="J14" i="21"/>
  <c r="H14" i="21"/>
  <c r="H30" i="21"/>
  <c r="J30" i="21"/>
  <c r="S35" i="34"/>
  <c r="AA35" i="34"/>
  <c r="S34" i="35"/>
  <c r="AA34" i="35"/>
  <c r="J31" i="34"/>
  <c r="F31" i="34"/>
  <c r="H47" i="34"/>
  <c r="J47" i="34"/>
  <c r="H24" i="36"/>
  <c r="J24" i="36"/>
  <c r="F24" i="36"/>
  <c r="H25" i="37"/>
  <c r="F25" i="37"/>
  <c r="AC40" i="39"/>
  <c r="W40" i="39"/>
  <c r="AB41" i="21"/>
  <c r="U41" i="21"/>
  <c r="G570" i="3"/>
  <c r="BL550" i="3"/>
  <c r="AZ550" i="3" s="1"/>
  <c r="AZ402" i="3"/>
  <c r="AZ406" i="3"/>
  <c r="BA412" i="3"/>
  <c r="AZ412" i="3" s="1"/>
  <c r="BA416" i="3"/>
  <c r="AZ416" i="3" s="1"/>
  <c r="BL418" i="3"/>
  <c r="BA420" i="3"/>
  <c r="AZ420" i="3" s="1"/>
  <c r="BL422" i="3"/>
  <c r="G424" i="3"/>
  <c r="AZ426" i="3"/>
  <c r="G431" i="3"/>
  <c r="AZ446" i="3"/>
  <c r="AZ458" i="3"/>
  <c r="AZ461" i="3"/>
  <c r="AZ462" i="3"/>
  <c r="AZ486" i="3"/>
  <c r="AZ488" i="3"/>
  <c r="AZ316" i="3"/>
  <c r="AZ211" i="3"/>
  <c r="AZ239" i="3"/>
  <c r="AZ247" i="3"/>
  <c r="AZ276" i="3"/>
  <c r="AZ415" i="3"/>
  <c r="AZ418" i="3"/>
  <c r="AZ422" i="3"/>
  <c r="AZ423" i="3"/>
  <c r="AZ430" i="3"/>
  <c r="AZ432" i="3"/>
  <c r="AZ434" i="3"/>
  <c r="AZ449" i="3"/>
  <c r="AZ464" i="3"/>
  <c r="AZ467" i="3"/>
  <c r="AZ492" i="3"/>
  <c r="AZ221" i="3"/>
  <c r="AZ282" i="3"/>
  <c r="A15" i="62"/>
  <c r="B61" i="72" s="1"/>
  <c r="G413" i="3"/>
  <c r="G417" i="3"/>
  <c r="BA419" i="3"/>
  <c r="AZ419" i="3" s="1"/>
  <c r="BA424" i="3"/>
  <c r="AZ424" i="3" s="1"/>
  <c r="BA427" i="3"/>
  <c r="AZ427" i="3" s="1"/>
  <c r="AZ429" i="3"/>
  <c r="BA431" i="3"/>
  <c r="AZ431" i="3" s="1"/>
  <c r="BA433" i="3"/>
  <c r="AZ433" i="3" s="1"/>
  <c r="AZ435" i="3"/>
  <c r="AZ436" i="3"/>
  <c r="AZ445" i="3"/>
  <c r="AZ447" i="3"/>
  <c r="AZ450" i="3"/>
  <c r="AZ451" i="3"/>
  <c r="AZ460" i="3"/>
  <c r="AZ468" i="3"/>
  <c r="AZ469" i="3"/>
  <c r="AZ226" i="3"/>
  <c r="AZ236" i="3"/>
  <c r="AZ244" i="3"/>
  <c r="AZ246" i="3"/>
  <c r="AZ258" i="3"/>
  <c r="AZ264" i="3"/>
  <c r="AZ267" i="3"/>
  <c r="AZ277" i="3"/>
  <c r="G280" i="3"/>
  <c r="BA285" i="3"/>
  <c r="AZ285" i="3" s="1"/>
  <c r="BA287" i="3"/>
  <c r="AZ287" i="3" s="1"/>
  <c r="G290" i="3"/>
  <c r="BL291" i="3"/>
  <c r="AZ291" i="3" s="1"/>
  <c r="AZ294" i="3"/>
  <c r="AZ302" i="3"/>
  <c r="AZ126" i="3"/>
  <c r="AZ145" i="3"/>
  <c r="AZ153" i="3"/>
  <c r="AZ36" i="3"/>
  <c r="BA279" i="3"/>
  <c r="AZ279" i="3" s="1"/>
  <c r="BL283" i="3"/>
  <c r="AZ283" i="3" s="1"/>
  <c r="G285" i="3"/>
  <c r="BL289" i="3"/>
  <c r="AZ289" i="3" s="1"/>
  <c r="BA281" i="3"/>
  <c r="AZ281" i="3" s="1"/>
  <c r="AZ284" i="3"/>
  <c r="AZ125" i="3"/>
  <c r="AZ129" i="3"/>
  <c r="AZ137" i="3"/>
  <c r="BL163" i="3"/>
  <c r="AZ163" i="3" s="1"/>
  <c r="BL169" i="3"/>
  <c r="AZ169" i="3" s="1"/>
  <c r="BL175" i="3"/>
  <c r="AZ175" i="3" s="1"/>
  <c r="BL198" i="3"/>
  <c r="AZ198" i="3" s="1"/>
  <c r="AZ207" i="3"/>
  <c r="BA18" i="3"/>
  <c r="AZ18" i="3" s="1"/>
  <c r="G21" i="3"/>
  <c r="BL21" i="3"/>
  <c r="AZ21" i="3" s="1"/>
  <c r="BL22" i="3"/>
  <c r="AZ27" i="3"/>
  <c r="BL30" i="3"/>
  <c r="AZ40" i="3"/>
  <c r="G163" i="3"/>
  <c r="G175" i="3"/>
  <c r="BL181" i="3"/>
  <c r="AZ181" i="3" s="1"/>
  <c r="BA189" i="3"/>
  <c r="AZ189" i="3" s="1"/>
  <c r="BL195" i="3"/>
  <c r="AZ195" i="3" s="1"/>
  <c r="BA201" i="3"/>
  <c r="G204" i="3"/>
  <c r="G205" i="3"/>
  <c r="BA20" i="3"/>
  <c r="AZ20" i="3" s="1"/>
  <c r="G24" i="3"/>
  <c r="BL24" i="3"/>
  <c r="AZ24" i="3" s="1"/>
  <c r="BL25" i="3"/>
  <c r="G26" i="3"/>
  <c r="BA28" i="3"/>
  <c r="AZ28" i="3" s="1"/>
  <c r="BL32" i="3"/>
  <c r="G33" i="3"/>
  <c r="BA35" i="3"/>
  <c r="AZ35" i="3" s="1"/>
  <c r="BA45" i="3"/>
  <c r="AZ45" i="3" s="1"/>
  <c r="BA48" i="3"/>
  <c r="AZ48" i="3" s="1"/>
  <c r="G54" i="3"/>
  <c r="AZ22" i="3"/>
  <c r="AZ30" i="3"/>
  <c r="BL166" i="3"/>
  <c r="AZ166" i="3" s="1"/>
  <c r="G172" i="3"/>
  <c r="BA177" i="3"/>
  <c r="AZ177" i="3" s="1"/>
  <c r="BL186" i="3"/>
  <c r="AZ186" i="3" s="1"/>
  <c r="BA194" i="3"/>
  <c r="AZ194" i="3" s="1"/>
  <c r="BL201" i="3"/>
  <c r="G202" i="3"/>
  <c r="BA205" i="3"/>
  <c r="AZ205" i="3" s="1"/>
  <c r="G19" i="3"/>
  <c r="G5" i="3" s="1"/>
  <c r="B3" i="3" s="1"/>
  <c r="BL19" i="3"/>
  <c r="AZ19" i="3" s="1"/>
  <c r="BA25" i="3"/>
  <c r="BL27" i="3"/>
  <c r="BA32" i="3"/>
  <c r="AZ32" i="3" s="1"/>
  <c r="BL34" i="3"/>
  <c r="AZ34" i="3" s="1"/>
  <c r="G46" i="3"/>
  <c r="G49" i="3"/>
  <c r="BA53" i="3"/>
  <c r="AZ53" i="3" s="1"/>
  <c r="BA56" i="3"/>
  <c r="AZ56" i="3" s="1"/>
  <c r="AZ60" i="3"/>
  <c r="AZ68" i="3"/>
  <c r="AZ91" i="3"/>
  <c r="BL89" i="3"/>
  <c r="AZ89" i="3" s="1"/>
  <c r="G94" i="3"/>
  <c r="G97" i="3"/>
  <c r="BL108" i="3"/>
  <c r="T44" i="71"/>
  <c r="D44" i="71"/>
  <c r="BA99" i="3"/>
  <c r="AZ99" i="3" s="1"/>
  <c r="AZ108" i="3"/>
  <c r="AC21" i="34"/>
  <c r="N67" i="71"/>
  <c r="B66" i="71"/>
  <c r="U21" i="34"/>
  <c r="BA90" i="3"/>
  <c r="AZ90" i="3" s="1"/>
  <c r="BL102" i="3"/>
  <c r="AZ102" i="3" s="1"/>
  <c r="AB21" i="21"/>
  <c r="C26" i="71"/>
  <c r="D26" i="71" s="1"/>
  <c r="D27" i="71"/>
  <c r="AB18" i="35"/>
  <c r="AB25" i="40"/>
  <c r="S21" i="21"/>
  <c r="Y31" i="71"/>
  <c r="Z31" i="71" s="1"/>
  <c r="Y33" i="71"/>
  <c r="Z33" i="71" s="1"/>
  <c r="X18" i="71"/>
  <c r="AA24" i="71"/>
  <c r="AA18" i="71"/>
  <c r="X17" i="71"/>
  <c r="AA14" i="71"/>
  <c r="AA11" i="71"/>
  <c r="Y32" i="71"/>
  <c r="Z32" i="71" s="1"/>
  <c r="AB30" i="71"/>
  <c r="E34" i="71"/>
  <c r="E35" i="71" s="1"/>
  <c r="E36" i="71" s="1"/>
  <c r="U36" i="71" s="1"/>
  <c r="AA33" i="71"/>
  <c r="X34" i="71"/>
  <c r="X36" i="71"/>
  <c r="X32" i="71"/>
  <c r="AB36" i="71"/>
  <c r="AB37" i="71"/>
  <c r="AB24" i="71"/>
  <c r="Y14" i="71"/>
  <c r="Z14" i="71" s="1"/>
  <c r="Y17" i="71"/>
  <c r="Z17" i="71" s="1"/>
  <c r="D64" i="71"/>
  <c r="D56" i="71"/>
  <c r="O65" i="71"/>
  <c r="C86" i="71"/>
  <c r="D86" i="71" s="1"/>
  <c r="D67" i="71"/>
  <c r="D28" i="71"/>
  <c r="U28" i="71" s="1"/>
  <c r="AA25" i="71"/>
  <c r="E28" i="71"/>
  <c r="AB25" i="71"/>
  <c r="C79" i="71"/>
  <c r="C75" i="71"/>
  <c r="D42" i="71"/>
  <c r="X25" i="71"/>
  <c r="Y26" i="71"/>
  <c r="Z26" i="71" s="1"/>
  <c r="AA30" i="71"/>
  <c r="AA29" i="71"/>
  <c r="B31" i="71"/>
  <c r="B32" i="71" s="1"/>
  <c r="S32" i="71" s="1"/>
  <c r="AB29" i="71"/>
  <c r="Y30" i="71"/>
  <c r="Z30" i="71" s="1"/>
  <c r="AB34" i="71"/>
  <c r="Y36" i="71"/>
  <c r="Z36" i="71" s="1"/>
  <c r="B38" i="71"/>
  <c r="B39" i="71" s="1"/>
  <c r="B40" i="71" s="1"/>
  <c r="S40" i="71" s="1"/>
  <c r="X37" i="71"/>
  <c r="X9" i="71"/>
  <c r="X10" i="71"/>
  <c r="AB10" i="71"/>
  <c r="E43" i="71"/>
  <c r="E44" i="71" s="1"/>
  <c r="U44" i="71" s="1"/>
  <c r="B47" i="71"/>
  <c r="B48" i="71" s="1"/>
  <c r="S48" i="71" s="1"/>
  <c r="F75" i="71"/>
  <c r="F74" i="71" s="1"/>
  <c r="X24" i="71"/>
  <c r="AA22" i="71"/>
  <c r="AA21" i="71"/>
  <c r="Y18" i="71"/>
  <c r="Z18" i="71" s="1"/>
  <c r="AB18" i="71"/>
  <c r="AA10" i="71"/>
  <c r="AA17" i="71"/>
  <c r="AA28" i="71"/>
  <c r="AA3" i="71"/>
  <c r="D76" i="71"/>
  <c r="Y28" i="71"/>
  <c r="Z28" i="71" s="1"/>
  <c r="C34" i="71"/>
  <c r="X26" i="71"/>
  <c r="AA34" i="71"/>
  <c r="AA36" i="71"/>
  <c r="F38" i="71"/>
  <c r="F39" i="71" s="1"/>
  <c r="F40" i="71" s="1"/>
  <c r="V40" i="71" s="1"/>
  <c r="Y10" i="71"/>
  <c r="Z10" i="71" s="1"/>
  <c r="Y39" i="71"/>
  <c r="Z39" i="71" s="1"/>
  <c r="Y9" i="71"/>
  <c r="Z9" i="71" s="1"/>
  <c r="Y25" i="71"/>
  <c r="Z25" i="71" s="1"/>
  <c r="Y27" i="71"/>
  <c r="Z27" i="71" s="1"/>
  <c r="Y21" i="71"/>
  <c r="Z21" i="71" s="1"/>
  <c r="Y22" i="71"/>
  <c r="Z22" i="71" s="1"/>
  <c r="Y24" i="71"/>
  <c r="Z24" i="71" s="1"/>
  <c r="Y23" i="71"/>
  <c r="Z23" i="71" s="1"/>
  <c r="AB12" i="71"/>
  <c r="AB17" i="71"/>
  <c r="AB23" i="71"/>
  <c r="AB21" i="71"/>
  <c r="X21" i="71"/>
  <c r="X15" i="71"/>
  <c r="AB9" i="71"/>
  <c r="X13" i="71"/>
  <c r="Y11" i="71"/>
  <c r="Z11" i="71" s="1"/>
  <c r="AB11" i="71"/>
  <c r="X12" i="71"/>
  <c r="X14" i="71"/>
  <c r="Y12" i="71"/>
  <c r="Z12" i="71" s="1"/>
  <c r="AA9" i="71"/>
  <c r="K56" i="9"/>
  <c r="AA23" i="71"/>
  <c r="X22" i="71"/>
  <c r="AA15" i="71"/>
  <c r="AB13" i="71"/>
  <c r="AA13" i="71"/>
  <c r="X11" i="71"/>
  <c r="Y13" i="71"/>
  <c r="Z13" i="71" s="1"/>
  <c r="N56" i="9"/>
  <c r="AB15" i="71"/>
  <c r="AB14" i="71"/>
  <c r="AA12"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G30" i="6"/>
  <c r="G31" i="6" s="1"/>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12" i="6"/>
  <c r="E57" i="40" s="1"/>
  <c r="E13" i="6"/>
  <c r="H16"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M7" i="15"/>
  <c r="J6" i="15" s="1"/>
  <c r="F50" i="15"/>
  <c r="F51" i="15"/>
  <c r="F71" i="15"/>
  <c r="C6" i="15"/>
  <c r="L59" i="15"/>
  <c r="N59" i="15"/>
  <c r="M59" i="15"/>
  <c r="F66" i="15"/>
  <c r="F64" i="15"/>
  <c r="D103" i="9"/>
  <c r="C27" i="67"/>
  <c r="F71" i="67"/>
  <c r="C27" i="15"/>
  <c r="F65" i="15"/>
  <c r="G20" i="9"/>
  <c r="C103" i="9"/>
  <c r="B13" i="70"/>
  <c r="F68" i="67"/>
  <c r="F68" i="15"/>
  <c r="C36" i="68"/>
  <c r="D9" i="68"/>
  <c r="C76" i="67"/>
  <c r="M24" i="67"/>
  <c r="M23" i="67"/>
  <c r="D3" i="73"/>
  <c r="F37" i="67"/>
  <c r="C16" i="67"/>
  <c r="F7" i="67"/>
  <c r="M8" i="67"/>
  <c r="F8" i="67"/>
  <c r="D9" i="84"/>
  <c r="M9" i="67"/>
  <c r="F38" i="67"/>
  <c r="J15" i="67"/>
  <c r="L48" i="67"/>
  <c r="C36" i="69"/>
  <c r="D9" i="69"/>
  <c r="C36" i="84"/>
  <c r="C16" i="15"/>
  <c r="D5" i="73"/>
  <c r="M6" i="67"/>
  <c r="L47" i="67"/>
  <c r="F9" i="67"/>
  <c r="L48" i="15"/>
  <c r="F36" i="67"/>
  <c r="D7" i="73"/>
  <c r="F27" i="69"/>
  <c r="J57" i="15" l="1"/>
  <c r="J55" i="15" s="1"/>
  <c r="J58" i="15" s="1"/>
  <c r="Q50" i="15" s="1"/>
  <c r="I54" i="15"/>
  <c r="J53" i="15"/>
  <c r="L56" i="15" s="1"/>
  <c r="L58" i="15"/>
  <c r="Q73" i="15" s="1"/>
  <c r="G7" i="1"/>
  <c r="G16" i="1" s="1"/>
  <c r="C9" i="84"/>
  <c r="C38" i="85"/>
  <c r="C40" i="85"/>
  <c r="T11" i="85"/>
  <c r="V11" i="85" s="1"/>
  <c r="T10" i="85"/>
  <c r="V10" i="85" s="1"/>
  <c r="T15" i="85"/>
  <c r="V15" i="85" s="1"/>
  <c r="T5" i="85"/>
  <c r="V5" i="85" s="1"/>
  <c r="T13" i="85"/>
  <c r="V13" i="85" s="1"/>
  <c r="C37" i="85"/>
  <c r="C39" i="85"/>
  <c r="T7" i="85"/>
  <c r="V7" i="85" s="1"/>
  <c r="T9" i="85"/>
  <c r="V9" i="85" s="1"/>
  <c r="T6" i="85"/>
  <c r="V6" i="85" s="1"/>
  <c r="T3" i="85"/>
  <c r="V3" i="85" s="1"/>
  <c r="T16" i="85"/>
  <c r="V16" i="85" s="1"/>
  <c r="T8" i="85"/>
  <c r="V8" i="85" s="1"/>
  <c r="T14" i="85"/>
  <c r="V14" i="85" s="1"/>
  <c r="C41" i="85"/>
  <c r="C33" i="85"/>
  <c r="C42" i="85"/>
  <c r="T4" i="85"/>
  <c r="V4" i="85" s="1"/>
  <c r="T12" i="85"/>
  <c r="V12" i="85" s="1"/>
  <c r="T2" i="85"/>
  <c r="V2" i="85" s="1"/>
  <c r="E10" i="6"/>
  <c r="E11" i="6"/>
  <c r="E60" i="39" s="1"/>
  <c r="E14" i="6"/>
  <c r="E63" i="39" s="1"/>
  <c r="E8" i="6"/>
  <c r="F27" i="6" s="1"/>
  <c r="N94" i="46"/>
  <c r="AC26" i="36"/>
  <c r="S14" i="36"/>
  <c r="U14" i="36"/>
  <c r="AB14" i="36"/>
  <c r="J26" i="43"/>
  <c r="N370" i="46"/>
  <c r="F26" i="43"/>
  <c r="E26" i="43"/>
  <c r="H26" i="43"/>
  <c r="P6" i="1"/>
  <c r="C13" i="12" s="1"/>
  <c r="E59" i="40"/>
  <c r="F51" i="67"/>
  <c r="C6" i="67"/>
  <c r="C32" i="67" s="1"/>
  <c r="J57" i="67"/>
  <c r="J55" i="67" s="1"/>
  <c r="J58" i="67" s="1"/>
  <c r="Q50" i="67" s="1"/>
  <c r="L56" i="67"/>
  <c r="I54" i="67"/>
  <c r="J53" i="67"/>
  <c r="F1" i="67" s="1"/>
  <c r="F64" i="67"/>
  <c r="L58" i="67"/>
  <c r="Q60" i="67" s="1"/>
  <c r="M59" i="67"/>
  <c r="N59" i="67"/>
  <c r="L59" i="67"/>
  <c r="Q74" i="67" s="1"/>
  <c r="F65" i="67"/>
  <c r="K1" i="73"/>
  <c r="F31" i="67"/>
  <c r="F50" i="67"/>
  <c r="M7" i="67"/>
  <c r="J6" i="67" s="1"/>
  <c r="J18" i="67" s="1"/>
  <c r="F66" i="67"/>
  <c r="Q71" i="67"/>
  <c r="E510" i="3"/>
  <c r="E539" i="3"/>
  <c r="E536" i="3"/>
  <c r="E148" i="3"/>
  <c r="E212" i="3"/>
  <c r="E199" i="3"/>
  <c r="E286" i="3"/>
  <c r="E499" i="3"/>
  <c r="R6" i="3"/>
  <c r="E502" i="3"/>
  <c r="E442" i="3"/>
  <c r="E466" i="3"/>
  <c r="E541" i="3"/>
  <c r="E430" i="3"/>
  <c r="E449" i="3"/>
  <c r="E255" i="3"/>
  <c r="I3" i="6"/>
  <c r="AP6" i="3"/>
  <c r="E554" i="3"/>
  <c r="E517" i="3"/>
  <c r="E435" i="3"/>
  <c r="E491" i="3"/>
  <c r="E479" i="3"/>
  <c r="E56" i="3"/>
  <c r="E37" i="3"/>
  <c r="E95" i="3"/>
  <c r="E152" i="3"/>
  <c r="E132" i="3"/>
  <c r="E192" i="3"/>
  <c r="E258" i="3"/>
  <c r="E241" i="3"/>
  <c r="E292" i="3"/>
  <c r="E349" i="3"/>
  <c r="E389" i="3"/>
  <c r="E544" i="3"/>
  <c r="E76" i="3"/>
  <c r="E59" i="3"/>
  <c r="E409" i="3"/>
  <c r="E484" i="3"/>
  <c r="E425" i="3"/>
  <c r="E467" i="3"/>
  <c r="E64" i="3"/>
  <c r="E103" i="3"/>
  <c r="E160" i="3"/>
  <c r="E142" i="3"/>
  <c r="E200" i="3"/>
  <c r="E267" i="3"/>
  <c r="E249" i="3"/>
  <c r="E300" i="3"/>
  <c r="E371" i="3"/>
  <c r="E492" i="3"/>
  <c r="E23" i="3"/>
  <c r="E84" i="3"/>
  <c r="E67" i="3"/>
  <c r="E144" i="3"/>
  <c r="E184" i="3"/>
  <c r="E233" i="3"/>
  <c r="E355" i="3"/>
  <c r="E381" i="3"/>
  <c r="E68" i="3"/>
  <c r="E63" i="3"/>
  <c r="E81" i="3"/>
  <c r="E118" i="3"/>
  <c r="E264" i="3"/>
  <c r="E283" i="3"/>
  <c r="E16" i="3"/>
  <c r="E140" i="3"/>
  <c r="E167" i="3"/>
  <c r="E105" i="3"/>
  <c r="E525" i="3"/>
  <c r="E542" i="3"/>
  <c r="E543" i="3"/>
  <c r="E456" i="3"/>
  <c r="E487" i="3"/>
  <c r="E422" i="3"/>
  <c r="E451" i="3"/>
  <c r="E374" i="3"/>
  <c r="AH6" i="3"/>
  <c r="E13" i="3"/>
  <c r="E483" i="3"/>
  <c r="E420" i="3"/>
  <c r="E39" i="3"/>
  <c r="E25" i="3"/>
  <c r="E115" i="3"/>
  <c r="E187" i="3"/>
  <c r="E281" i="3"/>
  <c r="E259" i="3"/>
  <c r="E346" i="3"/>
  <c r="E356" i="3"/>
  <c r="E504" i="3"/>
  <c r="E60" i="3"/>
  <c r="E75" i="3"/>
  <c r="E462" i="3"/>
  <c r="E15" i="3"/>
  <c r="E18" i="3"/>
  <c r="E98" i="3"/>
  <c r="E100" i="3"/>
  <c r="E190" i="3"/>
  <c r="E234" i="3"/>
  <c r="E235" i="3"/>
  <c r="E307" i="3"/>
  <c r="E325" i="3"/>
  <c r="E522" i="3"/>
  <c r="E66" i="3"/>
  <c r="E36" i="3"/>
  <c r="E127" i="3"/>
  <c r="E289" i="3"/>
  <c r="E370" i="3"/>
  <c r="Y6" i="3"/>
  <c r="E20" i="3"/>
  <c r="E113" i="3"/>
  <c r="E179" i="3"/>
  <c r="E265" i="3"/>
  <c r="E326" i="3"/>
  <c r="E82" i="3"/>
  <c r="E244" i="3"/>
  <c r="E223" i="3"/>
  <c r="E173" i="3"/>
  <c r="E312" i="3"/>
  <c r="E493" i="3"/>
  <c r="T6" i="3"/>
  <c r="E421" i="3"/>
  <c r="E486" i="3"/>
  <c r="E512" i="3"/>
  <c r="E416" i="3"/>
  <c r="E490" i="3"/>
  <c r="E556" i="3"/>
  <c r="E500" i="3"/>
  <c r="E498" i="3"/>
  <c r="E452" i="3"/>
  <c r="E520" i="3"/>
  <c r="E463" i="3"/>
  <c r="E104" i="3"/>
  <c r="E57" i="3"/>
  <c r="E178" i="3"/>
  <c r="E139" i="3"/>
  <c r="E240" i="3"/>
  <c r="E226" i="3"/>
  <c r="E332" i="3"/>
  <c r="E378" i="3"/>
  <c r="E372" i="3"/>
  <c r="E42" i="3"/>
  <c r="E110" i="3"/>
  <c r="E540" i="3"/>
  <c r="E482" i="3"/>
  <c r="E446" i="3"/>
  <c r="E79" i="3"/>
  <c r="E78" i="3"/>
  <c r="E138" i="3"/>
  <c r="E137" i="3"/>
  <c r="E220" i="3"/>
  <c r="E209" i="3"/>
  <c r="E299" i="3"/>
  <c r="E383" i="3"/>
  <c r="E354" i="3"/>
  <c r="AQ6" i="3"/>
  <c r="E86" i="3"/>
  <c r="E48" i="3"/>
  <c r="E123" i="3"/>
  <c r="E232" i="3"/>
  <c r="E284" i="3"/>
  <c r="E364" i="3"/>
  <c r="E102" i="3"/>
  <c r="E176" i="3"/>
  <c r="E287" i="3"/>
  <c r="E323" i="3"/>
  <c r="E524" i="3"/>
  <c r="E329" i="3"/>
  <c r="E296" i="3"/>
  <c r="E149" i="3"/>
  <c r="E116" i="3"/>
  <c r="E369" i="3"/>
  <c r="AD6" i="3"/>
  <c r="E564" i="3"/>
  <c r="E405" i="3"/>
  <c r="E464" i="3"/>
  <c r="E507" i="3"/>
  <c r="E408" i="3"/>
  <c r="E459" i="3"/>
  <c r="E376" i="3"/>
  <c r="E497" i="3"/>
  <c r="E582" i="3"/>
  <c r="E419" i="3"/>
  <c r="E470" i="3"/>
  <c r="E436" i="3"/>
  <c r="E40" i="3"/>
  <c r="E41" i="3"/>
  <c r="E131" i="3"/>
  <c r="E119" i="3"/>
  <c r="E225" i="3"/>
  <c r="E297" i="3"/>
  <c r="E276" i="3"/>
  <c r="E391" i="3"/>
  <c r="E375" i="3"/>
  <c r="L6" i="3"/>
  <c r="E488" i="3"/>
  <c r="E473" i="3"/>
  <c r="E412" i="3"/>
  <c r="E47" i="3"/>
  <c r="E38" i="3"/>
  <c r="E195" i="3"/>
  <c r="E194" i="3"/>
  <c r="E275" i="3"/>
  <c r="E266" i="3"/>
  <c r="E339" i="3"/>
  <c r="E342" i="3"/>
  <c r="E584" i="3"/>
  <c r="E52" i="3"/>
  <c r="E34" i="3"/>
  <c r="E87" i="3"/>
  <c r="E147" i="3"/>
  <c r="E251" i="3"/>
  <c r="E50" i="3"/>
  <c r="E80" i="3"/>
  <c r="E154" i="3"/>
  <c r="E218" i="3"/>
  <c r="E308" i="3"/>
  <c r="E373" i="3"/>
  <c r="E101" i="3"/>
  <c r="E83" i="3"/>
  <c r="E427" i="3"/>
  <c r="E401" i="3"/>
  <c r="E198" i="3"/>
  <c r="E242" i="3"/>
  <c r="E333" i="3"/>
  <c r="E58" i="3"/>
  <c r="E165" i="3"/>
  <c r="E188" i="3"/>
  <c r="E197" i="3"/>
  <c r="E141" i="3"/>
  <c r="E393" i="3"/>
  <c r="E534" i="3"/>
  <c r="E552" i="3"/>
  <c r="E469" i="3"/>
  <c r="E398" i="3"/>
  <c r="E440" i="3"/>
  <c r="E360" i="3"/>
  <c r="E566" i="3"/>
  <c r="J6" i="3"/>
  <c r="E494" i="3"/>
  <c r="E460" i="3"/>
  <c r="E90" i="3"/>
  <c r="E108" i="3"/>
  <c r="E155" i="3"/>
  <c r="E243" i="3"/>
  <c r="E348" i="3"/>
  <c r="AL6" i="3"/>
  <c r="E43" i="3"/>
  <c r="E428" i="3"/>
  <c r="E521" i="3"/>
  <c r="E455" i="3"/>
  <c r="E96" i="3"/>
  <c r="E65" i="3"/>
  <c r="E170" i="3"/>
  <c r="E174" i="3"/>
  <c r="E248" i="3"/>
  <c r="E219" i="3"/>
  <c r="E324" i="3"/>
  <c r="E386" i="3"/>
  <c r="E392" i="3"/>
  <c r="E35" i="3"/>
  <c r="E112" i="3"/>
  <c r="E206" i="3"/>
  <c r="E250" i="3"/>
  <c r="E340" i="3"/>
  <c r="AF6" i="3"/>
  <c r="E51" i="3"/>
  <c r="E62" i="3"/>
  <c r="E158" i="3"/>
  <c r="E222" i="3"/>
  <c r="E365" i="3"/>
  <c r="E22" i="3"/>
  <c r="E575" i="3"/>
  <c r="E310"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41"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29" i="3"/>
  <c r="E363"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09" i="3"/>
  <c r="E51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B15" i="71"/>
  <c r="B14" i="71" s="1"/>
  <c r="B13" i="71" s="1"/>
  <c r="B12" i="71" s="1"/>
  <c r="S16" i="71"/>
  <c r="C74" i="71"/>
  <c r="D74" i="71" s="1"/>
  <c r="D75" i="71"/>
  <c r="N65" i="71"/>
  <c r="N66" i="71"/>
  <c r="E49" i="3"/>
  <c r="E24" i="3"/>
  <c r="AZ201" i="3"/>
  <c r="E21" i="3"/>
  <c r="E417" i="3"/>
  <c r="U25" i="37"/>
  <c r="AB25" i="37"/>
  <c r="AC47" i="34"/>
  <c r="W47" i="34"/>
  <c r="AC30" i="21"/>
  <c r="W30" i="21"/>
  <c r="U45" i="39"/>
  <c r="AB45" i="39"/>
  <c r="U26" i="33"/>
  <c r="AB26" i="33"/>
  <c r="S12" i="21"/>
  <c r="AA12" i="21"/>
  <c r="AB25" i="36"/>
  <c r="U25" i="36"/>
  <c r="U12" i="35"/>
  <c r="AB12" i="35"/>
  <c r="U29" i="33"/>
  <c r="AB29" i="33"/>
  <c r="BA5" i="3"/>
  <c r="E27" i="6" s="1"/>
  <c r="K26" i="6" s="1"/>
  <c r="M26" i="6" s="1"/>
  <c r="I26" i="6" s="1"/>
  <c r="S26" i="6" s="1"/>
  <c r="AA27" i="37"/>
  <c r="S27" i="37"/>
  <c r="AA44" i="39"/>
  <c r="S44" i="39"/>
  <c r="AC38" i="40"/>
  <c r="W38" i="40"/>
  <c r="AZ561" i="3"/>
  <c r="AZ563" i="3"/>
  <c r="AZ575" i="3"/>
  <c r="AZ580" i="3"/>
  <c r="C78" i="71"/>
  <c r="D78" i="71" s="1"/>
  <c r="D79" i="71"/>
  <c r="E94" i="3"/>
  <c r="E46" i="3"/>
  <c r="AZ25" i="3"/>
  <c r="AZ5" i="3" s="1"/>
  <c r="E202" i="3"/>
  <c r="E26" i="3"/>
  <c r="E163" i="3"/>
  <c r="E413" i="3"/>
  <c r="AA24" i="36"/>
  <c r="S24" i="36"/>
  <c r="U47" i="34"/>
  <c r="AB47" i="34"/>
  <c r="AB30" i="21"/>
  <c r="U30" i="21"/>
  <c r="AA23" i="36"/>
  <c r="S23" i="36"/>
  <c r="AC26" i="33"/>
  <c r="W26" i="33"/>
  <c r="AB12" i="21"/>
  <c r="U12" i="21"/>
  <c r="BL5" i="3"/>
  <c r="W25" i="36"/>
  <c r="AC25" i="36"/>
  <c r="W32" i="34"/>
  <c r="AC32" i="34"/>
  <c r="AA45" i="33"/>
  <c r="S45" i="33"/>
  <c r="U27" i="37"/>
  <c r="AB27" i="37"/>
  <c r="E11" i="71"/>
  <c r="E10" i="71" s="1"/>
  <c r="E9" i="71" s="1"/>
  <c r="E8" i="71" s="1"/>
  <c r="E7" i="71" s="1"/>
  <c r="E6" i="71" s="1"/>
  <c r="E5" i="71" s="1"/>
  <c r="V12" i="71"/>
  <c r="U38" i="40"/>
  <c r="AB38" i="40"/>
  <c r="AC44" i="39"/>
  <c r="W44" i="39"/>
  <c r="AA38" i="40"/>
  <c r="S38" i="40"/>
  <c r="J7" i="37"/>
  <c r="AC7" i="37" s="1"/>
  <c r="V42" i="37" s="1"/>
  <c r="I42" i="37" s="1"/>
  <c r="C35" i="71"/>
  <c r="D34" i="71"/>
  <c r="E33" i="3"/>
  <c r="E205" i="3"/>
  <c r="AC24" i="36"/>
  <c r="W24" i="36"/>
  <c r="S31" i="34"/>
  <c r="AA31" i="34"/>
  <c r="U14" i="21"/>
  <c r="AB14" i="21"/>
  <c r="AC23" i="36"/>
  <c r="W23" i="36"/>
  <c r="S26" i="33"/>
  <c r="AA26" i="33"/>
  <c r="S12" i="35"/>
  <c r="AA12" i="35"/>
  <c r="U32" i="34"/>
  <c r="AB32" i="34"/>
  <c r="AB45" i="33"/>
  <c r="U45" i="33"/>
  <c r="AC27" i="37"/>
  <c r="W27" i="37"/>
  <c r="U44" i="39"/>
  <c r="AB44" i="39"/>
  <c r="AC9" i="33"/>
  <c r="W9" i="33"/>
  <c r="C17" i="71"/>
  <c r="D18" i="71"/>
  <c r="AZ557" i="3"/>
  <c r="AZ562" i="3"/>
  <c r="AZ564" i="3"/>
  <c r="V28" i="71"/>
  <c r="E27" i="71"/>
  <c r="E26" i="71" s="1"/>
  <c r="E19" i="3"/>
  <c r="AA25" i="37"/>
  <c r="S25" i="37"/>
  <c r="AB24" i="36"/>
  <c r="U24" i="36"/>
  <c r="AC31" i="34"/>
  <c r="W31" i="34"/>
  <c r="W14" i="21"/>
  <c r="AC14" i="21"/>
  <c r="S45" i="39"/>
  <c r="AA45" i="39"/>
  <c r="AC12" i="21"/>
  <c r="W12" i="21"/>
  <c r="W12" i="35"/>
  <c r="AC12" i="35"/>
  <c r="S29" i="33"/>
  <c r="AA29" i="33"/>
  <c r="S32" i="36"/>
  <c r="AA32" i="36"/>
  <c r="F29" i="6"/>
  <c r="E61" i="43"/>
  <c r="B59" i="43" s="1"/>
  <c r="C28" i="43" s="1"/>
  <c r="B116" i="43"/>
  <c r="Z7" i="43"/>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16" i="6"/>
  <c r="E58" i="40"/>
  <c r="E62" i="39"/>
  <c r="M14" i="1"/>
  <c r="D5" i="43"/>
  <c r="C7" i="43"/>
  <c r="C5" i="43" s="1"/>
  <c r="D10" i="52"/>
  <c r="D125" i="9"/>
  <c r="D11" i="52" s="1"/>
  <c r="B7" i="74"/>
  <c r="C7" i="74" s="1"/>
  <c r="F59" i="67"/>
  <c r="H7" i="37"/>
  <c r="AB7" i="37" s="1"/>
  <c r="T42" i="37" s="1"/>
  <c r="G42" i="37" s="1"/>
  <c r="H7" i="33"/>
  <c r="J7" i="33"/>
  <c r="D65" i="40"/>
  <c r="E63" i="40"/>
  <c r="F48" i="35"/>
  <c r="S7" i="36"/>
  <c r="AA7" i="36"/>
  <c r="R36" i="36" s="1"/>
  <c r="W7" i="37"/>
  <c r="AB7" i="36"/>
  <c r="U7" i="36"/>
  <c r="F7" i="33"/>
  <c r="E58" i="21"/>
  <c r="AC7" i="36"/>
  <c r="W7" i="36"/>
  <c r="F7" i="37"/>
  <c r="M17" i="15"/>
  <c r="F59" i="15"/>
  <c r="P28" i="43"/>
  <c r="B66" i="40" s="1"/>
  <c r="P25" i="43"/>
  <c r="P29" i="43"/>
  <c r="P27" i="43"/>
  <c r="B70" i="39" s="1"/>
  <c r="C49" i="15"/>
  <c r="J18" i="15"/>
  <c r="C32" i="9"/>
  <c r="M11" i="67"/>
  <c r="J10" i="67" s="1"/>
  <c r="F11" i="15"/>
  <c r="M11" i="15"/>
  <c r="J10" i="15" s="1"/>
  <c r="J5" i="15" s="1"/>
  <c r="J24" i="15" s="1"/>
  <c r="F11" i="67"/>
  <c r="C32" i="15"/>
  <c r="Q74" i="15"/>
  <c r="Q61" i="15"/>
  <c r="AE11" i="1"/>
  <c r="AE9" i="1"/>
  <c r="F27" i="68"/>
  <c r="AE7" i="1"/>
  <c r="AE8" i="1"/>
  <c r="AE12" i="1"/>
  <c r="AE10" i="1"/>
  <c r="AE6" i="1"/>
  <c r="G1" i="73"/>
  <c r="F41" i="67"/>
  <c r="Q60" i="15" l="1"/>
  <c r="Q52" i="15"/>
  <c r="F1" i="15"/>
  <c r="F10" i="39"/>
  <c r="H10" i="39"/>
  <c r="U10" i="39" s="1"/>
  <c r="J10" i="39"/>
  <c r="W10" i="39" s="1"/>
  <c r="F10" i="40"/>
  <c r="S10" i="40" s="1"/>
  <c r="J10" i="40"/>
  <c r="AC10" i="40" s="1"/>
  <c r="H10" i="40"/>
  <c r="AB10" i="40" s="1"/>
  <c r="H6" i="3"/>
  <c r="F67" i="39"/>
  <c r="E33" i="85"/>
  <c r="C34" i="85"/>
  <c r="E34" i="85" s="1"/>
  <c r="E40" i="85"/>
  <c r="G40" i="85"/>
  <c r="I40" i="85" s="1"/>
  <c r="C6" i="84"/>
  <c r="C7" i="84" s="1"/>
  <c r="E41" i="85"/>
  <c r="G41" i="85"/>
  <c r="I41" i="85" s="1"/>
  <c r="G39" i="85"/>
  <c r="I39" i="85" s="1"/>
  <c r="E39" i="85"/>
  <c r="G38" i="85"/>
  <c r="I38" i="85" s="1"/>
  <c r="E38" i="85"/>
  <c r="V36" i="36"/>
  <c r="I36" i="36" s="1"/>
  <c r="I40" i="36" s="1"/>
  <c r="J40" i="36" s="1"/>
  <c r="G37" i="85"/>
  <c r="I37" i="85" s="1"/>
  <c r="E37" i="85"/>
  <c r="G42" i="85"/>
  <c r="I42" i="85" s="1"/>
  <c r="E42" i="85"/>
  <c r="T36" i="36"/>
  <c r="G36" i="36" s="1"/>
  <c r="G40" i="36" s="1"/>
  <c r="H40" i="36" s="1"/>
  <c r="E51" i="40"/>
  <c r="E56" i="39"/>
  <c r="D26" i="43"/>
  <c r="C25" i="43" s="1"/>
  <c r="C33" i="43" s="1"/>
  <c r="AC6" i="3"/>
  <c r="E6" i="3" s="1"/>
  <c r="C49" i="67"/>
  <c r="Q52" i="67"/>
  <c r="J5" i="67"/>
  <c r="J24" i="67" s="1"/>
  <c r="Q73" i="67"/>
  <c r="M17" i="67"/>
  <c r="Q61" i="67"/>
  <c r="B40" i="1"/>
  <c r="I18" i="82" s="1"/>
  <c r="AY6" i="3"/>
  <c r="AY463" i="3" s="1"/>
  <c r="E3" i="6"/>
  <c r="E29" i="6"/>
  <c r="F30" i="6"/>
  <c r="F31" i="6" s="1"/>
  <c r="C36" i="71"/>
  <c r="D35" i="71"/>
  <c r="B11" i="71"/>
  <c r="B10" i="71" s="1"/>
  <c r="B9" i="71" s="1"/>
  <c r="B8" i="71" s="1"/>
  <c r="B7" i="71" s="1"/>
  <c r="B6" i="71" s="1"/>
  <c r="B5" i="71" s="1"/>
  <c r="S12" i="71"/>
  <c r="E65" i="39"/>
  <c r="C16" i="71"/>
  <c r="D17"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6" i="69" s="1"/>
  <c r="C41" i="43"/>
  <c r="K21" i="6"/>
  <c r="S8" i="1" s="1"/>
  <c r="E8" i="70" s="1"/>
  <c r="F45" i="68"/>
  <c r="C47" i="68"/>
  <c r="D45" i="68" s="1"/>
  <c r="C29" i="68"/>
  <c r="D27" i="68" s="1"/>
  <c r="K25" i="6"/>
  <c r="K20" i="6"/>
  <c r="K23" i="6"/>
  <c r="K22" i="6"/>
  <c r="K24" i="6"/>
  <c r="K19" i="6"/>
  <c r="S6" i="1" s="1"/>
  <c r="O14" i="1"/>
  <c r="O16" i="1" s="1"/>
  <c r="M16" i="1"/>
  <c r="AY183" i="3"/>
  <c r="AY109" i="3"/>
  <c r="AY475" i="3"/>
  <c r="AY325" i="3"/>
  <c r="AY191" i="3"/>
  <c r="AY88" i="3"/>
  <c r="AY438" i="3"/>
  <c r="AY442" i="3"/>
  <c r="BR6" i="3"/>
  <c r="AY179" i="3"/>
  <c r="AY306" i="3"/>
  <c r="AY142" i="3"/>
  <c r="AY218" i="3"/>
  <c r="AY17" i="3"/>
  <c r="AY530" i="3"/>
  <c r="AY383" i="3"/>
  <c r="AY440" i="3"/>
  <c r="AY272" i="3"/>
  <c r="AY322" i="3"/>
  <c r="AY267" i="3"/>
  <c r="AY337" i="3"/>
  <c r="AY515" i="3"/>
  <c r="AY493" i="3"/>
  <c r="AY485" i="3"/>
  <c r="AY547" i="3"/>
  <c r="AY351" i="3"/>
  <c r="AY400" i="3"/>
  <c r="D3" i="21"/>
  <c r="E6" i="6"/>
  <c r="D37" i="11"/>
  <c r="D14" i="12"/>
  <c r="M18" i="9"/>
  <c r="B118" i="9" s="1"/>
  <c r="B1" i="74" s="1"/>
  <c r="D3" i="34"/>
  <c r="D19" i="11"/>
  <c r="C19" i="11" s="1"/>
  <c r="L18" i="9"/>
  <c r="C17" i="4"/>
  <c r="B4" i="52" s="1"/>
  <c r="B43" i="72" s="1"/>
  <c r="D3" i="33"/>
  <c r="D3" i="37"/>
  <c r="C39" i="43"/>
  <c r="C42" i="43"/>
  <c r="E42" i="43" s="1"/>
  <c r="C38" i="43"/>
  <c r="AB10" i="39"/>
  <c r="AA10" i="40"/>
  <c r="W10" i="40"/>
  <c r="AC10" i="39"/>
  <c r="U7" i="37"/>
  <c r="G67" i="39"/>
  <c r="F69" i="39"/>
  <c r="I53" i="34"/>
  <c r="J53" i="34" s="1"/>
  <c r="F58" i="21"/>
  <c r="R37" i="36"/>
  <c r="E36" i="36"/>
  <c r="F63" i="40"/>
  <c r="E65" i="40"/>
  <c r="W7" i="33"/>
  <c r="AC7" i="33"/>
  <c r="AA7" i="37"/>
  <c r="R42" i="37" s="1"/>
  <c r="S7" i="37"/>
  <c r="S7" i="33"/>
  <c r="AA7" i="33"/>
  <c r="R48" i="33" s="1"/>
  <c r="R50" i="34"/>
  <c r="E49" i="34"/>
  <c r="G53" i="34"/>
  <c r="H53" i="34" s="1"/>
  <c r="G54" i="34"/>
  <c r="H54" i="34" s="1"/>
  <c r="G46" i="37"/>
  <c r="H46" i="37" s="1"/>
  <c r="G47" i="37"/>
  <c r="H47" i="37" s="1"/>
  <c r="I46" i="37"/>
  <c r="J46" i="37" s="1"/>
  <c r="G48" i="35"/>
  <c r="U7" i="33"/>
  <c r="AB7" i="33"/>
  <c r="C53" i="67"/>
  <c r="C10" i="67"/>
  <c r="C5" i="67" s="1"/>
  <c r="C38" i="67" s="1"/>
  <c r="C53" i="15"/>
  <c r="C48" i="15" s="1"/>
  <c r="C66" i="15" s="1"/>
  <c r="C10" i="15"/>
  <c r="C5" i="15" s="1"/>
  <c r="C38" i="15" s="1"/>
  <c r="C35" i="9"/>
  <c r="M27" i="15"/>
  <c r="M27" i="67"/>
  <c r="F41" i="15"/>
  <c r="U10" i="40" l="1"/>
  <c r="C30" i="85"/>
  <c r="B2" i="85" s="1"/>
  <c r="B3" i="85" s="1"/>
  <c r="S10" i="39"/>
  <c r="AA10" i="39"/>
  <c r="AY293" i="3"/>
  <c r="AY248" i="3"/>
  <c r="AY415" i="3"/>
  <c r="AY21" i="3"/>
  <c r="AY195" i="3"/>
  <c r="AY120" i="3"/>
  <c r="AY450" i="3"/>
  <c r="AY586" i="3"/>
  <c r="AY424" i="3"/>
  <c r="AY223" i="3"/>
  <c r="AY193" i="3"/>
  <c r="AY25" i="3"/>
  <c r="AY185" i="3"/>
  <c r="AY54" i="3"/>
  <c r="AY172" i="3"/>
  <c r="AY476" i="3"/>
  <c r="AY15" i="3"/>
  <c r="AY576" i="3"/>
  <c r="AY47" i="3"/>
  <c r="AY336" i="3"/>
  <c r="BD6" i="3"/>
  <c r="AY127" i="3"/>
  <c r="AY96" i="3"/>
  <c r="AY343" i="3"/>
  <c r="AY90" i="3"/>
  <c r="V48" i="33"/>
  <c r="I48" i="33" s="1"/>
  <c r="I52" i="33" s="1"/>
  <c r="J52" i="33" s="1"/>
  <c r="C31" i="85"/>
  <c r="T48" i="33"/>
  <c r="G48" i="33" s="1"/>
  <c r="G41" i="36"/>
  <c r="H41" i="36" s="1"/>
  <c r="AY51" i="3"/>
  <c r="AY87" i="3"/>
  <c r="AY115" i="3"/>
  <c r="AY58" i="3"/>
  <c r="AY303" i="3"/>
  <c r="AY261" i="3"/>
  <c r="AY460" i="3"/>
  <c r="AY300" i="3"/>
  <c r="AY358" i="3"/>
  <c r="AY420" i="3"/>
  <c r="AY533" i="3"/>
  <c r="AY92" i="3"/>
  <c r="AY28" i="3"/>
  <c r="AY138" i="3"/>
  <c r="AY283" i="3"/>
  <c r="AY262" i="3"/>
  <c r="AY374" i="3"/>
  <c r="AY104" i="3"/>
  <c r="AY166" i="3"/>
  <c r="AY242" i="3"/>
  <c r="AY333" i="3"/>
  <c r="AY488" i="3"/>
  <c r="AY427" i="3"/>
  <c r="AY534" i="3"/>
  <c r="BG6" i="3"/>
  <c r="AY75" i="3"/>
  <c r="AY526" i="3"/>
  <c r="AY481" i="3"/>
  <c r="AY89" i="3"/>
  <c r="AY182" i="3"/>
  <c r="AY271" i="3"/>
  <c r="BI6" i="3"/>
  <c r="AY279" i="3"/>
  <c r="AY340" i="3"/>
  <c r="AY525" i="3"/>
  <c r="AY532"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34" i="3"/>
  <c r="AY188" i="3"/>
  <c r="AY268" i="3"/>
  <c r="AY196" i="3"/>
  <c r="AY209" i="3"/>
  <c r="AY409" i="3"/>
  <c r="AY260" i="3"/>
  <c r="AY327" i="3"/>
  <c r="AY401" i="3"/>
  <c r="AY541" i="3"/>
  <c r="AY61" i="3"/>
  <c r="AY190" i="3"/>
  <c r="AY165" i="3"/>
  <c r="AY294" i="3"/>
  <c r="AY214" i="3"/>
  <c r="AY360" i="3"/>
  <c r="AY73" i="3"/>
  <c r="AY145" i="3"/>
  <c r="AY210" i="3"/>
  <c r="AY348" i="3"/>
  <c r="AY462" i="3"/>
  <c r="AY411" i="3"/>
  <c r="BF6" i="3"/>
  <c r="AY98" i="3"/>
  <c r="AY387" i="3"/>
  <c r="AY199" i="3"/>
  <c r="AY404" i="3"/>
  <c r="AY85" i="3"/>
  <c r="AY146" i="3"/>
  <c r="AY222" i="3"/>
  <c r="AY93" i="3"/>
  <c r="AY243" i="3"/>
  <c r="AY464" i="3"/>
  <c r="BN6" i="3"/>
  <c r="AY556"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23" i="3"/>
  <c r="AY152" i="3"/>
  <c r="AY225" i="3"/>
  <c r="AY160" i="3"/>
  <c r="AY363" i="3"/>
  <c r="AY529" i="3"/>
  <c r="AY228" i="3"/>
  <c r="AY465" i="3"/>
  <c r="AY549" i="3"/>
  <c r="BE6" i="3"/>
  <c r="AY76" i="3"/>
  <c r="AY201" i="3"/>
  <c r="AY133" i="3"/>
  <c r="AY247" i="3"/>
  <c r="AY219" i="3"/>
  <c r="AY554" i="3"/>
  <c r="AY24" i="3"/>
  <c r="AY295" i="3"/>
  <c r="AY388" i="3"/>
  <c r="AY316" i="3"/>
  <c r="AY446" i="3"/>
  <c r="BQ6" i="3"/>
  <c r="AY495" i="3"/>
  <c r="AY18" i="3"/>
  <c r="AY334" i="3"/>
  <c r="AY390" i="3"/>
  <c r="AY562" i="3"/>
  <c r="AY53" i="3"/>
  <c r="AY126" i="3"/>
  <c r="AY211" i="3"/>
  <c r="AY40" i="3"/>
  <c r="AY356" i="3"/>
  <c r="AY454" i="3"/>
  <c r="AY527"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367" i="3"/>
  <c r="AY70" i="3"/>
  <c r="AY314" i="3"/>
  <c r="AY187" i="3"/>
  <c r="AY502" i="3"/>
  <c r="AY484" i="3"/>
  <c r="AY282" i="3"/>
  <c r="AY514" i="3"/>
  <c r="AY324" i="3"/>
  <c r="AY373" i="3"/>
  <c r="AY84" i="3"/>
  <c r="AY116" i="3"/>
  <c r="AY112" i="3"/>
  <c r="AY150" i="3"/>
  <c r="AY574" i="3"/>
  <c r="AY510" i="3"/>
  <c r="AY349" i="3"/>
  <c r="AY397" i="3"/>
  <c r="AY44" i="3"/>
  <c r="AY372" i="3"/>
  <c r="AY335"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256" i="3"/>
  <c r="AY587" i="3"/>
  <c r="AY376" i="3"/>
  <c r="AY78" i="3"/>
  <c r="AY499" i="3"/>
  <c r="AY328" i="3"/>
  <c r="AY169" i="3"/>
  <c r="AY552" i="3"/>
  <c r="AY215" i="3"/>
  <c r="AY270" i="3"/>
  <c r="AY539" i="3"/>
  <c r="AY455" i="3"/>
  <c r="AY508" i="3"/>
  <c r="AY389" i="3"/>
  <c r="AY355" i="3"/>
  <c r="AY585" i="3"/>
  <c r="AY290" i="3"/>
  <c r="AY231" i="3"/>
  <c r="AY108" i="3"/>
  <c r="AY26" i="3"/>
  <c r="AY111"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119" i="3"/>
  <c r="AY517" i="3"/>
  <c r="AY264" i="3"/>
  <c r="BA6" i="3"/>
  <c r="AY423" i="3"/>
  <c r="AY345" i="3"/>
  <c r="AY37" i="3"/>
  <c r="AY580" i="3"/>
  <c r="AY161" i="3"/>
  <c r="AY134" i="3"/>
  <c r="AY417" i="3"/>
  <c r="AY147" i="3"/>
  <c r="AY435" i="3"/>
  <c r="AY302" i="3"/>
  <c r="AY425" i="3"/>
  <c r="AY430" i="3"/>
  <c r="AY202" i="3"/>
  <c r="AY125" i="3"/>
  <c r="BK6" i="3"/>
  <c r="AY470" i="3"/>
  <c r="AY155" i="3"/>
  <c r="AY577" i="3"/>
  <c r="AY518" i="3"/>
  <c r="AY403" i="3"/>
  <c r="AY467" i="3"/>
  <c r="AY226" i="3"/>
  <c r="AY186" i="3"/>
  <c r="BS6" i="3"/>
  <c r="AY239" i="3"/>
  <c r="AY157" i="3"/>
  <c r="AY36" i="3"/>
  <c r="BO6" i="3"/>
  <c r="AY447" i="3"/>
  <c r="AY244" i="3"/>
  <c r="AY486" i="3"/>
  <c r="AY163" i="3"/>
  <c r="AY501" i="3"/>
  <c r="AY571" i="3"/>
  <c r="BM6" i="3"/>
  <c r="AY398" i="3"/>
  <c r="AY472" i="3"/>
  <c r="AY332" i="3"/>
  <c r="AY353" i="3"/>
  <c r="AY259" i="3"/>
  <c r="AY177" i="3"/>
  <c r="AY56" i="3"/>
  <c r="BH6" i="3"/>
  <c r="AY381" i="3"/>
  <c r="AY230" i="3"/>
  <c r="AY278" i="3"/>
  <c r="AY118" i="3"/>
  <c r="AY154" i="3"/>
  <c r="AY33" i="3"/>
  <c r="AY45" i="3"/>
  <c r="AY97" i="3"/>
  <c r="AY544" i="3"/>
  <c r="AY433" i="3"/>
  <c r="AY310" i="3"/>
  <c r="AY217" i="3"/>
  <c r="AY180" i="3"/>
  <c r="AY441" i="3"/>
  <c r="AY319" i="3"/>
  <c r="AY204" i="3"/>
  <c r="AY289" i="3"/>
  <c r="AY103" i="3"/>
  <c r="AY382" i="3"/>
  <c r="AY297" i="3"/>
  <c r="AY131" i="3"/>
  <c r="AY95" i="3"/>
  <c r="AY176" i="3"/>
  <c r="AY83" i="3"/>
  <c r="AY473" i="3"/>
  <c r="AY284" i="3"/>
  <c r="AY74" i="3"/>
  <c r="AY50" i="3"/>
  <c r="AY371" i="3"/>
  <c r="AY253" i="3"/>
  <c r="AY276" i="3"/>
  <c r="AY59" i="3"/>
  <c r="AY144" i="3"/>
  <c r="AY66"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C7" i="69"/>
  <c r="L36" i="85"/>
  <c r="F22" i="84"/>
  <c r="L36" i="43"/>
  <c r="Q36" i="43" s="1"/>
  <c r="I18" i="81"/>
  <c r="C48" i="67"/>
  <c r="C66" i="67" s="1"/>
  <c r="F24" i="15"/>
  <c r="C24" i="15" s="1"/>
  <c r="F24" i="67"/>
  <c r="C24" i="67" s="1"/>
  <c r="F22" i="69"/>
  <c r="F41" i="69" s="1"/>
  <c r="F22" i="68"/>
  <c r="F41" i="68" s="1"/>
  <c r="F25" i="12"/>
  <c r="C26" i="12" s="1"/>
  <c r="D25" i="12" s="1"/>
  <c r="F22" i="11"/>
  <c r="D116" i="43"/>
  <c r="K15" i="1"/>
  <c r="K16" i="1" s="1"/>
  <c r="E30" i="6"/>
  <c r="E31" i="6" s="1"/>
  <c r="C15" i="71"/>
  <c r="T16" i="71"/>
  <c r="D16" i="71"/>
  <c r="U16" i="71" s="1"/>
  <c r="T36" i="71"/>
  <c r="D36"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F50" i="84"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H48" i="35"/>
  <c r="C49" i="34"/>
  <c r="C50" i="34"/>
  <c r="I41" i="36"/>
  <c r="J41" i="36" s="1"/>
  <c r="R43" i="37"/>
  <c r="E42" i="37"/>
  <c r="G63" i="40"/>
  <c r="F65" i="40"/>
  <c r="C37" i="36"/>
  <c r="C36" i="36"/>
  <c r="D35" i="82" s="1"/>
  <c r="J8" i="82" s="1"/>
  <c r="G58" i="21"/>
  <c r="C60" i="15"/>
  <c r="C34" i="9"/>
  <c r="D10" i="68"/>
  <c r="C17" i="67"/>
  <c r="C34" i="69"/>
  <c r="D10" i="69"/>
  <c r="D10" i="84"/>
  <c r="C17" i="15"/>
  <c r="C14" i="67"/>
  <c r="C34" i="84"/>
  <c r="H25" i="6" l="1"/>
  <c r="G52" i="33"/>
  <c r="H52" i="33" s="1"/>
  <c r="G53" i="33"/>
  <c r="H53" i="33" s="1"/>
  <c r="I53" i="33"/>
  <c r="J53" i="33" s="1"/>
  <c r="C35" i="84"/>
  <c r="C38" i="84"/>
  <c r="D19" i="84"/>
  <c r="D37" i="84" s="1"/>
  <c r="C37" i="84" s="1"/>
  <c r="C10" i="84"/>
  <c r="C8" i="84" s="1"/>
  <c r="C5" i="84" s="1"/>
  <c r="C23" i="84" s="1"/>
  <c r="E7" i="70"/>
  <c r="L37" i="43"/>
  <c r="O37" i="43" s="1"/>
  <c r="Q36" i="85"/>
  <c r="M36" i="85"/>
  <c r="L37" i="85"/>
  <c r="N36" i="85"/>
  <c r="P36" i="85"/>
  <c r="O36" i="85"/>
  <c r="F41" i="84"/>
  <c r="C24" i="84"/>
  <c r="C44" i="84"/>
  <c r="D41" i="84" s="1"/>
  <c r="C26" i="84"/>
  <c r="D22" i="84" s="1"/>
  <c r="P36" i="43"/>
  <c r="M36" i="43"/>
  <c r="O36" i="43"/>
  <c r="N36" i="43"/>
  <c r="C25" i="11"/>
  <c r="C60" i="67"/>
  <c r="C24" i="11"/>
  <c r="C23" i="11"/>
  <c r="C44" i="69"/>
  <c r="D41" i="69" s="1"/>
  <c r="M37" i="43"/>
  <c r="C26" i="11"/>
  <c r="D22" i="11" s="1"/>
  <c r="C44" i="11"/>
  <c r="D41" i="11" s="1"/>
  <c r="C26" i="69"/>
  <c r="D22" i="69" s="1"/>
  <c r="C26" i="68"/>
  <c r="D22" i="68" s="1"/>
  <c r="C23" i="68"/>
  <c r="C44" i="68"/>
  <c r="D41" i="68" s="1"/>
  <c r="D15" i="71"/>
  <c r="C14"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D35" i="81" s="1"/>
  <c r="C49" i="33"/>
  <c r="H58" i="21"/>
  <c r="E47" i="37"/>
  <c r="F47" i="37" s="1"/>
  <c r="E46" i="37"/>
  <c r="F46" i="37" s="1"/>
  <c r="I47" i="37"/>
  <c r="J47" i="37" s="1"/>
  <c r="E53" i="33"/>
  <c r="F53" i="33" s="1"/>
  <c r="E52" i="33"/>
  <c r="F52" i="33" s="1"/>
  <c r="C33" i="15"/>
  <c r="C33" i="67"/>
  <c r="J19" i="67"/>
  <c r="C34" i="68"/>
  <c r="C14" i="15"/>
  <c r="B6" i="76"/>
  <c r="E6" i="76"/>
  <c r="C33" i="84" l="1"/>
  <c r="C39" i="84" s="1"/>
  <c r="E2" i="70"/>
  <c r="C20" i="84"/>
  <c r="C25" i="84" s="1"/>
  <c r="C22" i="84" s="1"/>
  <c r="N37" i="43"/>
  <c r="P37" i="43"/>
  <c r="Q37" i="43"/>
  <c r="Q37" i="85"/>
  <c r="M37" i="85"/>
  <c r="P37" i="85"/>
  <c r="O37" i="85"/>
  <c r="N37" i="85"/>
  <c r="C22" i="11"/>
  <c r="C31" i="11" s="1"/>
  <c r="C13" i="71"/>
  <c r="D14"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8" i="84" l="1"/>
  <c r="C27" i="84" s="1"/>
  <c r="C31" i="84" s="1"/>
  <c r="C42" i="84"/>
  <c r="C46" i="84"/>
  <c r="C45" i="84" s="1"/>
  <c r="C43" i="84"/>
  <c r="D13" i="71"/>
  <c r="C12"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C41" i="84" l="1"/>
  <c r="C49" i="84" s="1"/>
  <c r="C51" i="84" s="1"/>
  <c r="C7" i="82" s="1"/>
  <c r="AA7" i="21"/>
  <c r="R48" i="21" s="1"/>
  <c r="R49" i="21" s="1"/>
  <c r="C11" i="71"/>
  <c r="T12" i="71"/>
  <c r="D12" i="71"/>
  <c r="U12" i="7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G52" i="21"/>
  <c r="H52" i="21" s="1"/>
  <c r="G53" i="21"/>
  <c r="H53" i="21" s="1"/>
  <c r="F7" i="35"/>
  <c r="M21" i="15"/>
  <c r="F35" i="15"/>
  <c r="M21" i="67"/>
  <c r="F35" i="67"/>
  <c r="E48" i="21" l="1"/>
  <c r="C52" i="84"/>
  <c r="B2" i="84" s="1"/>
  <c r="D11" i="71"/>
  <c r="C10"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L69" i="39"/>
  <c r="M67" i="39"/>
  <c r="S7" i="35"/>
  <c r="AA7" i="35"/>
  <c r="R38" i="35" s="1"/>
  <c r="C49" i="21"/>
  <c r="C48" i="21"/>
  <c r="E52" i="21"/>
  <c r="F52" i="21" s="1"/>
  <c r="E53" i="21"/>
  <c r="F53" i="21" s="1"/>
  <c r="G42" i="35"/>
  <c r="H42" i="35" s="1"/>
  <c r="G43" i="35"/>
  <c r="H43" i="35" s="1"/>
  <c r="I53" i="21"/>
  <c r="J53" i="21" s="1"/>
  <c r="K65" i="40"/>
  <c r="L63" i="40"/>
  <c r="I42" i="35"/>
  <c r="J42" i="35" s="1"/>
  <c r="B3" i="84"/>
  <c r="C3" i="82" l="1"/>
  <c r="C57" i="84"/>
  <c r="C56" i="84" s="1"/>
  <c r="C51" i="69"/>
  <c r="C23" i="81"/>
  <c r="D10" i="71"/>
  <c r="C9"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52" i="69" l="1"/>
  <c r="B2" i="69" s="1"/>
  <c r="C7" i="81"/>
  <c r="C8" i="71"/>
  <c r="D9"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B3" i="69"/>
  <c r="L51" i="67"/>
  <c r="C3" i="81" l="1"/>
  <c r="C4" i="81" s="1"/>
  <c r="C57" i="69"/>
  <c r="C56" i="69" s="1"/>
  <c r="D8" i="71"/>
  <c r="C7"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D2" i="35"/>
  <c r="D2" i="36"/>
  <c r="D7" i="71" l="1"/>
  <c r="C6"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1" i="1"/>
  <c r="AO7" i="1"/>
  <c r="AO9" i="1"/>
  <c r="AO10" i="1"/>
  <c r="AO8" i="1"/>
  <c r="AO12" i="1"/>
  <c r="D6" i="71" l="1"/>
  <c r="C5" i="71"/>
  <c r="D5" i="71" s="1"/>
  <c r="M24" i="43"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2" l="1"/>
  <c r="E16" i="82" s="1"/>
  <c r="C17" i="82"/>
  <c r="C16" i="82" l="1"/>
  <c r="C23" i="82"/>
  <c r="C18" i="81"/>
  <c r="E16" i="81" s="1"/>
  <c r="C17" i="81"/>
  <c r="C26" i="82" l="1"/>
  <c r="C27" i="82"/>
  <c r="C16" i="81"/>
  <c r="C24" i="82" l="1"/>
  <c r="C26" i="81"/>
  <c r="C27" i="81"/>
  <c r="C24" i="81" l="1"/>
  <c r="C29" i="81" s="1"/>
  <c r="C30" i="81" s="1"/>
  <c r="D36" i="81" s="1"/>
  <c r="H36" i="81" s="1"/>
  <c r="J9" i="81" l="1"/>
  <c r="C4" i="82" l="1"/>
  <c r="C29" i="82" s="1"/>
  <c r="C30" i="82" s="1"/>
  <c r="D36" i="82" s="1"/>
  <c r="D37" i="82" s="1"/>
  <c r="J9" i="82" l="1"/>
  <c r="G35" i="82"/>
  <c r="G37" i="82" l="1"/>
  <c r="J10" i="82"/>
  <c r="E38" i="82"/>
  <c r="E39" i="82" s="1"/>
  <c r="C38" i="82"/>
  <c r="C39" i="82" s="1"/>
  <c r="D37" i="81" l="1"/>
  <c r="L32" i="81" s="1"/>
  <c r="J8" i="81"/>
  <c r="E38" i="81" l="1"/>
  <c r="E39" i="81" s="1"/>
  <c r="E10" i="74"/>
  <c r="B10" i="74" s="1"/>
  <c r="D14" i="74" s="1"/>
  <c r="C38" i="81"/>
  <c r="C39" i="81" s="1"/>
  <c r="J10" i="81"/>
  <c r="G37" i="81"/>
  <c r="F14" i="74" l="1"/>
  <c r="E14" i="74"/>
  <c r="B5" i="74"/>
  <c r="D5" i="74" l="1"/>
  <c r="E81" i="9"/>
  <c r="E80" i="9"/>
  <c r="C80" i="9"/>
  <c r="M54" i="9"/>
  <c r="D56" i="9"/>
  <c r="D58" i="9"/>
  <c r="C97" i="9"/>
  <c r="B30" i="72"/>
  <c r="C73" i="9"/>
  <c r="C78" i="9"/>
  <c r="B20" i="72"/>
  <c r="B21" i="72"/>
  <c r="D7" i="53"/>
  <c r="D54" i="9"/>
  <c r="C68" i="9"/>
  <c r="M55" i="9"/>
  <c r="C64" i="9"/>
  <c r="C63" i="9"/>
  <c r="C67" i="9"/>
  <c r="D59" i="9"/>
  <c r="B47" i="72"/>
  <c r="D4" i="52"/>
  <c r="D5" i="53"/>
  <c r="D6" i="53"/>
  <c r="B22" i="72"/>
  <c r="C72" i="9"/>
  <c r="C79" i="9"/>
  <c r="C81" i="9"/>
  <c r="D8" i="52"/>
  <c r="E97" i="9"/>
  <c r="E96" i="9"/>
  <c r="C85" i="9"/>
  <c r="C95" i="9"/>
  <c r="C96" i="9"/>
  <c r="N61" i="9"/>
  <c r="N59" i="9"/>
  <c r="N60" i="9"/>
  <c r="C6" i="74"/>
  <c r="D118" i="9"/>
  <c r="D119" i="9"/>
  <c r="D5" i="52"/>
  <c r="B49" i="72"/>
  <c r="D122" i="9"/>
  <c r="D123" i="9"/>
  <c r="D9" i="52"/>
  <c r="F4" i="52"/>
  <c r="B51" i="72"/>
  <c r="C105" i="9"/>
  <c r="I4" i="52"/>
  <c r="H5" i="52"/>
  <c r="H119" i="9"/>
  <c r="D13" i="53"/>
  <c r="D14" i="53"/>
  <c r="B32" i="72"/>
  <c r="C104" i="9"/>
  <c r="H4" i="52"/>
  <c r="M48" i="9"/>
  <c r="G4" i="52"/>
  <c r="B52" i="72"/>
  <c r="N58" i="9"/>
  <c r="D55" i="9"/>
  <c r="M53" i="9"/>
  <c r="N57" i="9"/>
  <c r="P57" i="9"/>
  <c r="G118" i="9"/>
  <c r="F118" i="9"/>
  <c r="F119" i="9"/>
  <c r="F5" i="52"/>
  <c r="B53" i="72"/>
  <c r="H107" i="9"/>
  <c r="H108" i="9"/>
  <c r="D15" i="53"/>
  <c r="B31" i="72"/>
  <c r="C86" i="9"/>
  <c r="C93" i="9"/>
  <c r="H102" i="9"/>
  <c r="C5" i="74"/>
  <c r="E118" i="9"/>
  <c r="E4" i="52"/>
  <c r="B48" i="72"/>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C7B3F4AE-6DA4-4054-A9EA-168FF14F7C9D}">
      <text>
        <r>
          <rPr>
            <b/>
            <sz val="9"/>
            <color indexed="81"/>
            <rFont val="宋体"/>
            <family val="3"/>
            <charset val="134"/>
          </rPr>
          <t>对应区片地价表</t>
        </r>
        <r>
          <rPr>
            <sz val="9"/>
            <color indexed="81"/>
            <rFont val="宋体"/>
            <family val="3"/>
            <charset val="134"/>
          </rPr>
          <t xml:space="preserve">
</t>
        </r>
      </text>
    </comment>
    <comment ref="Y9" authorId="1" shapeId="0" xr:uid="{C529EAD2-0A6E-4552-B9E3-4843FDE47FB3}">
      <text>
        <r>
          <rPr>
            <sz val="11"/>
            <color indexed="81"/>
            <rFont val="宋体"/>
            <family val="3"/>
            <charset val="134"/>
          </rPr>
          <t xml:space="preserve">录入层数，将对应的结果录入至左侧相应层的楼层修正系数单元格中
</t>
        </r>
      </text>
    </comment>
    <comment ref="C16" authorId="1" shapeId="0" xr:uid="{B7DBDCB2-AFF1-4F0F-B4CF-5553D49865AB}">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AE413699-111B-4DBA-906A-0A596C1DBD8D}">
      <text>
        <r>
          <rPr>
            <sz val="12"/>
            <color indexed="81"/>
            <rFont val="宋体"/>
            <family val="3"/>
            <charset val="134"/>
          </rPr>
          <t>1.05~1.1</t>
        </r>
        <r>
          <rPr>
            <sz val="9"/>
            <color indexed="81"/>
            <rFont val="宋体"/>
            <family val="3"/>
            <charset val="134"/>
          </rPr>
          <t xml:space="preserve">
</t>
        </r>
      </text>
    </comment>
    <comment ref="E16" authorId="1" shapeId="0" xr:uid="{DA8B01B2-440C-46B2-AC09-2B08C62B79DB}">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ACDEE397-0560-4CDB-84EB-1EE43A909619}">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1ECA68BF-8FC7-4094-A75F-1EE5375E6ED2}">
      <text>
        <r>
          <rPr>
            <b/>
            <sz val="14"/>
            <color indexed="81"/>
            <rFont val="宋体"/>
            <family val="3"/>
            <charset val="134"/>
          </rPr>
          <t>工业选“中心城区”</t>
        </r>
        <r>
          <rPr>
            <sz val="9"/>
            <color indexed="81"/>
            <rFont val="宋体"/>
            <family val="3"/>
            <charset val="134"/>
          </rPr>
          <t xml:space="preserve">
</t>
        </r>
      </text>
    </comment>
    <comment ref="B35" authorId="4" shapeId="0" xr:uid="{30B283CA-E892-4666-85A0-4F22A355AFDB}">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AE730159-50A9-4BA6-9CD9-5DF44D030048}">
      <text>
        <r>
          <rPr>
            <sz val="9"/>
            <color indexed="81"/>
            <rFont val="宋体"/>
            <family val="3"/>
            <charset val="134"/>
          </rPr>
          <t xml:space="preserve">需在此处填写剩余土地年限
</t>
        </r>
      </text>
    </comment>
    <comment ref="C111" authorId="0" shapeId="0" xr:uid="{BAFA71DC-E72B-4B6B-9B8D-4071F83D0114}">
      <text>
        <r>
          <rPr>
            <b/>
            <sz val="9"/>
            <color indexed="81"/>
            <rFont val="宋体"/>
            <family val="3"/>
            <charset val="134"/>
          </rPr>
          <t xml:space="preserve">所在楼层
</t>
        </r>
        <r>
          <rPr>
            <sz val="9"/>
            <color indexed="81"/>
            <rFont val="宋体"/>
            <family val="3"/>
            <charset val="134"/>
          </rPr>
          <t xml:space="preserve">
</t>
        </r>
      </text>
    </comment>
    <comment ref="D111" authorId="0" shapeId="0" xr:uid="{77B214EF-69B3-4035-9C13-DDECD96332DD}">
      <text>
        <r>
          <rPr>
            <b/>
            <sz val="9"/>
            <color indexed="81"/>
            <rFont val="宋体"/>
            <family val="3"/>
            <charset val="134"/>
          </rPr>
          <t xml:space="preserve">所在楼层
</t>
        </r>
        <r>
          <rPr>
            <sz val="9"/>
            <color indexed="81"/>
            <rFont val="宋体"/>
            <family val="3"/>
            <charset val="134"/>
          </rPr>
          <t xml:space="preserve">
</t>
        </r>
      </text>
    </comment>
    <comment ref="E111" authorId="0" shapeId="0" xr:uid="{DC2AB940-8FE1-4419-857D-D49E6F0CB622}">
      <text>
        <r>
          <rPr>
            <b/>
            <sz val="9"/>
            <color indexed="81"/>
            <rFont val="宋体"/>
            <family val="3"/>
            <charset val="134"/>
          </rPr>
          <t xml:space="preserve">所在楼层
</t>
        </r>
        <r>
          <rPr>
            <sz val="9"/>
            <color indexed="81"/>
            <rFont val="宋体"/>
            <family val="3"/>
            <charset val="134"/>
          </rPr>
          <t xml:space="preserve">
</t>
        </r>
      </text>
    </comment>
    <comment ref="F111" authorId="0" shapeId="0" xr:uid="{03941D03-90D3-41AA-95B8-55FB8E753FDE}">
      <text>
        <r>
          <rPr>
            <b/>
            <sz val="9"/>
            <color indexed="81"/>
            <rFont val="宋体"/>
            <family val="3"/>
            <charset val="134"/>
          </rPr>
          <t xml:space="preserve">所在楼层
</t>
        </r>
        <r>
          <rPr>
            <sz val="9"/>
            <color indexed="81"/>
            <rFont val="宋体"/>
            <family val="3"/>
            <charset val="134"/>
          </rPr>
          <t xml:space="preserve">
</t>
        </r>
      </text>
    </comment>
    <comment ref="G111" authorId="0" shapeId="0" xr:uid="{E1EC3C71-87B2-41E7-B5C9-FB82D4943231}">
      <text>
        <r>
          <rPr>
            <b/>
            <sz val="9"/>
            <color indexed="81"/>
            <rFont val="宋体"/>
            <family val="3"/>
            <charset val="134"/>
          </rPr>
          <t xml:space="preserve">所在楼层
</t>
        </r>
        <r>
          <rPr>
            <sz val="9"/>
            <color indexed="81"/>
            <rFont val="宋体"/>
            <family val="3"/>
            <charset val="134"/>
          </rPr>
          <t xml:space="preserve">
</t>
        </r>
      </text>
    </comment>
    <comment ref="H111" authorId="0" shapeId="0" xr:uid="{6893FDB0-CE14-408E-AC91-29FD958073EE}">
      <text>
        <r>
          <rPr>
            <b/>
            <sz val="9"/>
            <color indexed="81"/>
            <rFont val="宋体"/>
            <family val="3"/>
            <charset val="134"/>
          </rPr>
          <t xml:space="preserve">所在楼层
</t>
        </r>
        <r>
          <rPr>
            <sz val="9"/>
            <color indexed="81"/>
            <rFont val="宋体"/>
            <family val="3"/>
            <charset val="134"/>
          </rPr>
          <t xml:space="preserve">
</t>
        </r>
      </text>
    </comment>
    <comment ref="I111" authorId="0" shapeId="0" xr:uid="{D8A169EB-C966-4DDB-B6A2-42EF834ABA13}">
      <text>
        <r>
          <rPr>
            <b/>
            <sz val="9"/>
            <color indexed="81"/>
            <rFont val="宋体"/>
            <family val="3"/>
            <charset val="134"/>
          </rPr>
          <t xml:space="preserve">所在楼层
</t>
        </r>
        <r>
          <rPr>
            <sz val="9"/>
            <color indexed="81"/>
            <rFont val="宋体"/>
            <family val="3"/>
            <charset val="134"/>
          </rPr>
          <t xml:space="preserve">
</t>
        </r>
      </text>
    </comment>
    <comment ref="J111" authorId="0" shapeId="0" xr:uid="{E021B961-3F17-45C6-BC2C-B88232624D56}">
      <text>
        <r>
          <rPr>
            <b/>
            <sz val="9"/>
            <color indexed="81"/>
            <rFont val="宋体"/>
            <family val="3"/>
            <charset val="134"/>
          </rPr>
          <t xml:space="preserve">所在楼层
</t>
        </r>
        <r>
          <rPr>
            <sz val="9"/>
            <color indexed="81"/>
            <rFont val="宋体"/>
            <family val="3"/>
            <charset val="134"/>
          </rPr>
          <t xml:space="preserve">
</t>
        </r>
      </text>
    </comment>
    <comment ref="K111" authorId="0" shapeId="0" xr:uid="{8F8AA0C6-D283-48C4-AA37-9DAD903F2BAB}">
      <text>
        <r>
          <rPr>
            <b/>
            <sz val="9"/>
            <color indexed="81"/>
            <rFont val="宋体"/>
            <family val="3"/>
            <charset val="134"/>
          </rPr>
          <t xml:space="preserve">所在楼层
</t>
        </r>
        <r>
          <rPr>
            <sz val="9"/>
            <color indexed="81"/>
            <rFont val="宋体"/>
            <family val="3"/>
            <charset val="134"/>
          </rPr>
          <t xml:space="preserve">
</t>
        </r>
      </text>
    </comment>
    <comment ref="L111" authorId="0" shapeId="0" xr:uid="{E451953E-B2A6-4A09-9B69-986007E6740F}">
      <text>
        <r>
          <rPr>
            <b/>
            <sz val="9"/>
            <color indexed="81"/>
            <rFont val="宋体"/>
            <family val="3"/>
            <charset val="134"/>
          </rPr>
          <t xml:space="preserve">所在楼层
</t>
        </r>
        <r>
          <rPr>
            <sz val="9"/>
            <color indexed="81"/>
            <rFont val="宋体"/>
            <family val="3"/>
            <charset val="134"/>
          </rPr>
          <t xml:space="preserve">
</t>
        </r>
      </text>
    </comment>
    <comment ref="M111" authorId="0" shapeId="0" xr:uid="{AC17CAEE-500F-4CA0-96AA-0CF72CB96D34}">
      <text>
        <r>
          <rPr>
            <b/>
            <sz val="9"/>
            <color indexed="81"/>
            <rFont val="宋体"/>
            <family val="3"/>
            <charset val="134"/>
          </rPr>
          <t xml:space="preserve">所在楼层
</t>
        </r>
        <r>
          <rPr>
            <sz val="9"/>
            <color indexed="81"/>
            <rFont val="宋体"/>
            <family val="3"/>
            <charset val="134"/>
          </rPr>
          <t xml:space="preserve">
</t>
        </r>
      </text>
    </comment>
    <comment ref="N111" authorId="0" shapeId="0" xr:uid="{C1204699-CB41-4A20-8BE3-ACE679B49D06}">
      <text>
        <r>
          <rPr>
            <b/>
            <sz val="9"/>
            <color indexed="81"/>
            <rFont val="宋体"/>
            <family val="3"/>
            <charset val="134"/>
          </rPr>
          <t xml:space="preserve">所在楼层
</t>
        </r>
        <r>
          <rPr>
            <sz val="9"/>
            <color indexed="81"/>
            <rFont val="宋体"/>
            <family val="3"/>
            <charset val="134"/>
          </rPr>
          <t xml:space="preserve">
</t>
        </r>
      </text>
    </comment>
    <comment ref="D116" authorId="0" shapeId="0" xr:uid="{53325515-77C4-447F-8652-FBA1E8C170B1}">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<sst xmlns="http://schemas.openxmlformats.org/spreadsheetml/2006/main" count="8735" uniqueCount="3596">
  <si>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</si>
  <si>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</si>
  <si>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</si>
  <si>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</si>
  <si>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</si>
  <si>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</si>
  <si>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</si>
  <si>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</si>
  <si>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</si>
  <si>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</si>
  <si>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</si>
  <si>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</si>
  <si>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</si>
  <si>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</si>
  <si>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</si>
  <si>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</si>
  <si>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</si>
  <si>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</si>
  <si>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</si>
  <si>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</si>
  <si>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</si>
  <si>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</si>
  <si>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</si>
  <si>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</si>
  <si>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</si>
  <si>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</si>
  <si>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</si>
  <si>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</si>
  <si>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</si>
  <si>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</si>
  <si>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</si>
  <si>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</si>
  <si>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</si>
  <si>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</si>
  <si>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</si>
  <si>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</si>
  <si>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</si>
  <si>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</si>
  <si>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</si>
  <si>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</si>
  <si>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</si>
  <si>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</si>
  <si>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</si>
  <si>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</si>
  <si>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</si>
  <si>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</si>
  <si>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</si>
  <si>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</si>
  <si>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</si>
  <si>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</si>
  <si>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</si>
  <si>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</si>
  <si>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</si>
  <si>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</si>
  <si>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</si>
  <si>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</si>
  <si>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</si>
  <si>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</si>
  <si>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</si>
  <si>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</si>
  <si>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</si>
  <si>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</si>
  <si>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</si>
  <si>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</si>
  <si>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</si>
  <si>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</si>
  <si>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</si>
  <si>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</si>
  <si>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</si>
  <si>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</si>
  <si>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</si>
  <si>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</si>
  <si>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</si>
  <si>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</si>
  <si>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</si>
  <si>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</si>
  <si>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</si>
  <si>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</si>
  <si>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</si>
  <si>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</si>
  <si>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</si>
  <si>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</si>
  <si>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</si>
  <si>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</si>
  <si>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</si>
  <si>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</si>
  <si>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</si>
  <si>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</si>
  <si>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</si>
  <si>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</si>
  <si>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</si>
  <si>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</si>
  <si>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</si>
  <si>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</si>
  <si>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</si>
  <si>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</si>
  <si>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</si>
  <si>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</si>
  <si>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</si>
  <si>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</si>
  <si>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</si>
  <si>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</si>
  <si>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</si>
  <si>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</si>
  <si>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</si>
  <si>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</si>
  <si>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</si>
  <si>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</si>
  <si>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</si>
  <si>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</si>
  <si>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</si>
  <si>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</si>
  <si>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</si>
  <si>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</si>
  <si>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</si>
  <si>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</si>
  <si>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</si>
  <si>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</si>
  <si>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</si>
  <si>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</si>
  <si>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</si>
  <si>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</si>
  <si>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</si>
  <si>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</si>
  <si>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</si>
  <si>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</si>
  <si>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</si>
  <si>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</si>
  <si>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</si>
  <si>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</si>
  <si>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</si>
  <si>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</si>
  <si>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</si>
  <si>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</si>
  <si>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</si>
  <si>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</si>
  <si>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</si>
  <si>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</si>
  <si>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</si>
  <si>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</si>
  <si>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</si>
  <si>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</si>
  <si>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</si>
  <si>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</si>
  <si>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</si>
  <si>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</si>
  <si>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</si>
  <si>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</si>
  <si>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</si>
  <si>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</si>
  <si>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</si>
  <si>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</si>
  <si>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</si>
  <si>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</si>
  <si>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</si>
  <si>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</si>
  <si>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</si>
  <si>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</si>
  <si>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</si>
  <si>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</si>
  <si>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</si>
  <si>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</si>
  <si>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</si>
  <si>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</si>
  <si>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</si>
  <si>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</si>
  <si>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</si>
  <si>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</si>
  <si>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</si>
  <si>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</si>
  <si>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</si>
  <si>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</si>
  <si>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</si>
  <si>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</si>
  <si>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</si>
  <si>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</si>
  <si>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</si>
  <si>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</si>
  <si>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</si>
  <si>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</si>
  <si>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</si>
  <si>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</si>
  <si>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</si>
  <si>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</si>
  <si>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</si>
  <si>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</si>
  <si>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</si>
  <si>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</si>
  <si>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</si>
  <si>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</si>
  <si>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</si>
  <si>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</si>
  <si>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</si>
  <si>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</si>
  <si>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</si>
  <si>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</si>
  <si>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</si>
  <si>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</si>
  <si>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</si>
  <si>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</si>
  <si>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</si>
  <si>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</si>
  <si>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</si>
  <si>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</si>
  <si>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</si>
  <si>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</si>
  <si>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</si>
  <si>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</si>
  <si>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</si>
  <si>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</si>
  <si>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</si>
  <si>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</si>
  <si>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</si>
  <si>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</si>
  <si>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</si>
  <si>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</si>
  <si>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</si>
  <si>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</si>
  <si>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</si>
  <si>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</si>
  <si>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</si>
  <si>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</si>
  <si>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</si>
  <si>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</si>
  <si>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</si>
  <si>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</si>
  <si>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</si>
  <si>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</si>
  <si>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</si>
  <si>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</si>
  <si>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</si>
  <si>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</si>
  <si>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</si>
  <si>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</si>
  <si>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</si>
  <si>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</si>
  <si>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</si>
  <si>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</si>
  <si>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</si>
  <si>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</si>
  <si>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</si>
  <si>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</si>
  <si>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</si>
  <si>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</si>
  <si>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</si>
  <si>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</si>
  <si>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</si>
  <si>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</si>
  <si>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</si>
  <si>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</si>
  <si>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</si>
  <si>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</si>
  <si>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</si>
  <si>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</si>
  <si>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</si>
  <si>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</si>
  <si>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</si>
  <si>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</si>
  <si>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</si>
  <si>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</si>
  <si>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</si>
  <si>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</si>
  <si>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</si>
  <si>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</si>
  <si>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</si>
  <si>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</si>
  <si>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</si>
  <si>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</si>
  <si>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</si>
  <si>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</si>
  <si>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</si>
  <si>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</si>
  <si>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</si>
  <si>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</si>
  <si>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</si>
  <si>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</si>
  <si>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</si>
  <si>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</si>
  <si>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</si>
  <si>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</si>
  <si>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</si>
  <si>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</si>
  <si>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</si>
  <si>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</si>
  <si>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</si>
  <si>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</si>
  <si>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</si>
  <si>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</si>
  <si>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</si>
  <si>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</si>
  <si>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</si>
  <si>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</si>
  <si>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</si>
  <si>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</si>
  <si>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</si>
  <si>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</si>
  <si>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</si>
  <si>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</si>
  <si>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</si>
  <si>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</si>
  <si>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</si>
  <si>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</si>
  <si>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</si>
  <si>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</si>
  <si>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</si>
  <si>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</si>
  <si>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</si>
  <si>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</si>
  <si>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</si>
  <si>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</si>
  <si>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</si>
  <si>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</si>
  <si>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</si>
  <si>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</si>
  <si>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</si>
  <si>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</si>
  <si>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</si>
  <si>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</si>
  <si>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</si>
  <si>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</si>
  <si>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</si>
  <si>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</si>
  <si>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</si>
  <si>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</si>
  <si>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</si>
  <si>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</si>
  <si>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</si>
  <si>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</si>
  <si>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</si>
  <si>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</si>
  <si>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</si>
  <si>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</si>
  <si>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</si>
  <si>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</si>
  <si>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</si>
  <si>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</si>
  <si>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</si>
  <si>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</si>
  <si>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</si>
  <si>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</si>
  <si>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</si>
  <si>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</si>
  <si>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</si>
  <si>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</si>
  <si>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</si>
  <si>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</si>
  <si>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</si>
  <si>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</si>
  <si>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</si>
  <si>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</si>
  <si>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</si>
  <si>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</si>
  <si>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</si>
  <si>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</si>
  <si>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</si>
  <si>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</si>
  <si>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</si>
  <si>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</si>
  <si>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</si>
  <si>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</si>
  <si>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</si>
  <si>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</si>
  <si>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</si>
  <si>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</si>
  <si>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</si>
  <si>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</si>
  <si>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</si>
  <si>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</si>
  <si>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</si>
  <si>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</si>
  <si>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</si>
  <si>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</si>
  <si>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</si>
  <si>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</si>
  <si>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</si>
  <si>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</si>
  <si>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</si>
  <si>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</si>
  <si>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</si>
  <si>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</si>
  <si>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</si>
  <si>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</si>
  <si>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</si>
  <si>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</si>
  <si>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</si>
  <si>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</si>
  <si>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</si>
  <si>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</si>
  <si>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</si>
  <si>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</si>
  <si>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</si>
  <si>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</si>
  <si>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</si>
  <si>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</si>
  <si>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</si>
  <si>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</si>
  <si>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</si>
  <si>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</si>
  <si>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</si>
  <si>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</si>
  <si>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</si>
  <si>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</si>
  <si>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</si>
  <si>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</si>
  <si>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</si>
  <si>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</si>
  <si>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</si>
  <si>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</si>
  <si>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</si>
  <si>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</si>
  <si>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</si>
  <si>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</si>
  <si>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</si>
  <si>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</si>
  <si>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</si>
  <si>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</si>
  <si>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</si>
  <si>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</si>
  <si>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</si>
  <si>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</si>
  <si>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</si>
  <si>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</si>
  <si>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</si>
  <si>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</si>
  <si>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</si>
  <si>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</si>
  <si>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</si>
  <si>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</si>
  <si>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</si>
  <si>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</si>
  <si>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</si>
  <si>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</si>
  <si>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</si>
  <si>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</si>
  <si>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</si>
  <si>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</si>
  <si>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</si>
  <si>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</si>
  <si>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</si>
  <si>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</si>
  <si>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</si>
  <si>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</si>
  <si>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</si>
  <si>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</si>
  <si>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</si>
  <si>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</si>
  <si>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</si>
  <si>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</si>
  <si>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</si>
  <si>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</si>
  <si>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</si>
  <si>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</si>
  <si>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</si>
  <si>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</si>
  <si>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</si>
  <si>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</si>
  <si>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</si>
  <si>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</si>
  <si>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</si>
  <si>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</si>
  <si>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</si>
  <si>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</si>
  <si>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</si>
  <si>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</si>
  <si>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</si>
  <si>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</si>
  <si>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</si>
  <si>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</si>
  <si>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</si>
  <si>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</si>
  <si>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</si>
  <si>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</si>
  <si>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</si>
  <si>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</si>
  <si>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</si>
  <si>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</si>
  <si>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</si>
  <si>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</si>
  <si>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</si>
  <si>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</si>
  <si>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</si>
  <si>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</si>
  <si>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</si>
  <si>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</si>
  <si>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</si>
  <si>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</si>
  <si>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</si>
  <si>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</si>
  <si>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</si>
  <si>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</si>
  <si>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</si>
  <si>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</si>
  <si>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</si>
  <si>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</si>
  <si>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</si>
  <si>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</si>
  <si>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</si>
  <si>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</si>
  <si>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</si>
  <si>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</si>
  <si>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</si>
  <si>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</si>
  <si>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</si>
  <si>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</si>
  <si>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</si>
  <si>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</si>
  <si>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</si>
  <si>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</si>
  <si>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</si>
  <si>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</si>
  <si>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</si>
  <si>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</si>
  <si>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</si>
  <si>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</si>
  <si>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</si>
  <si>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</si>
  <si>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</si>
  <si>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</si>
  <si>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</si>
  <si>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</si>
  <si>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</si>
  <si>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</si>
  <si>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</si>
  <si>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</si>
  <si>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</si>
  <si>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</si>
  <si>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</si>
  <si>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</si>
  <si>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</si>
  <si>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</si>
  <si>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</si>
  <si>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</si>
  <si>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</si>
  <si>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</si>
  <si>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</si>
  <si>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</si>
  <si>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</si>
  <si>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</si>
  <si>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</si>
  <si>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</si>
  <si>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</si>
  <si>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</si>
  <si>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</si>
  <si>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</si>
  <si>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</si>
  <si>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</si>
  <si>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</si>
  <si>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</si>
  <si>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</si>
  <si>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</si>
  <si>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</si>
  <si>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</si>
  <si>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</si>
  <si>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</si>
  <si>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</si>
  <si>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</si>
  <si>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</si>
  <si>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</si>
  <si>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</si>
  <si>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</si>
  <si>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</si>
  <si>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</si>
  <si>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</si>
  <si>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</si>
  <si>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</si>
  <si>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</si>
  <si>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</si>
  <si>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</si>
  <si>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</si>
  <si>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</si>
  <si>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</si>
  <si>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</si>
  <si>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</si>
  <si>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</si>
  <si>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</si>
  <si>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</si>
  <si>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</si>
  <si>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</si>
  <si>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</si>
  <si>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</si>
  <si>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</si>
  <si>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</si>
  <si>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</si>
  <si>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</si>
  <si>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</si>
  <si>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</si>
  <si>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</si>
  <si>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</si>
  <si>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</si>
  <si>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</si>
  <si>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</si>
  <si>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</si>
  <si>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</si>
  <si>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</si>
  <si>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</si>
  <si>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</si>
  <si>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</si>
  <si>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</si>
  <si>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</si>
  <si>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</si>
  <si>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</si>
  <si>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</si>
  <si>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</si>
  <si>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</si>
  <si>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</si>
  <si>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</si>
  <si>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</si>
  <si>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</si>
  <si>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</si>
  <si>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</si>
  <si>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</si>
  <si>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</si>
  <si>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</si>
  <si>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</si>
  <si>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</si>
  <si>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</si>
  <si>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</si>
  <si>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</si>
  <si>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</si>
  <si>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</si>
  <si>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</si>
  <si>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</si>
  <si>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</si>
  <si>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</si>
  <si>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</si>
  <si>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</si>
  <si>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</si>
  <si>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</si>
  <si>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</si>
  <si>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</si>
  <si>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</si>
  <si>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</si>
  <si>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</si>
  <si>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</si>
  <si>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</si>
  <si>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</si>
  <si>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</si>
  <si>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</si>
  <si>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</si>
  <si>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</si>
  <si>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</si>
  <si>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</si>
  <si>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</si>
  <si>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</si>
  <si>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</si>
  <si>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</si>
  <si>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</si>
  <si>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</si>
  <si>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</si>
  <si>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</si>
  <si>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</si>
  <si>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</si>
  <si>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</si>
  <si>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</si>
  <si>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</si>
  <si>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</si>
  <si>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</si>
  <si>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</si>
  <si>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</si>
  <si>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</si>
  <si>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</si>
  <si>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</si>
  <si>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</si>
  <si>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</si>
  <si>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</si>
  <si>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</si>
  <si>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</si>
  <si>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</si>
  <si>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</si>
  <si>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</si>
  <si>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</si>
  <si>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</si>
  <si>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</si>
  <si>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</si>
  <si>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</si>
  <si>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</si>
  <si>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</si>
  <si>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</si>
  <si>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</si>
  <si>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</si>
  <si>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</si>
  <si>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</si>
  <si>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</si>
  <si>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</si>
  <si>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</si>
  <si>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</si>
  <si>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</si>
  <si>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</si>
  <si>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</si>
  <si>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</si>
  <si>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</si>
  <si>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</si>
  <si>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</si>
  <si>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</si>
  <si>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</si>
  <si>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</si>
  <si>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</si>
  <si>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</si>
  <si>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</si>
  <si>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</si>
  <si>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</si>
  <si>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</si>
  <si>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</si>
  <si>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</si>
  <si>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</si>
  <si>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</si>
  <si>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</si>
  <si>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</si>
  <si>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</si>
  <si>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</si>
  <si>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</si>
  <si>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</si>
  <si>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</si>
  <si>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</si>
  <si>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</si>
  <si>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</si>
  <si>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</si>
  <si>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</si>
  <si>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</si>
  <si>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</si>
  <si>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</si>
  <si>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</si>
  <si>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</si>
  <si>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</si>
  <si>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</si>
  <si>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</si>
  <si>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</si>
  <si>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</si>
  <si>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</si>
  <si>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</si>
  <si>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</si>
  <si>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</si>
  <si>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</si>
  <si>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</si>
  <si>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</si>
  <si>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</si>
  <si>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</si>
  <si>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</si>
  <si>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</si>
  <si>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</si>
  <si>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</si>
  <si>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</si>
  <si>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</si>
  <si>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</si>
  <si>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</si>
  <si>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</si>
  <si>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</si>
  <si>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</si>
  <si>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</si>
  <si>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</si>
  <si>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</si>
  <si>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</si>
  <si>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</si>
  <si>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</si>
  <si>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</si>
  <si>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</si>
  <si>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</si>
  <si>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</si>
  <si>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</si>
  <si>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</si>
  <si>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</si>
  <si>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</si>
  <si>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</si>
  <si>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</si>
  <si>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</si>
  <si>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</si>
  <si>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</si>
  <si>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</si>
  <si>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</si>
  <si>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</si>
  <si>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</si>
  <si>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</si>
  <si>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</si>
  <si>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</si>
  <si>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</si>
  <si>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</si>
  <si>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</si>
  <si>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</si>
  <si>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</si>
  <si>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</si>
  <si>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</si>
  <si>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</si>
  <si>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</si>
  <si>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</si>
  <si>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</si>
  <si>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</si>
  <si>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</si>
  <si>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</si>
  <si>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</si>
  <si>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</si>
  <si>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</si>
  <si>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</si>
  <si>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</si>
  <si>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</si>
  <si>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</si>
  <si>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</si>
  <si>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</si>
  <si>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</si>
  <si>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</si>
  <si>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</si>
  <si>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</si>
  <si>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</si>
  <si>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</si>
  <si>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</si>
  <si>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</si>
  <si>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</si>
  <si>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</si>
  <si>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</si>
  <si>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</si>
  <si>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</si>
  <si>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</si>
  <si>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</si>
  <si>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</si>
  <si>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</si>
  <si>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</si>
  <si>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</si>
  <si>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</si>
  <si>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</si>
  <si>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</si>
  <si>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</si>
  <si>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</si>
  <si>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</si>
  <si>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</si>
  <si>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</si>
  <si>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</si>
  <si>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</si>
  <si>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</si>
  <si>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</si>
  <si>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</si>
  <si>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</si>
  <si>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</si>
  <si>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</si>
  <si>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</si>
  <si>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</si>
  <si>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</si>
  <si>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</si>
  <si>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</si>
  <si>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</si>
  <si>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</si>
  <si>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</si>
  <si>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</si>
  <si>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</si>
  <si>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</si>
  <si>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</si>
  <si>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</si>
  <si>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</si>
  <si>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</si>
  <si>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</si>
  <si>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</si>
  <si>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</si>
  <si>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</si>
  <si>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</si>
  <si>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</si>
  <si>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</si>
  <si>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</si>
  <si>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</si>
  <si>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</si>
  <si>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</si>
  <si>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</si>
  <si>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</si>
  <si>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</si>
  <si>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</si>
  <si>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</si>
  <si>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</si>
  <si>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</si>
  <si>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</si>
  <si>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</si>
  <si>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</si>
  <si>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</si>
  <si>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</si>
  <si>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</si>
  <si>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</si>
  <si>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</si>
  <si>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</si>
  <si>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</si>
  <si>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</si>
  <si>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</si>
  <si>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</si>
  <si>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</si>
  <si>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</si>
  <si>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</si>
  <si>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</si>
  <si>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</si>
  <si>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</si>
  <si>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</si>
  <si>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</si>
  <si>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</si>
  <si>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</si>
  <si>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</si>
  <si>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</si>
  <si>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</si>
  <si>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</si>
  <si>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</si>
  <si>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</si>
  <si>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</si>
  <si>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</si>
  <si>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</si>
  <si>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</si>
  <si>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</si>
  <si>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</si>
  <si>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</si>
  <si>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</si>
  <si>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</si>
  <si>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</si>
  <si>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</si>
  <si>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</si>
  <si>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</si>
  <si>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</si>
  <si>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</si>
  <si>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</si>
  <si>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</si>
  <si>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</si>
  <si>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</si>
  <si>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</si>
  <si>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</si>
  <si>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</si>
  <si>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</si>
  <si>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</si>
  <si>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</si>
  <si>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</si>
  <si>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</si>
  <si>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</si>
  <si>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</si>
  <si>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</si>
  <si>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</si>
  <si>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</si>
  <si>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</si>
  <si>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</si>
  <si>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</si>
  <si>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</si>
  <si>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</si>
  <si>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</si>
  <si>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</si>
  <si>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</si>
  <si>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</si>
  <si>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</si>
  <si>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</si>
  <si>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</si>
  <si>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</si>
  <si>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</si>
  <si>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</si>
  <si>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</si>
  <si>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</si>
  <si>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</si>
  <si>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</si>
  <si>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</si>
  <si>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</si>
  <si>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</si>
  <si>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</si>
  <si>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</si>
  <si>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</si>
  <si>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</si>
  <si>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</si>
  <si>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</si>
  <si>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</si>
  <si>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</si>
  <si>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</si>
  <si>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</si>
  <si>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</si>
  <si>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</si>
  <si>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</si>
  <si>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</si>
  <si>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</si>
  <si>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</si>
  <si>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</si>
  <si>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</si>
  <si>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</si>
  <si>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</si>
  <si>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</si>
  <si>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</si>
  <si>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</si>
  <si>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</si>
  <si>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</si>
  <si>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</si>
  <si>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</si>
  <si>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</si>
  <si>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</si>
  <si>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</si>
  <si>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</si>
  <si>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</si>
  <si>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</si>
  <si>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</si>
  <si>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</si>
  <si>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</si>
  <si>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</si>
  <si>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</si>
  <si>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</si>
  <si>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</si>
  <si>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</si>
  <si>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</si>
  <si>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</si>
  <si>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</si>
  <si>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</si>
  <si>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</si>
  <si>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</si>
  <si>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</si>
  <si>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</si>
  <si>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</si>
  <si>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</si>
  <si>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</si>
  <si>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</si>
  <si>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</si>
  <si>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</si>
  <si>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</si>
  <si>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</si>
  <si>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</si>
  <si>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</si>
  <si>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</si>
  <si>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</si>
  <si>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</si>
  <si>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</si>
  <si>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</si>
  <si>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</si>
  <si>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</si>
  <si>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</si>
  <si>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</si>
  <si>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</si>
  <si>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</si>
  <si>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</si>
  <si>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</si>
  <si>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</si>
  <si>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</si>
  <si>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</si>
  <si>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</si>
  <si>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</si>
  <si>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</si>
  <si>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</si>
  <si>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</si>
  <si>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</si>
  <si>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</si>
  <si>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</si>
  <si>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</si>
  <si>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</si>
  <si>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</si>
  <si>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</si>
  <si>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</si>
  <si>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</si>
  <si>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</si>
  <si>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</si>
  <si>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</si>
  <si>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</si>
  <si>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</si>
  <si>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</si>
  <si>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</si>
  <si>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</si>
  <si>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</si>
  <si>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</si>
  <si>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</si>
  <si>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</si>
  <si>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</si>
  <si>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</si>
  <si>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</si>
  <si>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</si>
  <si>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</si>
  <si>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</si>
  <si>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</si>
  <si>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</si>
  <si>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</si>
  <si>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</si>
  <si>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</si>
  <si>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</si>
  <si>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</si>
  <si>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</si>
  <si>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</si>
  <si>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</si>
  <si>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</si>
  <si>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</si>
  <si>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</si>
  <si>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</si>
  <si>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</si>
  <si>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</si>
  <si>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</si>
  <si>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</si>
  <si>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</si>
  <si>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</si>
  <si>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</si>
  <si>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</si>
  <si>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</si>
  <si>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</si>
  <si>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</si>
  <si>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</si>
  <si>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</si>
  <si>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</si>
  <si>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</si>
  <si>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</si>
  <si>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</si>
  <si>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</si>
  <si>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</si>
  <si>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</si>
  <si>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</si>
  <si>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</si>
  <si>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</si>
  <si>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</si>
  <si>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</si>
  <si>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</si>
  <si>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</si>
  <si>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</si>
  <si>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</si>
  <si>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</si>
  <si>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</si>
  <si>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</si>
  <si>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</si>
  <si>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</si>
  <si>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</si>
  <si>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</si>
  <si>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</si>
  <si>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</si>
  <si>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</si>
  <si>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</si>
  <si>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</si>
  <si>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</si>
  <si>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</si>
  <si>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</si>
  <si>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</si>
  <si>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</si>
  <si>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</si>
  <si>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</si>
  <si>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</si>
  <si>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</si>
  <si>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</si>
  <si>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</si>
  <si>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</si>
  <si>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</si>
  <si>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</si>
  <si>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</si>
  <si>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</si>
  <si>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</si>
  <si>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</si>
  <si>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</si>
  <si>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</si>
  <si>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</si>
  <si>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</si>
  <si>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</si>
  <si>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</si>
  <si>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</si>
  <si>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</si>
  <si>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</si>
  <si>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</si>
  <si>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</si>
  <si>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</si>
  <si>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</si>
  <si>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</si>
  <si>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</si>
  <si>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</si>
  <si>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</si>
  <si>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</si>
  <si>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</si>
  <si>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</si>
  <si>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</si>
  <si>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</si>
  <si>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</si>
  <si>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</si>
  <si>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</si>
  <si>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</si>
  <si>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</si>
  <si>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</si>
  <si>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</si>
  <si>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</si>
  <si>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</si>
  <si>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</si>
  <si>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</si>
  <si>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</si>
  <si>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</si>
  <si>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</si>
  <si>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</si>
  <si>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</si>
  <si>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</si>
  <si>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</si>
  <si>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</si>
  <si>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</si>
  <si>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</si>
  <si>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</si>
  <si>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</si>
  <si>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</si>
  <si>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</si>
  <si>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</si>
  <si>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</si>
  <si>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</si>
  <si>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</si>
  <si>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</si>
  <si>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</si>
  <si>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</si>
  <si>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</si>
  <si>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</si>
  <si>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</si>
  <si>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</si>
  <si>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</si>
  <si>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</si>
  <si>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</si>
  <si>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</si>
  <si>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</si>
  <si>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</si>
  <si>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</si>
  <si>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</si>
  <si>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</si>
  <si>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</si>
  <si>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</si>
  <si>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</si>
  <si>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</si>
  <si>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</si>
  <si>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</si>
  <si>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</si>
  <si>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</si>
  <si>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</si>
  <si>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</si>
  <si>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</si>
  <si>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</si>
  <si>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</si>
  <si>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</si>
  <si>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</si>
  <si>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</si>
  <si>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</si>
  <si>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</si>
  <si>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</si>
  <si>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</si>
  <si>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</si>
  <si>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</si>
  <si>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</si>
  <si>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</si>
  <si>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</si>
  <si>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</si>
  <si>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</si>
  <si>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</si>
  <si>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</si>
  <si>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</si>
  <si>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</si>
  <si>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</si>
  <si>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</si>
  <si>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</si>
  <si>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</si>
  <si>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</si>
  <si>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</si>
  <si>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</si>
  <si>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</si>
  <si>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</si>
  <si>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</si>
  <si>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</si>
  <si>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</si>
  <si>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</si>
  <si>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</si>
  <si>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</si>
  <si>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</si>
  <si>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</si>
  <si>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</si>
  <si>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</si>
  <si>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</si>
  <si>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</si>
  <si>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</si>
  <si>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</si>
  <si>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</si>
  <si>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</si>
  <si>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</si>
  <si>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</si>
  <si>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</si>
  <si>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</si>
  <si>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</si>
  <si>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</si>
  <si>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</si>
  <si>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</si>
  <si>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</si>
  <si>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</si>
  <si>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</si>
  <si>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</si>
  <si>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</si>
  <si>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</si>
  <si>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</si>
  <si>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</si>
  <si>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</si>
  <si>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</si>
  <si>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</si>
  <si>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</si>
  <si>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</si>
  <si>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</si>
  <si>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</si>
  <si>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</si>
  <si>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</si>
  <si>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</si>
  <si>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</si>
  <si>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</si>
  <si>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</si>
  <si>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</si>
  <si>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</si>
  <si>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</si>
  <si>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</si>
  <si>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</si>
  <si>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</si>
  <si>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</si>
  <si>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</si>
  <si>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</si>
  <si>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</si>
  <si>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</si>
  <si>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</si>
  <si>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</si>
  <si>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</si>
  <si>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</si>
  <si>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</si>
  <si>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</si>
  <si>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</si>
  <si>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</si>
  <si>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</si>
  <si>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</si>
  <si>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</si>
  <si>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</si>
  <si>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</si>
  <si>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</si>
  <si>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</si>
  <si>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</si>
  <si>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</si>
  <si>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</si>
  <si>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</si>
  <si>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</si>
  <si>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</si>
  <si>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</si>
  <si>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</si>
  <si>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</si>
  <si>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</si>
  <si>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</si>
  <si>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</si>
  <si>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</si>
  <si>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</si>
  <si>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</si>
  <si>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</si>
  <si>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</si>
  <si>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</si>
  <si>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</si>
  <si>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</si>
  <si>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</si>
  <si>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</si>
  <si>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</si>
  <si>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</si>
  <si>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</si>
  <si>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</si>
  <si>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</si>
  <si>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</si>
  <si>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</si>
  <si>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</si>
  <si>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</si>
  <si>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</si>
  <si>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</si>
  <si>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</si>
  <si>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</si>
  <si>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</si>
  <si>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</si>
  <si>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</si>
  <si>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</si>
  <si>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</si>
  <si>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</si>
  <si>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</si>
  <si>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</si>
  <si>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</si>
  <si>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</si>
  <si>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</si>
  <si>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</si>
  <si>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</si>
  <si>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</si>
  <si>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</si>
  <si>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</si>
  <si>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</si>
  <si>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</si>
  <si>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</si>
  <si>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</si>
  <si>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</si>
  <si>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</si>
  <si>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</si>
  <si>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</si>
  <si>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</si>
  <si>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</si>
  <si>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</si>
  <si>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</si>
  <si>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</si>
  <si>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</si>
  <si>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</si>
  <si>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</si>
  <si>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</si>
  <si>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</si>
  <si>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</si>
  <si>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</si>
  <si>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</si>
  <si>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</si>
  <si>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</si>
  <si>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</si>
  <si>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</si>
  <si>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</si>
  <si>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</si>
  <si>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</si>
  <si>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</si>
  <si>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</si>
  <si>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</si>
  <si>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</si>
  <si>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</si>
  <si>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</si>
  <si>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</si>
  <si>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</si>
  <si>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</si>
  <si>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</si>
  <si>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</si>
  <si>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</si>
  <si>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</si>
  <si>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</si>
  <si>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</si>
  <si>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</si>
  <si>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</si>
  <si>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</si>
  <si>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</si>
  <si>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</si>
  <si>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</si>
  <si>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</si>
  <si>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</si>
  <si>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</si>
  <si>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</si>
  <si>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</si>
  <si>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</si>
  <si>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</si>
  <si>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</si>
  <si>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</si>
  <si>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</si>
  <si>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</si>
  <si>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</si>
  <si>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</si>
  <si>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</si>
  <si>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</si>
  <si>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</si>
  <si>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</si>
  <si>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</si>
  <si>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</si>
  <si>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</si>
  <si>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</si>
  <si>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</si>
  <si>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</si>
  <si>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</si>
  <si>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</si>
  <si>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</si>
  <si>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</si>
  <si>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</si>
  <si>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</si>
  <si>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</si>
  <si>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</si>
  <si>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</si>
  <si>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</si>
  <si>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</si>
  <si>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</si>
  <si>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</si>
  <si>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</si>
  <si>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</si>
  <si>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</si>
  <si>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</si>
  <si>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</si>
  <si>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</si>
  <si>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</si>
  <si>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</si>
  <si>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</si>
  <si>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</si>
  <si>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</si>
  <si>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</si>
  <si>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</si>
  <si>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</si>
  <si>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</si>
  <si>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</si>
  <si>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</si>
  <si>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</si>
  <si>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</si>
  <si>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</si>
  <si>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</si>
  <si>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</si>
  <si>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</si>
  <si>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</si>
  <si>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</si>
  <si>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</si>
  <si>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</si>
  <si>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</si>
  <si>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</si>
  <si>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</si>
  <si>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</si>
  <si>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</si>
  <si>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</si>
  <si>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</si>
  <si>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</si>
  <si>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</si>
  <si>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</si>
  <si>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</si>
  <si>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</si>
  <si>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</si>
  <si>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</si>
  <si>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</si>
  <si>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</si>
  <si>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</si>
  <si>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</si>
  <si>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</si>
  <si>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</si>
  <si>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</si>
  <si>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</si>
  <si>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</si>
  <si>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</si>
  <si>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</si>
  <si>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</si>
  <si>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</si>
  <si>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</si>
  <si>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</si>
  <si>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</si>
  <si>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</si>
  <si>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</si>
  <si>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</si>
  <si>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</si>
  <si>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</si>
  <si>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</si>
  <si>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</si>
  <si>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</si>
  <si>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</si>
  <si>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</si>
  <si>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</si>
  <si>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</si>
  <si>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</si>
  <si>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</si>
  <si>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</si>
  <si>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</si>
  <si>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</si>
  <si>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</si>
  <si>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</si>
  <si>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</si>
  <si>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</si>
  <si>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</si>
  <si>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</si>
  <si>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</si>
  <si>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</si>
  <si>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</si>
  <si>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</si>
  <si>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</si>
  <si>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</si>
  <si>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</si>
  <si>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</si>
  <si>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</si>
  <si>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</si>
  <si>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</si>
  <si>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</si>
  <si>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</si>
  <si>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</si>
  <si>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</si>
  <si>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</si>
  <si>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</si>
  <si>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</si>
  <si>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</si>
  <si>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</si>
  <si>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</si>
  <si>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</si>
  <si>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</si>
  <si>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</si>
  <si>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</si>
  <si>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</si>
  <si>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</si>
  <si>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</si>
  <si>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</si>
  <si>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</si>
  <si>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</si>
  <si>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</si>
  <si>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</si>
  <si>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</si>
  <si>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</si>
  <si>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</si>
  <si>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</si>
  <si>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</si>
  <si>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</si>
  <si>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</si>
  <si>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</si>
  <si>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</si>
  <si>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</si>
  <si>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</si>
  <si>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</si>
  <si>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</si>
  <si>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</si>
  <si>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</si>
  <si>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</si>
  <si>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</si>
  <si>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</si>
  <si>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</si>
  <si>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</si>
  <si>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</si>
  <si>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</si>
  <si>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</si>
  <si>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</si>
  <si>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</si>
  <si>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</si>
  <si>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</si>
  <si>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</si>
  <si>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</si>
  <si>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</si>
  <si>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</si>
  <si>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</si>
  <si>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</si>
  <si>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</si>
  <si>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</si>
  <si>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</si>
  <si>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</si>
  <si>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</si>
  <si>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</si>
  <si>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</si>
  <si>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</si>
  <si>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</si>
  <si>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</si>
  <si>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</si>
  <si>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</si>
  <si>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</si>
  <si>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</si>
  <si>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</si>
  <si>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</si>
  <si>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</si>
  <si>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</si>
  <si>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</si>
  <si>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</si>
  <si>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</si>
  <si>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</si>
  <si>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</si>
  <si>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</si>
  <si>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</si>
  <si>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</si>
  <si>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</si>
  <si>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</si>
  <si>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</si>
  <si>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</si>
  <si>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</si>
  <si>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</si>
  <si>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</si>
  <si>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</si>
  <si>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</si>
  <si>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</si>
  <si>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</si>
  <si>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</si>
  <si>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</si>
  <si>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</si>
  <si>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</si>
  <si>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</si>
  <si>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</si>
  <si>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</si>
  <si>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</si>
  <si>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</si>
  <si>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</si>
  <si>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</si>
  <si>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</si>
  <si>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</si>
  <si>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</si>
  <si>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</si>
  <si>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</si>
  <si>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</si>
  <si>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</si>
  <si>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</si>
  <si>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</si>
  <si>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</si>
  <si>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</si>
  <si>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</si>
  <si>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</si>
  <si>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</si>
  <si>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</si>
  <si>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</si>
  <si>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</si>
  <si>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</si>
  <si>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</si>
  <si>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</si>
  <si>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</si>
  <si>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</si>
  <si>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</si>
  <si>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</si>
  <si>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</si>
  <si>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</si>
  <si>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</si>
  <si>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</si>
  <si>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</si>
  <si>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</si>
  <si>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</si>
  <si>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</si>
  <si>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</si>
  <si>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</si>
  <si>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</si>
  <si>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</si>
  <si>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</si>
  <si>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</si>
  <si>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</si>
  <si>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</si>
  <si>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</si>
  <si>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</si>
  <si>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</si>
  <si>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</si>
  <si>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</si>
  <si>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</si>
  <si>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</si>
  <si>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</si>
  <si>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</si>
  <si>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</si>
  <si>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</si>
  <si>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</si>
  <si>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</si>
  <si>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</si>
  <si>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</si>
  <si>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</si>
  <si>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</si>
  <si>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</si>
  <si>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</si>
  <si>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</si>
  <si>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</si>
  <si>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</si>
  <si>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</si>
  <si>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</si>
  <si>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</si>
  <si>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</si>
  <si>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</si>
  <si>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</si>
  <si>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</si>
  <si>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</si>
  <si>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</si>
  <si>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</si>
  <si>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</si>
  <si>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</si>
  <si>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</si>
  <si>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</si>
  <si>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</si>
  <si>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</si>
  <si>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</si>
  <si>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</si>
  <si>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</si>
  <si>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</si>
  <si>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</si>
  <si>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</si>
  <si>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</si>
  <si>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</si>
  <si>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</si>
  <si>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</si>
  <si>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</si>
  <si>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</si>
  <si>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</si>
  <si>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</si>
  <si>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</si>
  <si>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</si>
  <si>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</si>
  <si>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</si>
  <si>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</si>
  <si>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</si>
  <si>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</si>
  <si>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</si>
  <si>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</si>
  <si>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</si>
  <si>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</si>
  <si>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</si>
  <si>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</si>
  <si>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</si>
  <si>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</si>
  <si>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</si>
  <si>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</si>
  <si>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</si>
  <si>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</si>
  <si>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</si>
  <si>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</si>
  <si>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</si>
  <si>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</si>
  <si>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</si>
  <si>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</si>
  <si>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</si>
  <si>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</si>
  <si>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</si>
  <si>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</si>
  <si>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</si>
  <si>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</si>
  <si>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</si>
  <si>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</si>
  <si>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</si>
  <si>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</si>
  <si>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</si>
  <si>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</si>
  <si>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</si>
  <si>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</si>
  <si>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</si>
  <si>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</si>
  <si>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</si>
  <si>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</si>
  <si>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</si>
  <si>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</si>
  <si>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</si>
  <si>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</si>
  <si>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</si>
  <si>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</si>
  <si>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</si>
  <si>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</si>
  <si>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</si>
  <si>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</si>
  <si>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</si>
  <si>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</si>
  <si>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</si>
  <si>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</si>
  <si>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</si>
  <si>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</si>
  <si>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</si>
  <si>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</si>
  <si>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</si>
  <si>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</si>
  <si>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</si>
  <si>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</si>
  <si>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</si>
  <si>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</si>
  <si>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</si>
  <si>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</si>
  <si>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</si>
  <si>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</si>
  <si>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</si>
  <si>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</si>
  <si>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</si>
  <si>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</si>
  <si>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</si>
  <si>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</si>
  <si>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</si>
  <si>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</si>
  <si>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</si>
  <si>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</si>
  <si>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</si>
  <si>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</si>
  <si>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</si>
  <si>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</si>
  <si>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</si>
  <si>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</si>
  <si>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</si>
  <si>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</si>
  <si>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</si>
  <si>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</si>
  <si>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</si>
  <si>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</si>
  <si>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</si>
  <si>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</si>
  <si>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</si>
  <si>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</si>
  <si>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</si>
  <si>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</si>
  <si>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</si>
  <si>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</si>
  <si>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</si>
  <si>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</si>
  <si>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</si>
  <si>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</si>
  <si>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</si>
  <si>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</si>
  <si>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</si>
  <si>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</si>
  <si>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</si>
  <si>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</si>
  <si>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</si>
  <si>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</si>
  <si>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</si>
  <si>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</si>
  <si>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</si>
  <si>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</si>
  <si>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</si>
  <si>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</si>
  <si>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</si>
  <si>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</si>
  <si>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</si>
  <si>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</si>
  <si>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</si>
  <si>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</si>
  <si>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</si>
  <si>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</si>
  <si>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</si>
  <si>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</si>
  <si>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</si>
  <si>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</si>
  <si>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</si>
  <si>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</si>
  <si>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</si>
  <si>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</si>
  <si>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</si>
  <si>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</si>
  <si>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</si>
  <si>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</si>
  <si>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</si>
  <si>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</si>
  <si>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</si>
  <si>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</si>
  <si>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</si>
  <si>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</si>
  <si>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</si>
  <si>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</si>
  <si>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</si>
  <si>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</si>
  <si>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</si>
  <si>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</si>
  <si>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</si>
  <si>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</si>
  <si>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</si>
  <si>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</si>
  <si>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</si>
  <si>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</si>
  <si>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</si>
  <si>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</si>
  <si>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</si>
  <si>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</si>
  <si>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</si>
  <si>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</si>
  <si>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</si>
  <si>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</si>
  <si>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</si>
  <si>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</si>
  <si>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</si>
  <si>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</si>
  <si>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</si>
  <si>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</si>
  <si>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</si>
  <si>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</si>
  <si>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</si>
  <si>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</si>
  <si>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</si>
  <si>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</si>
  <si>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</si>
  <si>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</si>
  <si>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</si>
  <si>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</si>
  <si>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</si>
  <si>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</si>
  <si>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</si>
  <si>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</si>
  <si>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</si>
  <si>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</si>
  <si>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</si>
  <si>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</si>
  <si>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</si>
  <si>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</si>
  <si>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</si>
  <si>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</si>
  <si>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</si>
  <si>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</si>
  <si>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</si>
  <si>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</si>
  <si>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</si>
  <si>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</si>
  <si>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</si>
  <si>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</si>
  <si>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</si>
  <si>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</si>
  <si>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</si>
  <si>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</si>
  <si>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</si>
  <si>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</si>
  <si>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</si>
  <si>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</si>
  <si>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</si>
  <si>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</si>
  <si>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</si>
  <si>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</si>
  <si>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</si>
  <si>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</si>
  <si>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</si>
  <si>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</si>
  <si>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</si>
  <si>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</si>
  <si>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</si>
  <si>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</si>
  <si>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</si>
  <si>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</si>
  <si>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</si>
  <si>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</si>
  <si>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</si>
  <si>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</si>
  <si>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</si>
  <si>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</si>
  <si>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</si>
  <si>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</si>
  <si>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</si>
  <si>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</si>
  <si>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</si>
  <si>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</si>
  <si>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</si>
  <si>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</si>
  <si>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</si>
  <si>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</si>
  <si>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</si>
  <si>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</si>
  <si>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</si>
  <si>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</si>
  <si>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</si>
  <si>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</si>
  <si>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</si>
  <si>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</si>
  <si>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</si>
  <si>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</si>
  <si>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</si>
  <si>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</si>
  <si>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</si>
  <si>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</si>
  <si>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</si>
  <si>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</si>
  <si>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</si>
  <si>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</si>
  <si>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</si>
  <si>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</si>
  <si>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</si>
  <si>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</si>
  <si>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</si>
  <si>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</si>
  <si>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</si>
  <si>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</si>
  <si>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</si>
  <si>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</si>
  <si>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</si>
  <si>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</si>
  <si>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</si>
  <si>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</si>
  <si>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</si>
  <si>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</si>
  <si>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</si>
  <si>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</si>
  <si>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</si>
  <si>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</si>
  <si>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</si>
  <si>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</si>
  <si>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</si>
  <si>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</si>
  <si>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</si>
  <si>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</si>
  <si>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</si>
  <si>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</si>
  <si>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</si>
  <si>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</si>
  <si>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</si>
  <si>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</si>
  <si>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</si>
  <si>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</si>
  <si>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</si>
  <si>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</si>
  <si>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</si>
  <si>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</si>
  <si>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</si>
  <si>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</si>
  <si>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</si>
  <si>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</si>
  <si>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</si>
  <si>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</si>
  <si>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</si>
  <si>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</si>
  <si>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</si>
  <si>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</si>
  <si>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</si>
  <si>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</si>
  <si>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</si>
  <si>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</si>
  <si>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</si>
  <si>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</si>
  <si>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</si>
  <si>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</si>
  <si>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</si>
  <si>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</si>
  <si>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</si>
  <si>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</si>
  <si>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</si>
  <si>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</si>
  <si>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</si>
  <si>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</si>
  <si>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</si>
  <si>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</si>
  <si>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</si>
  <si>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</si>
  <si>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</si>
  <si>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</si>
  <si>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</si>
  <si>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</si>
  <si>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</si>
  <si>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</si>
  <si>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</si>
  <si>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</si>
  <si>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</si>
  <si>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</si>
  <si>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</si>
  <si>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</si>
  <si>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</si>
  <si>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</si>
  <si>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</si>
  <si>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</si>
  <si>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</si>
  <si>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</si>
  <si>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</si>
  <si>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</si>
  <si>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</si>
  <si>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</si>
  <si>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</si>
  <si>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</si>
  <si>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</si>
  <si>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</si>
  <si>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</si>
  <si>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</si>
  <si>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</si>
  <si>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</si>
  <si>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</si>
  <si>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</si>
  <si>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</si>
  <si>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</si>
  <si>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</si>
  <si>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</si>
  <si>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</si>
  <si>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</si>
  <si>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</si>
  <si>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</si>
  <si>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</si>
  <si>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</si>
  <si>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</si>
  <si>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</si>
  <si>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</si>
  <si>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</si>
  <si>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</si>
  <si>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</si>
  <si>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</si>
  <si>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</si>
  <si>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</si>
  <si>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</si>
  <si>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</si>
  <si>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</si>
  <si>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</si>
  <si>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</si>
  <si>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</si>
  <si>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</si>
  <si>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</si>
  <si>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</si>
  <si>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</si>
  <si>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</si>
  <si>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</si>
  <si>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</si>
  <si>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</si>
  <si>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</si>
  <si>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</si>
  <si>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</si>
  <si>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</si>
  <si>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</si>
  <si>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</si>
  <si>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</si>
  <si>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</si>
  <si>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</si>
  <si>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</si>
  <si>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</si>
  <si>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</si>
  <si>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</si>
  <si>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</si>
  <si>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</si>
  <si>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</si>
  <si>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</si>
  <si>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</si>
  <si>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</si>
  <si>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</si>
  <si>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</si>
  <si>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</si>
  <si>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</si>
  <si>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</si>
  <si>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</si>
  <si>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</si>
  <si>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</si>
  <si>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</si>
  <si>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</si>
  <si>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</si>
  <si>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</si>
  <si>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</si>
  <si>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</si>
  <si>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</si>
  <si>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</si>
  <si>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</si>
  <si>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</si>
  <si>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</si>
  <si>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</si>
  <si>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</si>
  <si>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</si>
  <si>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</si>
  <si>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</si>
  <si>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</si>
  <si>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</si>
  <si>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</si>
  <si>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</si>
  <si>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</si>
  <si>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</si>
  <si>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</si>
  <si>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</si>
  <si>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</si>
  <si>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</si>
  <si>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</si>
  <si>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</si>
  <si>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</si>
  <si>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</si>
  <si>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</si>
  <si>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</si>
  <si>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</si>
  <si>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</si>
  <si>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</si>
  <si>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</si>
  <si>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</si>
  <si>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</si>
  <si>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</si>
  <si>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</si>
  <si>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</si>
  <si>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</si>
  <si>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</si>
  <si>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</si>
  <si>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</si>
  <si>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</si>
  <si>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</si>
  <si>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</si>
  <si>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</si>
  <si>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</si>
  <si>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</si>
  <si>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</si>
  <si>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</si>
  <si>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</si>
  <si>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</si>
  <si>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</si>
  <si>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</si>
  <si>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</si>
  <si>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</si>
  <si>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</si>
  <si>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</si>
  <si>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</si>
  <si>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</si>
  <si>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</si>
  <si>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</si>
  <si>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</si>
  <si>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</si>
  <si>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</si>
  <si>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</si>
  <si>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</si>
  <si>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</si>
  <si>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</si>
  <si>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</si>
  <si>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</si>
  <si>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</si>
  <si>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</si>
  <si>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</si>
  <si>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</si>
  <si>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</si>
  <si>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</si>
  <si>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</si>
  <si>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</si>
  <si>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</si>
  <si>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</si>
  <si>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</si>
  <si>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</si>
  <si>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</si>
  <si>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</si>
  <si>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</si>
  <si>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</si>
  <si>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</si>
  <si>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</si>
  <si>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</si>
  <si>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</si>
  <si>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</si>
  <si>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</si>
  <si>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</si>
  <si>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</si>
  <si>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</si>
  <si>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</si>
  <si>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</si>
  <si>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</si>
  <si>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</si>
  <si>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</si>
  <si>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</si>
  <si>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</si>
  <si>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</si>
  <si>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</si>
  <si>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</si>
  <si>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</si>
  <si>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</si>
  <si>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</si>
  <si>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</si>
  <si>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</si>
  <si>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</si>
  <si>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</si>
  <si>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</si>
  <si>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</si>
  <si>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</si>
  <si>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</si>
  <si>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</si>
  <si>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</si>
  <si>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</si>
  <si>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</si>
  <si>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</si>
  <si>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</si>
  <si>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</si>
  <si>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</si>
  <si>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</si>
  <si>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</si>
  <si>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</si>
  <si>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</si>
  <si>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</si>
  <si>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</si>
  <si>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</si>
  <si>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</si>
  <si>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</si>
  <si>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</si>
  <si>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</si>
  <si>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</si>
  <si>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</si>
  <si>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</si>
  <si>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</si>
  <si>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</si>
  <si>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</si>
  <si>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</si>
  <si>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</si>
  <si>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</si>
  <si>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</si>
  <si>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</si>
  <si>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</si>
  <si>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</si>
  <si>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</si>
  <si>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</si>
  <si>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</si>
  <si>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</si>
  <si>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</si>
  <si>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</si>
  <si>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</si>
  <si>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</si>
  <si>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</si>
  <si>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</si>
  <si>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</si>
  <si>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</si>
  <si>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</si>
  <si>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</si>
  <si>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</si>
  <si>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</si>
  <si>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</si>
  <si>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</si>
  <si>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</si>
  <si>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</si>
  <si>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</si>
  <si>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</si>
  <si>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</si>
  <si>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</si>
  <si>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</si>
  <si>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</si>
  <si>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</si>
  <si>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</si>
  <si>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</si>
  <si>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</si>
  <si>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</si>
  <si>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</si>
  <si>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</si>
  <si>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</si>
  <si>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</si>
  <si>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</si>
  <si>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</si>
  <si>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</si>
  <si>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</si>
  <si>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</si>
  <si>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</si>
  <si>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</si>
  <si>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</si>
  <si>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</si>
  <si>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</si>
  <si>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</si>
  <si>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</si>
  <si>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</si>
  <si>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</si>
  <si>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</si>
  <si>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</si>
  <si>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</si>
  <si>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</si>
  <si>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</si>
  <si>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</si>
  <si>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</si>
  <si>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</si>
  <si>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</si>
  <si>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</si>
  <si>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</si>
  <si>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</si>
  <si>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</si>
  <si>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</si>
  <si>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</si>
  <si>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</si>
  <si>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</si>
  <si>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</si>
  <si>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</si>
  <si>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</si>
  <si>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</si>
  <si>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</si>
  <si>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</si>
  <si>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</si>
  <si>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</si>
  <si>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</si>
  <si>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</si>
  <si>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</si>
  <si>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</si>
  <si>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</si>
  <si>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</si>
  <si>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</si>
  <si>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</si>
  <si>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</si>
  <si>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</si>
  <si>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</si>
  <si>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</si>
  <si>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</si>
  <si>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</si>
  <si>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</si>
  <si>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</si>
  <si>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</si>
  <si>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</si>
  <si>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</si>
  <si>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</si>
  <si>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</si>
  <si>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</si>
  <si>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</si>
  <si>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</si>
  <si>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</si>
  <si>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</si>
  <si>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</si>
  <si>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</si>
  <si>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</si>
  <si>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</si>
  <si>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</si>
  <si>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</si>
  <si>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</si>
  <si>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</si>
  <si>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</si>
  <si>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</si>
  <si>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</si>
  <si>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</si>
  <si>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</si>
  <si>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</si>
  <si>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</si>
  <si>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</si>
  <si>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</si>
  <si>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</si>
  <si>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</si>
  <si>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</si>
  <si>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</si>
  <si>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</si>
  <si>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</si>
  <si>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</si>
  <si>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</si>
  <si>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</si>
  <si>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</si>
  <si>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</si>
  <si>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</si>
  <si>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</si>
  <si>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</si>
  <si>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</si>
  <si>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</si>
  <si>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</si>
  <si>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</si>
  <si>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</si>
  <si>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</si>
  <si>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</si>
  <si>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</si>
  <si>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</si>
  <si>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</si>
  <si>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</si>
  <si>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</si>
  <si>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</si>
  <si>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</si>
  <si>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</si>
  <si>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</si>
  <si>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</si>
  <si>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</si>
  <si>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</si>
  <si>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</si>
  <si>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</si>
  <si>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</si>
  <si>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</si>
  <si>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</si>
  <si>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</si>
  <si>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</si>
  <si>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</si>
  <si>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</si>
  <si>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</si>
  <si>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</si>
  <si>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</si>
  <si>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</si>
  <si>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</si>
  <si>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</si>
  <si>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</si>
  <si>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</si>
  <si>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</si>
  <si>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</si>
  <si>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</si>
  <si>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</si>
  <si>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</si>
  <si>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</si>
  <si>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</si>
  <si>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</si>
  <si>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</si>
  <si>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</si>
  <si>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</si>
  <si>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</si>
  <si>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</si>
  <si>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</si>
  <si>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</si>
  <si>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</si>
  <si>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</si>
  <si>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</si>
  <si>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</si>
  <si>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</si>
  <si>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</si>
  <si>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</si>
  <si>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</si>
  <si>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</si>
  <si>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</si>
  <si>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</si>
  <si>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</si>
  <si>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</si>
  <si>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</si>
  <si>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</si>
  <si>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</si>
  <si>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</si>
  <si>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</si>
  <si>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</si>
  <si>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</si>
  <si>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</si>
  <si>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</si>
  <si>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</si>
  <si>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</si>
  <si>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</si>
  <si>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</si>
  <si>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</si>
  <si>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</si>
  <si>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</si>
  <si>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</si>
  <si>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</si>
  <si>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</si>
  <si>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</si>
  <si>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</si>
  <si>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</si>
  <si>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</si>
  <si>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</si>
  <si>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</si>
  <si>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</si>
  <si>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</si>
  <si>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</si>
  <si>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</si>
  <si>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</si>
  <si>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</si>
  <si>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</si>
  <si>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</si>
  <si>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</si>
  <si>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</si>
  <si>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</si>
  <si>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</si>
  <si>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</si>
  <si>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</si>
  <si>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</si>
  <si>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</si>
  <si>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</si>
  <si>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</si>
  <si>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</si>
  <si>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</si>
  <si>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</si>
  <si>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</si>
  <si>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</si>
  <si>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</si>
  <si>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</si>
  <si>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</si>
  <si>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</si>
  <si>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</si>
  <si>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</si>
  <si>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</si>
  <si>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</si>
  <si>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</si>
  <si>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</si>
  <si>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</si>
  <si>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</si>
  <si>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</si>
  <si>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</si>
  <si>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</si>
  <si>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</si>
  <si>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</si>
  <si>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</si>
  <si>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</si>
  <si>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</si>
  <si>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</si>
  <si>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</si>
  <si>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</si>
  <si>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</si>
  <si>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</si>
  <si>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</si>
  <si>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</si>
  <si>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</si>
  <si>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</si>
  <si>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</si>
  <si>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</si>
  <si>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</si>
  <si>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</si>
  <si>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</si>
  <si>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</si>
  <si>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</si>
  <si>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</si>
  <si>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</si>
  <si>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</si>
  <si>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</si>
  <si>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</si>
  <si>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</si>
  <si>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</si>
  <si>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</si>
  <si>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</si>
  <si>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</si>
  <si>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</si>
  <si>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</si>
  <si>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</si>
  <si>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</si>
  <si>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</si>
  <si>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</si>
  <si>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</si>
  <si>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</si>
  <si>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</si>
  <si>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</si>
  <si>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</si>
  <si>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</si>
  <si>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</si>
  <si>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</si>
  <si>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</si>
  <si>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</si>
  <si>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</si>
  <si>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</si>
  <si>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</si>
  <si>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</si>
  <si>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</si>
  <si>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</si>
  <si>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</si>
  <si>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</si>
  <si>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</si>
  <si>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</si>
  <si>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</si>
  <si>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</si>
  <si>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</si>
  <si>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</si>
  <si>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</si>
  <si>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</si>
  <si>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</si>
  <si>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</si>
  <si>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</si>
  <si>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</si>
  <si>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</si>
  <si>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</si>
  <si>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</si>
  <si>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</si>
  <si>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</si>
  <si>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</si>
  <si>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</si>
  <si>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</si>
  <si>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</si>
  <si>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</si>
  <si>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</si>
  <si>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</si>
  <si>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</si>
  <si>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</si>
  <si>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</si>
  <si>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</si>
  <si>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</si>
  <si>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</si>
  <si>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</si>
  <si>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</si>
  <si>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</si>
  <si>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</si>
  <si>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</si>
  <si>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</si>
  <si>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</si>
  <si>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</si>
  <si>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</si>
  <si>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</si>
  <si>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</si>
  <si>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</si>
  <si>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</si>
  <si>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</si>
  <si>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</si>
  <si>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</si>
  <si>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</si>
  <si>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</si>
  <si>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</si>
  <si>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</si>
  <si>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</si>
  <si>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</si>
  <si>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</si>
  <si>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</si>
  <si>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</si>
  <si>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</si>
  <si>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</si>
  <si>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</si>
  <si>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</si>
  <si>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</si>
  <si>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</si>
  <si>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</si>
  <si>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</si>
  <si>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</si>
  <si>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</si>
  <si>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</si>
  <si>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</si>
  <si>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</si>
  <si>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</si>
  <si>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</si>
  <si>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</si>
  <si>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</si>
  <si>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</si>
  <si>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</si>
  <si>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</si>
  <si>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</si>
  <si>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</si>
  <si>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</si>
  <si>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</si>
  <si>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</si>
  <si>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</si>
  <si>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</si>
  <si>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</si>
  <si>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</si>
  <si>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</si>
  <si>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</si>
  <si>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</si>
  <si>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</si>
  <si>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</si>
  <si>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</si>
  <si>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</si>
  <si>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</si>
  <si>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</si>
  <si>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</si>
  <si>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</si>
  <si>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</si>
  <si>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</si>
  <si>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</si>
  <si>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</si>
  <si>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</si>
  <si>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</si>
  <si>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</si>
  <si>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</si>
  <si>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</si>
  <si>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</si>
  <si>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</si>
  <si>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</si>
  <si>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</si>
  <si>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</si>
  <si>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</si>
  <si>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</si>
  <si>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</si>
  <si>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</si>
  <si>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</si>
  <si>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</si>
  <si>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</si>
  <si>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</si>
  <si>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</si>
  <si>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</si>
  <si>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</si>
  <si>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</si>
  <si>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</si>
  <si>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</si>
  <si>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</si>
  <si>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</si>
  <si>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</si>
  <si>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</si>
  <si>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</si>
  <si>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</si>
  <si>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</si>
  <si>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</si>
  <si>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</si>
  <si>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</si>
  <si>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</si>
  <si>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</si>
  <si>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</si>
  <si>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</si>
  <si>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</si>
  <si>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</si>
  <si>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</si>
  <si>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</si>
  <si>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</si>
  <si>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</si>
  <si>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</si>
  <si>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</si>
  <si>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</si>
  <si>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</si>
  <si>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</si>
  <si>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</si>
  <si>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</si>
  <si>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</si>
  <si>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</si>
  <si>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</si>
  <si>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</si>
  <si>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</si>
  <si>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</si>
  <si>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</si>
  <si>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</si>
  <si>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</si>
  <si>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</si>
  <si>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</si>
  <si>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</si>
  <si>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</si>
  <si>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</si>
  <si>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</si>
  <si>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</si>
  <si>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</si>
  <si>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</si>
  <si>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</si>
  <si>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</si>
  <si>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</si>
  <si>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</si>
  <si>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</si>
  <si>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</si>
  <si>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</si>
  <si>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</si>
  <si>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</si>
  <si>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</si>
  <si>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</si>
  <si>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</si>
  <si>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</si>
  <si>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</si>
  <si>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</si>
  <si>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</si>
  <si>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</si>
  <si>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</si>
  <si>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</si>
  <si>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</si>
  <si>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</si>
  <si>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</si>
  <si>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</si>
  <si>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</si>
  <si>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</si>
  <si>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</si>
  <si>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</si>
  <si>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</si>
  <si>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</si>
  <si>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</si>
  <si>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</si>
  <si>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</si>
  <si>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</si>
  <si>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</si>
  <si>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</si>
  <si>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</si>
  <si>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</si>
  <si>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</si>
  <si>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</si>
  <si>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</si>
  <si>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</si>
  <si>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</si>
  <si>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</si>
  <si>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</si>
  <si>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</si>
  <si>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</si>
  <si>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</si>
  <si>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</si>
  <si>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</si>
  <si>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</si>
  <si>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</si>
  <si>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</si>
  <si>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</si>
  <si>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</si>
  <si>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</si>
  <si>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</si>
  <si>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</si>
  <si>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</si>
  <si>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</si>
  <si>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</si>
  <si>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</si>
  <si>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</si>
  <si>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</si>
  <si>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</si>
  <si>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</si>
  <si>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</si>
  <si>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</si>
  <si>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</si>
  <si>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</si>
  <si>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</si>
  <si>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</si>
  <si>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</si>
  <si>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</si>
  <si>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</si>
  <si>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</si>
  <si>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</si>
  <si>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</si>
  <si>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</si>
  <si>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</si>
  <si>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</si>
  <si>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</si>
  <si>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</si>
  <si>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</si>
  <si>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</si>
  <si>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</si>
  <si>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</si>
  <si>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</si>
  <si>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</si>
  <si>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</si>
  <si>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</si>
  <si>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</si>
  <si>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</si>
  <si>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</si>
  <si>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</si>
  <si>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</si>
  <si>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</si>
  <si>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</si>
  <si>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</si>
  <si>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</si>
  <si>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</si>
  <si>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</si>
  <si>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</si>
  <si>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</si>
  <si>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</si>
  <si>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</si>
  <si>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</si>
  <si>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</si>
  <si>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</si>
  <si>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</si>
  <si>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</si>
  <si>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</si>
  <si>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</si>
  <si>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</si>
  <si>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</si>
  <si>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</si>
  <si>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</si>
  <si>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</si>
  <si>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</si>
  <si>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</si>
  <si>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</si>
  <si>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</si>
  <si>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</si>
  <si>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</si>
  <si>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</si>
  <si>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</si>
  <si>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</si>
  <si>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</si>
  <si>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</si>
  <si>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</si>
  <si>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</si>
  <si>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</si>
  <si>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</si>
  <si>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</si>
  <si>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</si>
  <si>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</si>
  <si>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</si>
  <si>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</si>
  <si>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</si>
  <si>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</si>
  <si>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</si>
  <si>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</si>
  <si>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</si>
  <si>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</si>
  <si>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</si>
  <si>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</si>
  <si>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</si>
  <si>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</si>
  <si>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</si>
  <si>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</si>
  <si>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</si>
  <si>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</si>
  <si>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</si>
  <si>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</si>
  <si>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</si>
  <si>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</si>
  <si>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</si>
  <si>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</si>
  <si>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</si>
  <si>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</si>
  <si>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</si>
  <si>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</si>
  <si>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</si>
  <si>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</si>
  <si>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</si>
  <si>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</si>
  <si>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</si>
  <si>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</si>
  <si>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</si>
  <si>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</si>
  <si>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</si>
  <si>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</si>
  <si>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</si>
  <si>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</si>
  <si>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</si>
  <si>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</si>
  <si>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</si>
  <si>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</si>
  <si>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</si>
  <si>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</si>
  <si>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</si>
  <si>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</si>
  <si>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</si>
  <si>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</si>
  <si>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</si>
  <si>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</si>
  <si>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</si>
  <si>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</si>
  <si>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</si>
  <si>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</si>
  <si>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</si>
  <si>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</si>
  <si>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</si>
  <si>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</si>
  <si>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</si>
  <si>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</si>
  <si>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</si>
  <si>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</si>
  <si>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</si>
  <si>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</si>
  <si>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</si>
  <si>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</si>
  <si>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</si>
  <si>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</si>
  <si>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</si>
  <si>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</si>
  <si>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</si>
  <si>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</si>
  <si>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</si>
  <si>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</si>
  <si>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</si>
  <si>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</si>
  <si>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</si>
  <si>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</si>
  <si>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</si>
  <si>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</si>
  <si>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</si>
  <si>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</si>
  <si>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</si>
  <si>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</si>
  <si>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</si>
  <si>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</si>
  <si>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</si>
  <si>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</si>
  <si>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</si>
  <si>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</si>
  <si>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</si>
  <si>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</si>
  <si>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</si>
  <si>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</si>
  <si>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</si>
  <si>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</si>
  <si>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</si>
  <si>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</si>
  <si>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</si>
  <si>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</si>
  <si>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</si>
  <si>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</si>
  <si>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</si>
  <si>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</si>
  <si>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</si>
  <si>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</si>
  <si>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</si>
  <si>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</si>
  <si>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</si>
  <si>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</si>
  <si>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</si>
  <si>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</si>
  <si>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</si>
  <si>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</si>
  <si>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</si>
  <si>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</si>
  <si>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</si>
  <si>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</si>
  <si>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</si>
  <si>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</si>
  <si>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</si>
  <si>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</si>
  <si>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</si>
  <si>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</si>
  <si>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</si>
  <si>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</si>
  <si>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</si>
  <si>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</si>
  <si>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</si>
  <si>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</si>
  <si>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</si>
  <si>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</si>
  <si>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</si>
  <si>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</si>
  <si>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</si>
  <si>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</si>
  <si>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</si>
  <si>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</si>
  <si>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</si>
  <si>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</si>
  <si>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</si>
  <si>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</si>
  <si>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</si>
  <si>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</si>
  <si>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</si>
  <si>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</si>
  <si>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</si>
  <si>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</si>
  <si>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</si>
  <si>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</si>
  <si>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</si>
  <si>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</si>
  <si>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</si>
  <si>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</si>
  <si>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</si>
  <si>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</si>
  <si>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</si>
  <si>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</si>
  <si>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</si>
  <si>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</si>
  <si>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</si>
  <si>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</si>
  <si>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</si>
  <si>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</si>
  <si>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</si>
  <si>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</si>
  <si>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</si>
  <si>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</si>
  <si>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</si>
  <si>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</si>
  <si>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</si>
  <si>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</si>
  <si>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</si>
  <si>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</si>
  <si>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</si>
  <si>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</si>
  <si>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</si>
  <si>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</si>
  <si>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</si>
  <si>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</si>
  <si>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</si>
  <si>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</si>
  <si>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</si>
  <si>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</si>
  <si>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</si>
  <si>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</si>
  <si>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</si>
  <si>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</si>
  <si>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</si>
  <si>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</si>
  <si>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</si>
  <si>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</si>
  <si>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</si>
  <si>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</si>
  <si>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</si>
  <si>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</si>
  <si>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</si>
  <si>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</si>
  <si>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</si>
  <si>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</si>
  <si>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</si>
  <si>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</si>
  <si>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</si>
  <si>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</si>
  <si>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</si>
  <si>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</si>
  <si>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</si>
  <si>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</si>
  <si>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</si>
  <si>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</si>
  <si>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</si>
  <si>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</si>
  <si>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</si>
  <si>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</si>
  <si>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</si>
  <si>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</si>
  <si>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</si>
  <si>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</si>
  <si>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</si>
  <si>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</si>
  <si>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</si>
  <si>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</si>
  <si>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</si>
  <si>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</si>
  <si>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</si>
  <si>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</si>
  <si>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</si>
  <si>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</si>
  <si>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</si>
  <si>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</si>
  <si>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</si>
  <si>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</si>
  <si>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</si>
  <si>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</si>
  <si>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</si>
  <si>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</si>
  <si>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</si>
  <si>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</si>
  <si>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</si>
  <si>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</si>
  <si>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</si>
  <si>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</si>
  <si>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</si>
  <si>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</si>
  <si>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</si>
  <si>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</si>
  <si>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</si>
  <si>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</si>
  <si>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</si>
  <si>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</si>
  <si>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</si>
  <si>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</si>
  <si>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</si>
  <si>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</si>
  <si>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</si>
  <si>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</si>
  <si>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</si>
  <si>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</si>
  <si>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</si>
  <si>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</si>
  <si>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</si>
  <si>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</si>
  <si>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</si>
  <si>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</si>
  <si>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</si>
  <si>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</si>
  <si>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</si>
  <si>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</si>
  <si>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</si>
  <si>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</si>
  <si>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</si>
  <si>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</si>
  <si>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</si>
  <si>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</si>
  <si>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</si>
  <si>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</si>
  <si>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</si>
  <si>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</si>
  <si>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</si>
  <si>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</si>
  <si>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</si>
  <si>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</si>
  <si>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</si>
  <si>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</si>
  <si>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</si>
  <si>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</si>
  <si>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</si>
  <si>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</si>
  <si>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</si>
  <si>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</si>
  <si>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</si>
  <si>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</si>
  <si>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</si>
  <si>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</si>
  <si>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</si>
  <si>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</si>
  <si>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</si>
  <si>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</si>
  <si>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</si>
  <si>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</si>
  <si>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</si>
  <si>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</si>
  <si>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</si>
  <si>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</si>
  <si>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</si>
  <si>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</si>
  <si>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</si>
  <si>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</si>
  <si>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</si>
  <si>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</si>
  <si>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</si>
  <si>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</si>
  <si>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</si>
  <si>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</si>
  <si>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</si>
  <si>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</si>
  <si>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</si>
  <si>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</si>
  <si>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</si>
  <si>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</si>
  <si>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</si>
  <si>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</si>
  <si>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</si>
  <si>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</si>
  <si>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</si>
  <si>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</si>
  <si>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</si>
  <si>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</si>
  <si>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</si>
  <si>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</si>
  <si>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</si>
  <si>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</si>
  <si>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</si>
  <si>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</si>
  <si>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</si>
  <si>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</si>
  <si>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</si>
  <si>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</si>
  <si>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</si>
  <si>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</si>
  <si>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</si>
  <si>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</si>
  <si>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</si>
  <si>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</si>
  <si>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</si>
  <si>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</si>
  <si>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</si>
  <si>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</si>
  <si>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</si>
  <si>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</si>
  <si>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</si>
  <si>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</si>
  <si>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</si>
  <si>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</si>
  <si>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</si>
  <si>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</si>
  <si>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</si>
  <si>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</si>
  <si>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</si>
  <si>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</si>
  <si>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</si>
  <si>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</si>
  <si>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</si>
  <si>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</si>
  <si>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</si>
  <si>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</si>
  <si>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</si>
  <si>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</si>
  <si>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</si>
  <si>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</si>
  <si>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</si>
  <si>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</si>
  <si>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</si>
  <si>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</si>
  <si>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</si>
  <si>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</si>
  <si>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</si>
  <si>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</si>
  <si>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</si>
  <si>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</si>
  <si>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</si>
  <si>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</si>
  <si>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</si>
  <si>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</si>
  <si>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</si>
  <si>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</si>
  <si>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</si>
  <si>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</si>
  <si>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</si>
  <si>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</si>
  <si>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</si>
  <si>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</si>
  <si>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</si>
  <si>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</si>
  <si>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</si>
  <si>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</si>
  <si>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</si>
  <si>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</si>
  <si>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</si>
  <si>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</si>
  <si>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</si>
  <si>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</si>
  <si>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</si>
  <si>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</si>
  <si>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</si>
  <si>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</si>
  <si>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</si>
  <si>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</si>
  <si>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</si>
  <si>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</si>
  <si>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</si>
  <si>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</si>
  <si>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</si>
  <si>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</si>
  <si>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</si>
  <si>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</si>
  <si>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</si>
  <si>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</si>
  <si>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</si>
  <si>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</si>
  <si>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</si>
  <si>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</si>
  <si>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</si>
  <si>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</si>
  <si>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</si>
  <si>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</si>
  <si>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</si>
  <si>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</si>
  <si>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</si>
  <si>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</si>
  <si>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</si>
  <si>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</si>
  <si>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</si>
  <si>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</si>
  <si>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</si>
  <si>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</si>
  <si>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</si>
  <si>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</si>
  <si>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</si>
  <si>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</si>
  <si>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</si>
  <si>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</si>
  <si>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</si>
  <si>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</si>
  <si>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</si>
  <si>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</si>
  <si>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</si>
  <si>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</si>
  <si>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</si>
  <si>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</si>
  <si>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</si>
  <si>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</si>
  <si>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</si>
  <si>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</si>
  <si>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</si>
  <si>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</si>
  <si>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</si>
  <si>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</si>
  <si>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</si>
  <si>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</si>
  <si>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</si>
  <si>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</si>
  <si>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</si>
  <si>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</si>
  <si>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</si>
  <si>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</si>
  <si>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</si>
  <si>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</si>
  <si>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</si>
  <si>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</si>
  <si>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</si>
  <si>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</si>
  <si>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</si>
  <si>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</si>
  <si>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</si>
  <si>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</si>
  <si>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</si>
  <si>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</si>
  <si>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</si>
  <si>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</si>
  <si>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</si>
  <si>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</si>
  <si>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</si>
  <si>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</si>
  <si>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</si>
  <si>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</si>
  <si>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</si>
  <si>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</si>
  <si>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</si>
  <si>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</si>
  <si>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</si>
  <si>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</si>
  <si>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</si>
  <si>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</si>
  <si>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</si>
  <si>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</si>
  <si>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</si>
  <si>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</si>
  <si>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</si>
  <si>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</si>
  <si>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</si>
  <si>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</si>
  <si>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</si>
  <si>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</si>
  <si>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</si>
  <si>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</si>
  <si>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</si>
  <si>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</si>
  <si>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</si>
  <si>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</si>
  <si>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</si>
  <si>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</si>
  <si>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</si>
  <si>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</si>
  <si>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</si>
  <si>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</si>
  <si>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</si>
  <si>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</si>
  <si>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</si>
  <si>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</si>
  <si>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</si>
  <si>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</si>
  <si>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</si>
  <si>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</si>
  <si>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</si>
  <si>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</si>
  <si>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</si>
  <si>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</si>
  <si>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</si>
  <si>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</si>
  <si>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</si>
  <si>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</si>
  <si>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</si>
  <si>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</si>
  <si>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</si>
  <si>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</si>
  <si>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</si>
  <si>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</si>
  <si>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</si>
  <si>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</si>
  <si>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</si>
  <si>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</si>
  <si>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</si>
  <si>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</si>
  <si>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</si>
  <si>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</si>
  <si>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</si>
  <si>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</si>
  <si>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</si>
  <si>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</si>
  <si>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</si>
  <si>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</si>
  <si>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</si>
  <si>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</si>
  <si>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</si>
  <si>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</si>
  <si>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</si>
  <si>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</si>
  <si>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</si>
  <si>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</si>
  <si>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</si>
  <si>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</si>
  <si>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</si>
  <si>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</si>
  <si>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</si>
  <si>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</si>
  <si>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</si>
  <si>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</si>
  <si>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</si>
  <si>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</si>
  <si>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0.2%-0.3%</t>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</si>
  <si>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</si>
  <si>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</si>
  <si>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</si>
  <si>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</si>
  <si>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</si>
  <si>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</si>
  <si>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</si>
  <si>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</si>
  <si>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</si>
  <si>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</si>
  <si>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</si>
  <si>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</si>
  <si>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</si>
  <si>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</si>
  <si>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</si>
  <si>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</si>
  <si>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</si>
  <si>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</si>
  <si>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</si>
  <si>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10</t>
    <phoneticPr fontId="3" type="noConversion"/>
  </si>
  <si>
    <r>
      <rPr>
        <sz val="10"/>
        <color indexed="8"/>
        <rFont val="宋体"/>
        <family val="3"/>
        <charset val="134"/>
      </rPr>
      <t>0.2%-0.3%</t>
    </r>
    <phoneticPr fontId="3" type="noConversion"/>
  </si>
  <si>
    <t>企业</t>
  </si>
  <si>
    <t>北京市</t>
  </si>
  <si>
    <t>核定资产</t>
  </si>
  <si>
    <t>房地产市场价值</t>
  </si>
  <si>
    <t>百环家园</t>
    <phoneticPr fontId="134" type="noConversion"/>
  </si>
  <si>
    <t>是</t>
  </si>
  <si>
    <t>地下</t>
  </si>
  <si>
    <t>商业</t>
    <phoneticPr fontId="7" type="noConversion"/>
  </si>
  <si>
    <t>库房</t>
  </si>
  <si>
    <t>不临65条商业街</t>
  </si>
  <si>
    <t>与级别开发程度一致</t>
  </si>
  <si>
    <t>自定义容积率</t>
  </si>
  <si>
    <t>未包含在土地购买价格中</t>
  </si>
  <si>
    <t>已包含在土地取得成本中</t>
  </si>
  <si>
    <t>成新度</t>
  </si>
  <si>
    <t>较好</t>
  </si>
  <si>
    <t>一般</t>
  </si>
  <si>
    <t>好</t>
  </si>
  <si>
    <t>临路状况</t>
    <phoneticPr fontId="30" type="noConversion"/>
  </si>
  <si>
    <t>租金</t>
  </si>
  <si>
    <t>单套模式</t>
  </si>
  <si>
    <t>较大</t>
  </si>
  <si>
    <t>较大</t>
    <phoneticPr fontId="30" type="noConversion"/>
  </si>
  <si>
    <t>商务金融用地</t>
  </si>
  <si>
    <t>七通</t>
  </si>
  <si>
    <t>较好</t>
    <phoneticPr fontId="31" type="noConversion"/>
  </si>
  <si>
    <t>一般</t>
    <phoneticPr fontId="31" type="noConversion"/>
  </si>
  <si>
    <t>物业公司管理</t>
  </si>
  <si>
    <t>物业公司管理</t>
    <phoneticPr fontId="31" type="noConversion"/>
  </si>
  <si>
    <t>有</t>
  </si>
  <si>
    <t>有</t>
    <phoneticPr fontId="31" type="noConversion"/>
  </si>
  <si>
    <t>是</t>
    <phoneticPr fontId="31" type="noConversion"/>
  </si>
  <si>
    <t>广渠路</t>
    <phoneticPr fontId="134" type="noConversion"/>
  </si>
  <si>
    <t>潘家园</t>
    <phoneticPr fontId="134" type="noConversion"/>
  </si>
  <si>
    <t>国贸</t>
    <phoneticPr fontId="134" type="noConversion"/>
  </si>
  <si>
    <t>劲松</t>
    <phoneticPr fontId="134" type="noConversion"/>
  </si>
  <si>
    <t>南新园</t>
    <phoneticPr fontId="134" type="noConversion"/>
  </si>
  <si>
    <t>双龙南里</t>
    <phoneticPr fontId="134" type="noConversion"/>
  </si>
  <si>
    <t>临路情况</t>
    <phoneticPr fontId="31" type="noConversion"/>
  </si>
  <si>
    <t>城市次干道</t>
    <phoneticPr fontId="31" type="noConversion"/>
  </si>
  <si>
    <t>城市主干道</t>
    <phoneticPr fontId="31" type="noConversion"/>
  </si>
  <si>
    <t>估价对象所在区域基础设施水平-七通</t>
    <phoneticPr fontId="24" type="noConversion"/>
  </si>
  <si>
    <t>正常</t>
  </si>
  <si>
    <t>挂牌</t>
  </si>
  <si>
    <t>挂牌</t>
    <phoneticPr fontId="30" type="noConversion"/>
  </si>
  <si>
    <t>大</t>
    <phoneticPr fontId="30" type="noConversion"/>
  </si>
  <si>
    <t>办公底商</t>
  </si>
  <si>
    <t>办公底商</t>
    <phoneticPr fontId="30" type="noConversion"/>
  </si>
  <si>
    <t>住宅配套</t>
  </si>
  <si>
    <t>住宅配套</t>
    <phoneticPr fontId="30" type="noConversion"/>
  </si>
  <si>
    <t>挂牌</t>
    <phoneticPr fontId="31" type="noConversion"/>
  </si>
  <si>
    <t>九龙花园</t>
    <phoneticPr fontId="134" type="noConversion"/>
  </si>
  <si>
    <t>与级别开发程度不一致</t>
  </si>
  <si>
    <t>通路</t>
  </si>
  <si>
    <t>通电</t>
  </si>
  <si>
    <t>通讯</t>
  </si>
  <si>
    <t>通上水</t>
  </si>
  <si>
    <t>通下水</t>
  </si>
  <si>
    <t>燃气</t>
  </si>
  <si>
    <t>平整</t>
  </si>
  <si>
    <t>2007</t>
    <phoneticPr fontId="6" type="noConversion"/>
  </si>
  <si>
    <t>2</t>
    <phoneticPr fontId="6" type="noConversion"/>
  </si>
  <si>
    <t>硅谷亮城</t>
    <phoneticPr fontId="3" type="noConversion"/>
  </si>
  <si>
    <t>楼层修正</t>
  </si>
  <si>
    <t>上地东里</t>
    <phoneticPr fontId="134" type="noConversion"/>
  </si>
  <si>
    <t>信息路商铺</t>
    <phoneticPr fontId="134" type="noConversion"/>
  </si>
  <si>
    <t>上地东路商铺</t>
    <phoneticPr fontId="134" type="noConversion"/>
  </si>
  <si>
    <t>上地南路</t>
    <phoneticPr fontId="134" type="noConversion"/>
  </si>
  <si>
    <t>宏达商务中心</t>
    <phoneticPr fontId="134" type="noConversion"/>
  </si>
  <si>
    <t>住宅底商</t>
    <phoneticPr fontId="134" type="noConversion"/>
  </si>
  <si>
    <t>办公楼底商</t>
    <phoneticPr fontId="134" type="noConversion"/>
  </si>
  <si>
    <t>金隅嘉华大厦</t>
    <phoneticPr fontId="134" type="noConversion"/>
  </si>
  <si>
    <t>不临街</t>
    <phoneticPr fontId="30" type="noConversion"/>
  </si>
  <si>
    <t>次干道——上地南路</t>
    <phoneticPr fontId="30" type="noConversion"/>
  </si>
  <si>
    <t>主干道——信息路</t>
    <phoneticPr fontId="30" type="noConversion"/>
  </si>
  <si>
    <t>主干道——马连洼北路</t>
    <phoneticPr fontId="30" type="noConversion"/>
  </si>
  <si>
    <t>普通装修</t>
  </si>
  <si>
    <t>普通装修</t>
    <phoneticPr fontId="30" type="noConversion"/>
  </si>
  <si>
    <t>简单装修</t>
    <phoneticPr fontId="30" type="noConversion"/>
  </si>
  <si>
    <t>估价对象周边多为住宅、办公配套商业、有华联商厦等商业设施，人流量较大，商业繁华度较好</t>
    <phoneticPr fontId="24" type="noConversion"/>
  </si>
  <si>
    <t>估价对象周边有305路、320路、365路、432路、614路、982路等多条公交线路，距离地铁13号线上地站约950米，周边道路网线较密集，通达度较好。综合评价交通便捷度较好。</t>
    <phoneticPr fontId="40" type="noConversion"/>
  </si>
  <si>
    <t>估价对象周边有树村郊野公园、生态花谷、北京体育大学场等自然人文场所，综合评价环境状况较好。</t>
    <phoneticPr fontId="40" type="noConversion"/>
  </si>
  <si>
    <t>地下修正系数</t>
    <phoneticPr fontId="134" type="noConversion"/>
  </si>
  <si>
    <t>较好</t>
    <phoneticPr fontId="30" type="noConversion"/>
  </si>
  <si>
    <t>较差</t>
    <phoneticPr fontId="30" type="noConversion"/>
  </si>
  <si>
    <t>收益法 (元)</t>
  </si>
  <si>
    <t>押一</t>
  </si>
  <si>
    <t>钢混</t>
  </si>
  <si>
    <t>非生产用房</t>
  </si>
  <si>
    <t>一般</t>
    <phoneticPr fontId="30" type="noConversion"/>
  </si>
  <si>
    <t>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</si>
</sst>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宋体"/>
      <family val="3"/>
      <charset val="134"/>
      <scheme val="minor"/>
    </font>
    <font>
      <sz val="11"/>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0"/>
      <color theme="1"/>
      <name val="宋体"/>
      <family val="3"/>
      <charset val="134"/>
      <scheme val="major"/>
    </font>
    <font>
      <sz val="10"/>
      <name val="仿宋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6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lignment vertical="center"/>
    </xf>
    <xf numFmtId="0" fontId="95" fillId="0" borderId="0" xfId="10" applyAlignment="1">
      <alignment horizontal="left" vertical="center" wrapText="1"/>
    </xf>
    <xf numFmtId="0" fontId="271" fillId="0" borderId="1" xfId="10" applyFont="1" applyBorder="1" applyAlignment="1">
      <alignment horizontal="left" vertical="center" wrapText="1" shrinkToFit="1"/>
    </xf>
    <xf numFmtId="9" fontId="272"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271" fillId="0" borderId="1" xfId="10"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49" fontId="271"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5" fillId="0" borderId="1" xfId="10" applyNumberFormat="1" applyFont="1" applyBorder="1" applyAlignment="1">
      <alignment horizontal="center" vertical="center" wrapText="1" shrinkToFit="1"/>
    </xf>
    <xf numFmtId="9" fontId="276"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7"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1"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0"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77"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2"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178" fontId="95" fillId="0" borderId="0" xfId="10" applyNumberFormat="1" applyAlignment="1">
      <alignment vertical="center" wrapText="1"/>
    </xf>
    <xf numFmtId="0" fontId="283" fillId="0" borderId="0" xfId="10" applyFont="1">
      <alignment vertical="center"/>
    </xf>
    <xf numFmtId="0" fontId="270" fillId="0" borderId="0" xfId="0" applyFont="1">
      <alignment vertical="center"/>
    </xf>
    <xf numFmtId="0" fontId="269" fillId="0" borderId="0" xfId="0" applyFont="1">
      <alignment vertical="center"/>
    </xf>
    <xf numFmtId="0" fontId="128" fillId="0" borderId="5"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78" fontId="275" fillId="0" borderId="1" xfId="10" applyNumberFormat="1" applyFont="1" applyBorder="1" applyAlignment="1">
      <alignment horizontal="center" vertical="center" wrapText="1" shrinkToFit="1"/>
    </xf>
    <xf numFmtId="181" fontId="284" fillId="0" borderId="1" xfId="10" applyNumberFormat="1" applyFont="1" applyBorder="1" applyAlignment="1">
      <alignment horizontal="center" vertical="center" wrapText="1" shrinkToFit="1"/>
    </xf>
    <xf numFmtId="179" fontId="284" fillId="0" borderId="1" xfId="10" applyNumberFormat="1" applyFont="1" applyBorder="1" applyAlignment="1">
      <alignment horizontal="center" vertical="center" wrapText="1" shrinkToFi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9" fontId="134" fillId="0" borderId="1" xfId="10" applyNumberFormat="1" applyFont="1" applyBorder="1" applyAlignment="1">
      <alignment horizontal="center" vertical="center" wrapText="1"/>
    </xf>
    <xf numFmtId="0" fontId="279" fillId="23" borderId="0" xfId="10" applyFont="1" applyFill="1" applyAlignment="1">
      <alignment horizontal="center" vertical="center" wrapText="1"/>
    </xf>
    <xf numFmtId="0" fontId="134" fillId="0" borderId="1" xfId="10" applyFont="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49" fontId="222" fillId="0" borderId="10" xfId="0" applyNumberFormat="1" applyFont="1" applyBorder="1" applyAlignment="1" applyProtection="1">
      <alignment vertical="center" wrapText="1"/>
      <protection locked="0"/>
    </xf>
    <xf numFmtId="9" fontId="275" fillId="0" borderId="1" xfId="10" applyNumberFormat="1" applyFont="1" applyBorder="1" applyAlignment="1">
      <alignment horizontal="center" vertical="center" wrapText="1" shrinkToFit="1"/>
    </xf>
    <xf numFmtId="9" fontId="95" fillId="0" borderId="0" xfId="17" applyFont="1">
      <alignment vertical="center"/>
    </xf>
    <xf numFmtId="0" fontId="253" fillId="21" borderId="125" xfId="16" applyFont="1" applyFill="1" applyBorder="1" applyAlignment="1">
      <alignment horizontal="left" vertical="center" wrapText="1"/>
    </xf>
    <xf numFmtId="0" fontId="143" fillId="11" borderId="125" xfId="16"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9">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443601</xdr:colOff>
      <xdr:row>0</xdr:row>
      <xdr:rowOff>0</xdr:rowOff>
    </xdr:from>
    <xdr:to>
      <xdr:col>21</xdr:col>
      <xdr:colOff>570364</xdr:colOff>
      <xdr:row>23</xdr:row>
      <xdr:rowOff>132525</xdr:rowOff>
    </xdr:to>
    <xdr:pic>
      <xdr:nvPicPr>
        <xdr:cNvPr id="8" name="图片 7">
          <a:extLst>
            <a:ext uri="{FF2B5EF4-FFF2-40B4-BE49-F238E27FC236}">
              <a16:creationId xmlns:a16="http://schemas.microsoft.com/office/drawing/2014/main" id="{DB12DA86-0693-4613-8C04-6169AEA18DBD}"/>
            </a:ext>
          </a:extLst>
        </xdr:cNvPr>
        <xdr:cNvPicPr>
          <a:picLocks noChangeAspect="1"/>
        </xdr:cNvPicPr>
      </xdr:nvPicPr>
      <xdr:blipFill>
        <a:blip xmlns:r="http://schemas.openxmlformats.org/officeDocument/2006/relationships" r:embed="rId1"/>
        <a:stretch>
          <a:fillRect/>
        </a:stretch>
      </xdr:blipFill>
      <xdr:spPr>
        <a:xfrm>
          <a:off x="9359001" y="0"/>
          <a:ext cx="5613163" cy="4075875"/>
        </a:xfrm>
        <a:prstGeom prst="rect">
          <a:avLst/>
        </a:prstGeom>
      </xdr:spPr>
    </xdr:pic>
    <xdr:clientData/>
  </xdr:twoCellAnchor>
  <xdr:twoCellAnchor editAs="oneCell">
    <xdr:from>
      <xdr:col>0</xdr:col>
      <xdr:colOff>0</xdr:colOff>
      <xdr:row>0</xdr:row>
      <xdr:rowOff>0</xdr:rowOff>
    </xdr:from>
    <xdr:to>
      <xdr:col>9</xdr:col>
      <xdr:colOff>221948</xdr:colOff>
      <xdr:row>12</xdr:row>
      <xdr:rowOff>57150</xdr:rowOff>
    </xdr:to>
    <xdr:pic>
      <xdr:nvPicPr>
        <xdr:cNvPr id="10" name="图片 9">
          <a:extLst>
            <a:ext uri="{FF2B5EF4-FFF2-40B4-BE49-F238E27FC236}">
              <a16:creationId xmlns:a16="http://schemas.microsoft.com/office/drawing/2014/main" id="{BE0E8BD9-F2EE-4334-BD54-06A8BA6416EB}"/>
            </a:ext>
          </a:extLst>
        </xdr:cNvPr>
        <xdr:cNvPicPr>
          <a:picLocks noChangeAspect="1"/>
        </xdr:cNvPicPr>
      </xdr:nvPicPr>
      <xdr:blipFill>
        <a:blip xmlns:r="http://schemas.openxmlformats.org/officeDocument/2006/relationships" r:embed="rId2"/>
        <a:stretch>
          <a:fillRect/>
        </a:stretch>
      </xdr:blipFill>
      <xdr:spPr>
        <a:xfrm>
          <a:off x="0" y="0"/>
          <a:ext cx="6394148" cy="2114550"/>
        </a:xfrm>
        <a:prstGeom prst="rect">
          <a:avLst/>
        </a:prstGeom>
      </xdr:spPr>
    </xdr:pic>
    <xdr:clientData/>
  </xdr:twoCellAnchor>
  <xdr:twoCellAnchor editAs="oneCell">
    <xdr:from>
      <xdr:col>0</xdr:col>
      <xdr:colOff>1</xdr:colOff>
      <xdr:row>12</xdr:row>
      <xdr:rowOff>47625</xdr:rowOff>
    </xdr:from>
    <xdr:to>
      <xdr:col>9</xdr:col>
      <xdr:colOff>157773</xdr:colOff>
      <xdr:row>18</xdr:row>
      <xdr:rowOff>152184</xdr:rowOff>
    </xdr:to>
    <xdr:pic>
      <xdr:nvPicPr>
        <xdr:cNvPr id="11" name="图片 10">
          <a:extLst>
            <a:ext uri="{FF2B5EF4-FFF2-40B4-BE49-F238E27FC236}">
              <a16:creationId xmlns:a16="http://schemas.microsoft.com/office/drawing/2014/main" id="{0BD7E502-143D-4AB1-9944-FC3198977E57}"/>
            </a:ext>
          </a:extLst>
        </xdr:cNvPr>
        <xdr:cNvPicPr>
          <a:picLocks noChangeAspect="1"/>
        </xdr:cNvPicPr>
      </xdr:nvPicPr>
      <xdr:blipFill>
        <a:blip xmlns:r="http://schemas.openxmlformats.org/officeDocument/2006/relationships" r:embed="rId3"/>
        <a:stretch>
          <a:fillRect/>
        </a:stretch>
      </xdr:blipFill>
      <xdr:spPr>
        <a:xfrm>
          <a:off x="1" y="2105025"/>
          <a:ext cx="6329972" cy="1133259"/>
        </a:xfrm>
        <a:prstGeom prst="rect">
          <a:avLst/>
        </a:prstGeom>
      </xdr:spPr>
    </xdr:pic>
    <xdr:clientData/>
  </xdr:twoCellAnchor>
  <xdr:twoCellAnchor editAs="oneCell">
    <xdr:from>
      <xdr:col>0</xdr:col>
      <xdr:colOff>0</xdr:colOff>
      <xdr:row>18</xdr:row>
      <xdr:rowOff>47625</xdr:rowOff>
    </xdr:from>
    <xdr:to>
      <xdr:col>9</xdr:col>
      <xdr:colOff>97899</xdr:colOff>
      <xdr:row>24</xdr:row>
      <xdr:rowOff>95043</xdr:rowOff>
    </xdr:to>
    <xdr:pic>
      <xdr:nvPicPr>
        <xdr:cNvPr id="12" name="图片 11">
          <a:extLst>
            <a:ext uri="{FF2B5EF4-FFF2-40B4-BE49-F238E27FC236}">
              <a16:creationId xmlns:a16="http://schemas.microsoft.com/office/drawing/2014/main" id="{05B997ED-5EA7-3BEB-7181-428A65FE7E8A}"/>
            </a:ext>
          </a:extLst>
        </xdr:cNvPr>
        <xdr:cNvPicPr>
          <a:picLocks noChangeAspect="1"/>
        </xdr:cNvPicPr>
      </xdr:nvPicPr>
      <xdr:blipFill>
        <a:blip xmlns:r="http://schemas.openxmlformats.org/officeDocument/2006/relationships" r:embed="rId4"/>
        <a:stretch>
          <a:fillRect/>
        </a:stretch>
      </xdr:blipFill>
      <xdr:spPr>
        <a:xfrm>
          <a:off x="0" y="3133725"/>
          <a:ext cx="6270099" cy="1076118"/>
        </a:xfrm>
        <a:prstGeom prst="rect">
          <a:avLst/>
        </a:prstGeom>
      </xdr:spPr>
    </xdr:pic>
    <xdr:clientData/>
  </xdr:twoCellAnchor>
  <xdr:twoCellAnchor editAs="oneCell">
    <xdr:from>
      <xdr:col>0</xdr:col>
      <xdr:colOff>0</xdr:colOff>
      <xdr:row>23</xdr:row>
      <xdr:rowOff>92093</xdr:rowOff>
    </xdr:from>
    <xdr:to>
      <xdr:col>9</xdr:col>
      <xdr:colOff>447675</xdr:colOff>
      <xdr:row>29</xdr:row>
      <xdr:rowOff>123634</xdr:rowOff>
    </xdr:to>
    <xdr:pic>
      <xdr:nvPicPr>
        <xdr:cNvPr id="13" name="图片 12">
          <a:extLst>
            <a:ext uri="{FF2B5EF4-FFF2-40B4-BE49-F238E27FC236}">
              <a16:creationId xmlns:a16="http://schemas.microsoft.com/office/drawing/2014/main" id="{1EB239F4-0FCE-0A6F-A8EE-78E9FE56AC3E}"/>
            </a:ext>
          </a:extLst>
        </xdr:cNvPr>
        <xdr:cNvPicPr>
          <a:picLocks noChangeAspect="1"/>
        </xdr:cNvPicPr>
      </xdr:nvPicPr>
      <xdr:blipFill>
        <a:blip xmlns:r="http://schemas.openxmlformats.org/officeDocument/2006/relationships" r:embed="rId5"/>
        <a:stretch>
          <a:fillRect/>
        </a:stretch>
      </xdr:blipFill>
      <xdr:spPr>
        <a:xfrm>
          <a:off x="0" y="4035443"/>
          <a:ext cx="6619875" cy="1060241"/>
        </a:xfrm>
        <a:prstGeom prst="rect">
          <a:avLst/>
        </a:prstGeom>
      </xdr:spPr>
    </xdr:pic>
    <xdr:clientData/>
  </xdr:twoCellAnchor>
  <xdr:twoCellAnchor editAs="oneCell">
    <xdr:from>
      <xdr:col>0</xdr:col>
      <xdr:colOff>0</xdr:colOff>
      <xdr:row>29</xdr:row>
      <xdr:rowOff>74069</xdr:rowOff>
    </xdr:from>
    <xdr:to>
      <xdr:col>9</xdr:col>
      <xdr:colOff>247650</xdr:colOff>
      <xdr:row>35</xdr:row>
      <xdr:rowOff>104580</xdr:rowOff>
    </xdr:to>
    <xdr:pic>
      <xdr:nvPicPr>
        <xdr:cNvPr id="14" name="图片 13">
          <a:extLst>
            <a:ext uri="{FF2B5EF4-FFF2-40B4-BE49-F238E27FC236}">
              <a16:creationId xmlns:a16="http://schemas.microsoft.com/office/drawing/2014/main" id="{1B25C1E4-5716-435C-D3EB-046F6B3A4283}"/>
            </a:ext>
          </a:extLst>
        </xdr:cNvPr>
        <xdr:cNvPicPr>
          <a:picLocks noChangeAspect="1"/>
        </xdr:cNvPicPr>
      </xdr:nvPicPr>
      <xdr:blipFill>
        <a:blip xmlns:r="http://schemas.openxmlformats.org/officeDocument/2006/relationships" r:embed="rId6"/>
        <a:stretch>
          <a:fillRect/>
        </a:stretch>
      </xdr:blipFill>
      <xdr:spPr>
        <a:xfrm>
          <a:off x="0" y="5046119"/>
          <a:ext cx="6419850" cy="1059211"/>
        </a:xfrm>
        <a:prstGeom prst="rect">
          <a:avLst/>
        </a:prstGeom>
      </xdr:spPr>
    </xdr:pic>
    <xdr:clientData/>
  </xdr:twoCellAnchor>
  <xdr:twoCellAnchor editAs="oneCell">
    <xdr:from>
      <xdr:col>0</xdr:col>
      <xdr:colOff>57151</xdr:colOff>
      <xdr:row>35</xdr:row>
      <xdr:rowOff>35277</xdr:rowOff>
    </xdr:from>
    <xdr:to>
      <xdr:col>9</xdr:col>
      <xdr:colOff>95251</xdr:colOff>
      <xdr:row>41</xdr:row>
      <xdr:rowOff>18856</xdr:rowOff>
    </xdr:to>
    <xdr:pic>
      <xdr:nvPicPr>
        <xdr:cNvPr id="15" name="图片 14">
          <a:extLst>
            <a:ext uri="{FF2B5EF4-FFF2-40B4-BE49-F238E27FC236}">
              <a16:creationId xmlns:a16="http://schemas.microsoft.com/office/drawing/2014/main" id="{EF253F9B-8F3B-0711-4144-AB49C73DE81C}"/>
            </a:ext>
          </a:extLst>
        </xdr:cNvPr>
        <xdr:cNvPicPr>
          <a:picLocks noChangeAspect="1"/>
        </xdr:cNvPicPr>
      </xdr:nvPicPr>
      <xdr:blipFill>
        <a:blip xmlns:r="http://schemas.openxmlformats.org/officeDocument/2006/relationships" r:embed="rId7"/>
        <a:stretch>
          <a:fillRect/>
        </a:stretch>
      </xdr:blipFill>
      <xdr:spPr>
        <a:xfrm>
          <a:off x="57151" y="6036027"/>
          <a:ext cx="6210300" cy="1012279"/>
        </a:xfrm>
        <a:prstGeom prst="rect">
          <a:avLst/>
        </a:prstGeom>
      </xdr:spPr>
    </xdr:pic>
    <xdr:clientData/>
  </xdr:twoCellAnchor>
  <xdr:twoCellAnchor editAs="oneCell">
    <xdr:from>
      <xdr:col>0</xdr:col>
      <xdr:colOff>0</xdr:colOff>
      <xdr:row>39</xdr:row>
      <xdr:rowOff>85832</xdr:rowOff>
    </xdr:from>
    <xdr:to>
      <xdr:col>10</xdr:col>
      <xdr:colOff>19050</xdr:colOff>
      <xdr:row>45</xdr:row>
      <xdr:rowOff>114111</xdr:rowOff>
    </xdr:to>
    <xdr:pic>
      <xdr:nvPicPr>
        <xdr:cNvPr id="17" name="图片 16">
          <a:extLst>
            <a:ext uri="{FF2B5EF4-FFF2-40B4-BE49-F238E27FC236}">
              <a16:creationId xmlns:a16="http://schemas.microsoft.com/office/drawing/2014/main" id="{05DC1F13-7D2E-B0E8-CDB0-E2B18FFF1ADD}"/>
            </a:ext>
          </a:extLst>
        </xdr:cNvPr>
        <xdr:cNvPicPr>
          <a:picLocks noChangeAspect="1"/>
        </xdr:cNvPicPr>
      </xdr:nvPicPr>
      <xdr:blipFill>
        <a:blip xmlns:r="http://schemas.openxmlformats.org/officeDocument/2006/relationships" r:embed="rId8"/>
        <a:stretch>
          <a:fillRect/>
        </a:stretch>
      </xdr:blipFill>
      <xdr:spPr>
        <a:xfrm>
          <a:off x="0" y="6772382"/>
          <a:ext cx="6877050" cy="10569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266700</xdr:colOff>
      <xdr:row>23</xdr:row>
      <xdr:rowOff>81326</xdr:rowOff>
    </xdr:to>
    <xdr:pic>
      <xdr:nvPicPr>
        <xdr:cNvPr id="2" name="图片 1">
          <a:extLst>
            <a:ext uri="{FF2B5EF4-FFF2-40B4-BE49-F238E27FC236}">
              <a16:creationId xmlns:a16="http://schemas.microsoft.com/office/drawing/2014/main" id="{56E3E1D9-3051-FA27-49FC-A148E6B38FC6}"/>
            </a:ext>
          </a:extLst>
        </xdr:cNvPr>
        <xdr:cNvPicPr>
          <a:picLocks noChangeAspect="1"/>
        </xdr:cNvPicPr>
      </xdr:nvPicPr>
      <xdr:blipFill>
        <a:blip xmlns:r="http://schemas.openxmlformats.org/officeDocument/2006/relationships" r:embed="rId1"/>
        <a:stretch>
          <a:fillRect/>
        </a:stretch>
      </xdr:blipFill>
      <xdr:spPr>
        <a:xfrm>
          <a:off x="0" y="0"/>
          <a:ext cx="5067300" cy="4024676"/>
        </a:xfrm>
        <a:prstGeom prst="rect">
          <a:avLst/>
        </a:prstGeom>
      </xdr:spPr>
    </xdr:pic>
    <xdr:clientData/>
  </xdr:twoCellAnchor>
  <xdr:twoCellAnchor editAs="oneCell">
    <xdr:from>
      <xdr:col>0</xdr:col>
      <xdr:colOff>142875</xdr:colOff>
      <xdr:row>8</xdr:row>
      <xdr:rowOff>152834</xdr:rowOff>
    </xdr:from>
    <xdr:to>
      <xdr:col>7</xdr:col>
      <xdr:colOff>295275</xdr:colOff>
      <xdr:row>29</xdr:row>
      <xdr:rowOff>161286</xdr:rowOff>
    </xdr:to>
    <xdr:pic>
      <xdr:nvPicPr>
        <xdr:cNvPr id="3" name="图片 2">
          <a:extLst>
            <a:ext uri="{FF2B5EF4-FFF2-40B4-BE49-F238E27FC236}">
              <a16:creationId xmlns:a16="http://schemas.microsoft.com/office/drawing/2014/main" id="{8577C584-C1F1-45D6-9948-6B36F9EAD379}"/>
            </a:ext>
          </a:extLst>
        </xdr:cNvPr>
        <xdr:cNvPicPr>
          <a:picLocks noChangeAspect="1"/>
        </xdr:cNvPicPr>
      </xdr:nvPicPr>
      <xdr:blipFill>
        <a:blip xmlns:r="http://schemas.openxmlformats.org/officeDocument/2006/relationships" r:embed="rId2"/>
        <a:stretch>
          <a:fillRect/>
        </a:stretch>
      </xdr:blipFill>
      <xdr:spPr>
        <a:xfrm>
          <a:off x="142875" y="1524434"/>
          <a:ext cx="4953000" cy="3608902"/>
        </a:xfrm>
        <a:prstGeom prst="rect">
          <a:avLst/>
        </a:prstGeom>
      </xdr:spPr>
    </xdr:pic>
    <xdr:clientData/>
  </xdr:twoCellAnchor>
  <xdr:twoCellAnchor editAs="oneCell">
    <xdr:from>
      <xdr:col>0</xdr:col>
      <xdr:colOff>381001</xdr:colOff>
      <xdr:row>14</xdr:row>
      <xdr:rowOff>28575</xdr:rowOff>
    </xdr:from>
    <xdr:to>
      <xdr:col>6</xdr:col>
      <xdr:colOff>608701</xdr:colOff>
      <xdr:row>34</xdr:row>
      <xdr:rowOff>8873</xdr:rowOff>
    </xdr:to>
    <xdr:pic>
      <xdr:nvPicPr>
        <xdr:cNvPr id="4" name="图片 3">
          <a:extLst>
            <a:ext uri="{FF2B5EF4-FFF2-40B4-BE49-F238E27FC236}">
              <a16:creationId xmlns:a16="http://schemas.microsoft.com/office/drawing/2014/main" id="{E0E57D1E-A29B-A338-3637-56C5E2E9368E}"/>
            </a:ext>
          </a:extLst>
        </xdr:cNvPr>
        <xdr:cNvPicPr>
          <a:picLocks noChangeAspect="1"/>
        </xdr:cNvPicPr>
      </xdr:nvPicPr>
      <xdr:blipFill>
        <a:blip xmlns:r="http://schemas.openxmlformats.org/officeDocument/2006/relationships" r:embed="rId3"/>
        <a:stretch>
          <a:fillRect/>
        </a:stretch>
      </xdr:blipFill>
      <xdr:spPr>
        <a:xfrm>
          <a:off x="381001" y="2428875"/>
          <a:ext cx="4342500" cy="3409298"/>
        </a:xfrm>
        <a:prstGeom prst="rect">
          <a:avLst/>
        </a:prstGeom>
      </xdr:spPr>
    </xdr:pic>
    <xdr:clientData/>
  </xdr:twoCellAnchor>
  <xdr:twoCellAnchor editAs="oneCell">
    <xdr:from>
      <xdr:col>0</xdr:col>
      <xdr:colOff>0</xdr:colOff>
      <xdr:row>26</xdr:row>
      <xdr:rowOff>152400</xdr:rowOff>
    </xdr:from>
    <xdr:to>
      <xdr:col>7</xdr:col>
      <xdr:colOff>316102</xdr:colOff>
      <xdr:row>48</xdr:row>
      <xdr:rowOff>18426</xdr:rowOff>
    </xdr:to>
    <xdr:pic>
      <xdr:nvPicPr>
        <xdr:cNvPr id="5" name="图片 4">
          <a:extLst>
            <a:ext uri="{FF2B5EF4-FFF2-40B4-BE49-F238E27FC236}">
              <a16:creationId xmlns:a16="http://schemas.microsoft.com/office/drawing/2014/main" id="{2721E440-04A4-AA49-63AA-1C85250ECCFD}"/>
            </a:ext>
          </a:extLst>
        </xdr:cNvPr>
        <xdr:cNvPicPr>
          <a:picLocks noChangeAspect="1"/>
        </xdr:cNvPicPr>
      </xdr:nvPicPr>
      <xdr:blipFill>
        <a:blip xmlns:r="http://schemas.openxmlformats.org/officeDocument/2006/relationships" r:embed="rId4"/>
        <a:stretch>
          <a:fillRect/>
        </a:stretch>
      </xdr:blipFill>
      <xdr:spPr>
        <a:xfrm>
          <a:off x="0" y="4610100"/>
          <a:ext cx="5116702" cy="3637926"/>
        </a:xfrm>
        <a:prstGeom prst="rect">
          <a:avLst/>
        </a:prstGeom>
      </xdr:spPr>
    </xdr:pic>
    <xdr:clientData/>
  </xdr:twoCellAnchor>
  <xdr:twoCellAnchor editAs="oneCell">
    <xdr:from>
      <xdr:col>0</xdr:col>
      <xdr:colOff>0</xdr:colOff>
      <xdr:row>24</xdr:row>
      <xdr:rowOff>66674</xdr:rowOff>
    </xdr:from>
    <xdr:to>
      <xdr:col>8</xdr:col>
      <xdr:colOff>193409</xdr:colOff>
      <xdr:row>54</xdr:row>
      <xdr:rowOff>27813</xdr:rowOff>
    </xdr:to>
    <xdr:pic>
      <xdr:nvPicPr>
        <xdr:cNvPr id="8" name="图片 7">
          <a:extLst>
            <a:ext uri="{FF2B5EF4-FFF2-40B4-BE49-F238E27FC236}">
              <a16:creationId xmlns:a16="http://schemas.microsoft.com/office/drawing/2014/main" id="{273B0961-DD52-0936-9628-814184C4DCD1}"/>
            </a:ext>
          </a:extLst>
        </xdr:cNvPr>
        <xdr:cNvPicPr>
          <a:picLocks noChangeAspect="1"/>
        </xdr:cNvPicPr>
      </xdr:nvPicPr>
      <xdr:blipFill>
        <a:blip xmlns:r="http://schemas.openxmlformats.org/officeDocument/2006/relationships" r:embed="rId5"/>
        <a:stretch>
          <a:fillRect/>
        </a:stretch>
      </xdr:blipFill>
      <xdr:spPr>
        <a:xfrm>
          <a:off x="0" y="4181474"/>
          <a:ext cx="5679809" cy="51046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152400</xdr:colOff>
      <xdr:row>21</xdr:row>
      <xdr:rowOff>24478</xdr:rowOff>
    </xdr:to>
    <xdr:pic>
      <xdr:nvPicPr>
        <xdr:cNvPr id="2" name="图片 1">
          <a:extLst>
            <a:ext uri="{FF2B5EF4-FFF2-40B4-BE49-F238E27FC236}">
              <a16:creationId xmlns:a16="http://schemas.microsoft.com/office/drawing/2014/main" id="{F1BDD004-7E7D-953A-56C5-A936C62CA210}"/>
            </a:ext>
          </a:extLst>
        </xdr:cNvPr>
        <xdr:cNvPicPr>
          <a:picLocks noChangeAspect="1"/>
        </xdr:cNvPicPr>
      </xdr:nvPicPr>
      <xdr:blipFill>
        <a:blip xmlns:r="http://schemas.openxmlformats.org/officeDocument/2006/relationships" r:embed="rId1"/>
        <a:stretch>
          <a:fillRect/>
        </a:stretch>
      </xdr:blipFill>
      <xdr:spPr>
        <a:xfrm>
          <a:off x="0" y="0"/>
          <a:ext cx="4953000" cy="3624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6700;&#38754;\&#39318;&#22478;&#22269;&#38469;&#31199;&#37329;\&#36807;&#31243;\&#39318;&#22478;&#22269;&#38469;&#31199;&#37329;-&#19968;&#23457;&#25913;.xlsx" TargetMode="External"/><Relationship Id="rId1" Type="http://schemas.openxmlformats.org/officeDocument/2006/relationships/externalLinkPath" Target="/2023-1-0846&#39318;&#22478;&#22269;&#38469;&#31199;&#37329;/&#36807;&#31243;/&#39318;&#22478;&#22269;&#38469;&#31199;&#37329;-&#19968;&#23457;&#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首城国际结果表"/>
      <sheetName val="面积表"/>
      <sheetName val="结果一览表-铂郡"/>
      <sheetName val="比较法-商业铂郡"/>
      <sheetName val="比较法-商业铂郡租金"/>
      <sheetName val="Sheet6"/>
      <sheetName val="结果一览表-商业"/>
      <sheetName val="假设开发法"/>
      <sheetName val="收益法 (元)"/>
      <sheetName val="收益法（汇总）"/>
      <sheetName val="酒店收入计算"/>
      <sheetName val="比较法-住宅"/>
      <sheetName val="比较法-商业售价"/>
      <sheetName val="比较法-办公"/>
      <sheetName val="比较法-工业"/>
      <sheetName val="比较法-车位"/>
      <sheetName val="比较法-商业租金"/>
      <sheetName val="结果一览表-库房"/>
      <sheetName val="成本法"/>
      <sheetName val="土地比较法-住宅、综合"/>
      <sheetName val="土地比较法-工业"/>
      <sheetName val="基准地价修正"/>
      <sheetName val="修正"/>
      <sheetName val="容积率修正"/>
      <sheetName val="基准地价（汇总）"/>
      <sheetName val="成本法 (元)"/>
      <sheetName val="比较法-仓储"/>
      <sheetName val="地价"/>
      <sheetName val="典型户型修正"/>
      <sheetName val="成本法（废）"/>
      <sheetName val="区片价"/>
      <sheetName val="因素修正幅度"/>
      <sheetName val="存贷款利率"/>
      <sheetName val="区片价（范围）"/>
      <sheetName val="收益法"/>
      <sheetName val="租金案例"/>
      <sheetName val="售价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13">
          <cell r="I13">
            <v>146.99</v>
          </cell>
        </row>
      </sheetData>
      <sheetData sheetId="12" refreshError="1"/>
      <sheetData sheetId="13">
        <row r="17">
          <cell r="C17" t="str">
            <v>项目类型</v>
          </cell>
        </row>
        <row r="19">
          <cell r="C19" t="str">
            <v>商业</v>
          </cell>
        </row>
        <row r="20">
          <cell r="C20" t="str">
            <v>库房</v>
          </cell>
        </row>
        <row r="21">
          <cell r="C21" t="str">
            <v>商业铂郡</v>
          </cell>
        </row>
      </sheetData>
      <sheetData sheetId="14">
        <row r="6">
          <cell r="N6">
            <v>0.8</v>
          </cell>
        </row>
        <row r="20">
          <cell r="B20">
            <v>2</v>
          </cell>
        </row>
        <row r="28">
          <cell r="B28">
            <v>200</v>
          </cell>
        </row>
        <row r="34">
          <cell r="B34">
            <v>0</v>
          </cell>
        </row>
        <row r="36">
          <cell r="B36">
            <v>1.4999999999999999E-2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61">
          <cell r="A61" t="str">
            <v>交易情况</v>
          </cell>
          <cell r="C61" t="str">
            <v>正常</v>
          </cell>
          <cell r="D61" t="str">
            <v>正常（挂牌）</v>
          </cell>
        </row>
        <row r="63">
          <cell r="B63" t="str">
            <v>用途</v>
          </cell>
          <cell r="C63" t="str">
            <v>商业</v>
          </cell>
        </row>
        <row r="86">
          <cell r="B86" t="str">
            <v>临街状况</v>
          </cell>
          <cell r="C86" t="str">
            <v>高速路</v>
          </cell>
          <cell r="D86" t="str">
            <v>快速路</v>
          </cell>
          <cell r="E86" t="str">
            <v>城市主干道</v>
          </cell>
          <cell r="F86" t="str">
            <v>城市次干道</v>
          </cell>
          <cell r="G86" t="str">
            <v>城市支路</v>
          </cell>
        </row>
        <row r="90">
          <cell r="B90" t="str">
            <v>人流量</v>
          </cell>
          <cell r="C90" t="str">
            <v>大</v>
          </cell>
          <cell r="D90" t="str">
            <v>较大</v>
          </cell>
          <cell r="E90" t="str">
            <v>一般</v>
          </cell>
        </row>
        <row r="92">
          <cell r="B92" t="str">
            <v>楼层</v>
          </cell>
          <cell r="C92" t="str">
            <v>1层</v>
          </cell>
        </row>
        <row r="100">
          <cell r="B100" t="str">
            <v>商业类型</v>
          </cell>
          <cell r="C100" t="str">
            <v>住宅底商</v>
          </cell>
          <cell r="D100" t="str">
            <v>办公楼底商</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一般装修</v>
          </cell>
          <cell r="F122" t="str">
            <v>毛坯</v>
          </cell>
        </row>
      </sheetData>
      <sheetData sheetId="35"/>
      <sheetData sheetId="36" refreshError="1"/>
      <sheetData sheetId="3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efreshError="1"/>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sheetData sheetId="44">
        <row r="36">
          <cell r="C36">
            <v>1</v>
          </cell>
        </row>
        <row r="49">
          <cell r="A49" t="str">
            <v>交易情况</v>
          </cell>
          <cell r="C49" t="str">
            <v>正常</v>
          </cell>
          <cell r="D49" t="str">
            <v>挂牌</v>
          </cell>
        </row>
        <row r="51">
          <cell r="B51" t="str">
            <v>用途</v>
          </cell>
          <cell r="C51" t="str">
            <v>库房</v>
          </cell>
        </row>
        <row r="69">
          <cell r="B69" t="str">
            <v>楼层</v>
          </cell>
        </row>
        <row r="77">
          <cell r="B77" t="str">
            <v>公共部分装修</v>
          </cell>
          <cell r="C77" t="str">
            <v>普通装修</v>
          </cell>
        </row>
        <row r="82">
          <cell r="B82" t="str">
            <v>物业等级</v>
          </cell>
          <cell r="C82" t="str">
            <v>普通</v>
          </cell>
        </row>
        <row r="84">
          <cell r="B84" t="str">
            <v>有无电梯</v>
          </cell>
          <cell r="C84" t="str">
            <v>有</v>
          </cell>
        </row>
        <row r="89">
          <cell r="B89" t="str">
            <v>是否封闭</v>
          </cell>
        </row>
      </sheetData>
      <sheetData sheetId="45" refreshError="1"/>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估价对象为北京市房地产，为所有。根据《国有土地使用证》[]，估价对象（分摊）出让国有建设用地使用权面积为0平方米，建筑面积为4769.92平方米。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估价对象为北京市房地产,属开发建设的，该项目尚在开发建设中。根据《国有土地使用证》[]，估价对象（分摊）出让国有建设用地使用权面积为0平方米，规划建筑面积为4769.92平方米。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2024年3月1日（评估专业人员实地查勘之日）</v>
      </c>
    </row>
    <row r="13" spans="1:2">
      <c r="A13" s="1119" t="s">
        <v>529</v>
      </c>
      <c r="B13" s="1120" t="str">
        <f>'预评函-1'!A18</f>
        <v>本次估价的“房地产价值”是指在正常市场情况下，在价值时点2024年3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4769.92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2289</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5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9"/>
      <c r="B54" s="1447" t="s">
        <v>385</v>
      </c>
      <c r="C54" s="1445" t="s">
        <v>583</v>
      </c>
    </row>
    <row r="55" spans="1:4">
      <c r="A55" s="3259"/>
      <c r="B55" s="1447" t="s">
        <v>386</v>
      </c>
      <c r="C55" s="1445" t="s">
        <v>584</v>
      </c>
    </row>
    <row r="56" spans="1:4">
      <c r="A56" s="3259"/>
      <c r="B56" s="1447" t="s">
        <v>387</v>
      </c>
      <c r="C56" s="1445" t="s">
        <v>588</v>
      </c>
    </row>
    <row r="57" spans="1:4">
      <c r="A57" s="325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60" t="s">
        <v>2580</v>
      </c>
      <c r="J2" s="3260"/>
      <c r="K2" s="3260"/>
      <c r="L2" s="3260"/>
      <c r="M2" s="3260"/>
      <c r="N2" s="3260"/>
      <c r="O2" s="3260"/>
      <c r="P2" s="3260"/>
      <c r="Q2" s="3260"/>
      <c r="R2" s="3260"/>
    </row>
    <row r="3" spans="1:18">
      <c r="A3" s="2761" t="s">
        <v>2501</v>
      </c>
      <c r="B3" s="2762">
        <f>项目基本情况!D3</f>
        <v>45352</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2.8</v>
      </c>
      <c r="D5" s="2766">
        <f>IF(ISERROR(ROUND(POWER(1+E5,A5-C5)*(POWER(1+E5,C5)-1)/(POWER(1+E5,A5)-1),3)),0,ROUND(POWER(1+E5,A5-C5)*(POWER(1+E5,C5)-1)/(POWER(1+E5,A5)-1),4))</f>
        <v>0.13139999999999999</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12.81</v>
      </c>
      <c r="D6" s="2766">
        <f>IF(ISERROR(ROUND(POWER(1+E6,A6-C6)*(POWER(1+E6,C6)-1)/(POWER(1+E6,A6)-1),3)),0,ROUND(POWER(1+E6,A6-C6)*(POWER(1+E6,C6)-1)/(POWER(1+E6,A6)-1),4))</f>
        <v>0.45960000000000001</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32.82</v>
      </c>
      <c r="D7" s="2766">
        <f>IF(ISERROR(ROUND(POWER(1+E7,A7-C7)*(POWER(1+E7,C7)-1)/(POWER(1+E7,A7)-1),3)),0,ROUND(POWER(1+E7,A7-C7)*(POWER(1+E7,C7)-1)/(POWER(1+E7,A7)-1),4))</f>
        <v>0.77359999999999995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3">
      <c r="A17" s="2761" t="s">
        <v>2517</v>
      </c>
      <c r="B17" s="2769">
        <v>4810</v>
      </c>
      <c r="C17" s="2763"/>
      <c r="D17" s="2759"/>
      <c r="E17" s="2759"/>
      <c r="F17" s="2760"/>
    </row>
    <row r="18" spans="1:13" ht="14.25" thickBot="1">
      <c r="A18" s="2771" t="s">
        <v>2516</v>
      </c>
      <c r="B18" s="2772">
        <f>ROUND(B17*F11/F12,2)</f>
        <v>5541.87</v>
      </c>
      <c r="C18" s="2772">
        <f>ROUND(F11/F12,4)</f>
        <v>1.1521999999999999</v>
      </c>
      <c r="D18" s="2773"/>
      <c r="E18" s="2773"/>
      <c r="F18" s="2774"/>
    </row>
    <row r="19" spans="1:13" ht="14.25" thickBot="1"/>
    <row r="20" spans="1:13" s="2807" customFormat="1" ht="14.25" thickTop="1">
      <c r="A20" s="2804" t="s">
        <v>2519</v>
      </c>
      <c r="B20" s="2805"/>
      <c r="C20" s="2805"/>
      <c r="D20" s="2805"/>
      <c r="E20" s="2805"/>
      <c r="F20" s="2805"/>
      <c r="G20" s="2806"/>
      <c r="I20" s="2808" t="s">
        <v>2564</v>
      </c>
      <c r="J20" s="2808" t="s">
        <v>2569</v>
      </c>
      <c r="K20" s="2808"/>
      <c r="L20" s="2808"/>
      <c r="M20" s="2808"/>
    </row>
    <row r="21" spans="1:13">
      <c r="A21" s="2775"/>
      <c r="B21" s="2776" t="s">
        <v>2520</v>
      </c>
      <c r="C21" s="2776" t="s">
        <v>2521</v>
      </c>
      <c r="D21" s="2776" t="s">
        <v>2522</v>
      </c>
      <c r="E21" s="2776" t="s">
        <v>2523</v>
      </c>
      <c r="F21" s="2776" t="s">
        <v>2524</v>
      </c>
      <c r="G21" s="2777" t="s">
        <v>2525</v>
      </c>
      <c r="I21" s="2798">
        <v>5</v>
      </c>
      <c r="J21" s="2798">
        <v>54.2</v>
      </c>
    </row>
    <row r="22" spans="1:13">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M23" s="2798" t="s">
        <v>2568</v>
      </c>
    </row>
    <row r="24" spans="1:13">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M24" s="2798">
        <v>10</v>
      </c>
    </row>
    <row r="25" spans="1:13">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M25" s="2798">
        <v>8</v>
      </c>
    </row>
    <row r="26" spans="1:13">
      <c r="A26" s="2780"/>
      <c r="B26" s="2781"/>
      <c r="C26" s="2781"/>
      <c r="D26" s="2781"/>
      <c r="E26" s="2781"/>
      <c r="F26" s="2781"/>
      <c r="G26" s="2782"/>
      <c r="I26" s="2798">
        <v>30</v>
      </c>
      <c r="J26" s="2798">
        <v>90.5</v>
      </c>
      <c r="K26" s="2798">
        <f t="shared" si="2"/>
        <v>4.2000000000000028</v>
      </c>
      <c r="L26" s="2798" t="s">
        <v>2571</v>
      </c>
      <c r="M26" s="2798">
        <v>5</v>
      </c>
    </row>
    <row r="27" spans="1:13">
      <c r="A27" s="2780" t="s">
        <v>2530</v>
      </c>
      <c r="B27" s="2781"/>
      <c r="C27" s="2781"/>
      <c r="D27" s="2781"/>
      <c r="E27" s="2781"/>
      <c r="F27" s="2781"/>
      <c r="G27" s="2782"/>
      <c r="I27" s="2798">
        <v>35</v>
      </c>
      <c r="J27" s="2798">
        <v>93.8</v>
      </c>
      <c r="K27" s="2798">
        <f t="shared" si="2"/>
        <v>3.2999999999999972</v>
      </c>
      <c r="L27" s="2798" t="s">
        <v>2572</v>
      </c>
      <c r="M27" s="2798">
        <v>3</v>
      </c>
    </row>
    <row r="28" spans="1:13">
      <c r="A28" s="2780" t="s">
        <v>2531</v>
      </c>
      <c r="B28" s="2781"/>
      <c r="C28" s="2781"/>
      <c r="D28" s="2781"/>
      <c r="E28" s="2781"/>
      <c r="F28" s="2781"/>
      <c r="G28" s="2782"/>
      <c r="I28" s="2798">
        <v>40</v>
      </c>
      <c r="J28" s="2798">
        <v>96.4</v>
      </c>
      <c r="K28" s="2798">
        <f t="shared" si="2"/>
        <v>2.6000000000000085</v>
      </c>
      <c r="L28" s="2798" t="s">
        <v>2573</v>
      </c>
      <c r="M28" s="2798">
        <v>2</v>
      </c>
    </row>
    <row r="29" spans="1:13">
      <c r="A29" s="2780" t="s">
        <v>2532</v>
      </c>
      <c r="B29" s="2781"/>
      <c r="C29" s="2781"/>
      <c r="D29" s="2781"/>
      <c r="E29" s="2781"/>
      <c r="F29" s="2781"/>
      <c r="G29" s="2782"/>
      <c r="I29" s="2798">
        <v>45</v>
      </c>
      <c r="J29" s="2798">
        <v>98.4</v>
      </c>
      <c r="K29" s="2798">
        <f t="shared" si="2"/>
        <v>2</v>
      </c>
    </row>
    <row r="30" spans="1:13">
      <c r="A30" s="2780" t="s">
        <v>2533</v>
      </c>
      <c r="B30" s="2781"/>
      <c r="C30" s="2781"/>
      <c r="D30" s="2781"/>
      <c r="E30" s="2781"/>
      <c r="F30" s="2781"/>
      <c r="G30" s="2782"/>
      <c r="I30" s="2798">
        <v>50</v>
      </c>
      <c r="J30" s="2798">
        <v>100</v>
      </c>
      <c r="K30" s="2798">
        <f t="shared" si="2"/>
        <v>1.5999999999999943</v>
      </c>
    </row>
    <row r="31" spans="1:13">
      <c r="A31" s="2780" t="s">
        <v>2534</v>
      </c>
      <c r="B31" s="2781"/>
      <c r="C31" s="2781"/>
      <c r="D31" s="2781"/>
      <c r="E31" s="2781"/>
      <c r="F31" s="2781"/>
      <c r="G31" s="2782"/>
      <c r="I31" s="2798" t="s">
        <v>2565</v>
      </c>
    </row>
    <row r="32" spans="1:13">
      <c r="A32" s="2780" t="s">
        <v>2535</v>
      </c>
      <c r="B32" s="2781"/>
      <c r="C32" s="2781"/>
      <c r="D32" s="2781"/>
      <c r="E32" s="2781"/>
      <c r="F32" s="2781"/>
      <c r="G32" s="2782"/>
    </row>
    <row r="33" spans="1:13">
      <c r="A33" s="2780" t="s">
        <v>2536</v>
      </c>
      <c r="B33" s="2781"/>
      <c r="C33" s="2781"/>
      <c r="D33" s="2781"/>
      <c r="E33" s="2781"/>
      <c r="F33" s="2781"/>
      <c r="G33" s="2782"/>
      <c r="I33" s="2798" t="s">
        <v>2564</v>
      </c>
      <c r="J33" s="2798" t="s">
        <v>2574</v>
      </c>
    </row>
    <row r="34" spans="1:13">
      <c r="A34" s="2780" t="s">
        <v>2537</v>
      </c>
      <c r="B34" s="2781"/>
      <c r="C34" s="2781"/>
      <c r="D34" s="2781"/>
      <c r="E34" s="2781"/>
      <c r="F34" s="2781"/>
      <c r="G34" s="2782"/>
      <c r="I34" s="2798">
        <v>5</v>
      </c>
      <c r="J34" s="2798">
        <v>55.1</v>
      </c>
    </row>
    <row r="35" spans="1:13">
      <c r="A35" s="2780" t="s">
        <v>2538</v>
      </c>
      <c r="B35" s="2781"/>
      <c r="C35" s="2781"/>
      <c r="D35" s="2781"/>
      <c r="E35" s="2781"/>
      <c r="F35" s="2781"/>
      <c r="G35" s="2782"/>
      <c r="I35" s="2798">
        <v>10</v>
      </c>
      <c r="J35" s="2798">
        <v>67</v>
      </c>
      <c r="K35" s="2798">
        <f>J35-J34</f>
        <v>11.899999999999999</v>
      </c>
    </row>
    <row r="36" spans="1:13">
      <c r="A36" s="2780" t="s">
        <v>2539</v>
      </c>
      <c r="B36" s="2781"/>
      <c r="C36" s="2781"/>
      <c r="D36" s="2781"/>
      <c r="E36" s="2781"/>
      <c r="F36" s="2781"/>
      <c r="G36" s="2782"/>
      <c r="I36" s="2798">
        <v>15</v>
      </c>
      <c r="J36" s="2798">
        <v>76.3</v>
      </c>
      <c r="K36" s="2798">
        <f t="shared" ref="K36:K41" si="3">J36-J35</f>
        <v>9.2999999999999972</v>
      </c>
      <c r="L36" s="2798" t="s">
        <v>2567</v>
      </c>
      <c r="M36" s="2798" t="s">
        <v>2568</v>
      </c>
    </row>
    <row r="37" spans="1:13">
      <c r="A37" s="2780" t="s">
        <v>2540</v>
      </c>
      <c r="B37" s="2781"/>
      <c r="C37" s="2781"/>
      <c r="D37" s="2781"/>
      <c r="E37" s="2781"/>
      <c r="F37" s="2781"/>
      <c r="G37" s="2782"/>
      <c r="I37" s="2798">
        <v>20</v>
      </c>
      <c r="J37" s="2798">
        <v>83.6</v>
      </c>
      <c r="K37" s="2798">
        <f t="shared" si="3"/>
        <v>7.2999999999999972</v>
      </c>
      <c r="L37" s="2798" t="s">
        <v>2566</v>
      </c>
      <c r="M37" s="2798">
        <v>10</v>
      </c>
    </row>
    <row r="38" spans="1:13">
      <c r="A38" s="2780" t="s">
        <v>2541</v>
      </c>
      <c r="B38" s="2781"/>
      <c r="C38" s="2781"/>
      <c r="D38" s="2781"/>
      <c r="E38" s="2781"/>
      <c r="F38" s="2781"/>
      <c r="G38" s="2782"/>
      <c r="I38" s="2798">
        <v>25</v>
      </c>
      <c r="J38" s="2798">
        <v>89.3</v>
      </c>
      <c r="K38" s="2798">
        <f t="shared" si="3"/>
        <v>5.7000000000000028</v>
      </c>
      <c r="L38" s="2798" t="s">
        <v>2570</v>
      </c>
      <c r="M38" s="2798">
        <v>8</v>
      </c>
    </row>
    <row r="39" spans="1:13">
      <c r="A39" s="2780"/>
      <c r="B39" s="2781"/>
      <c r="C39" s="2781"/>
      <c r="D39" s="2781"/>
      <c r="E39" s="2781"/>
      <c r="F39" s="2781"/>
      <c r="G39" s="2782"/>
      <c r="I39" s="2798">
        <v>30</v>
      </c>
      <c r="J39" s="2798">
        <v>93.8</v>
      </c>
      <c r="K39" s="2798">
        <f t="shared" si="3"/>
        <v>4.5</v>
      </c>
      <c r="L39" s="2798" t="s">
        <v>2571</v>
      </c>
      <c r="M39" s="2798">
        <v>6</v>
      </c>
    </row>
    <row r="40" spans="1:13">
      <c r="A40" s="2783" t="s">
        <v>2542</v>
      </c>
      <c r="B40" s="2784"/>
      <c r="C40" s="2784"/>
      <c r="D40" s="2784"/>
      <c r="E40" s="2784"/>
      <c r="F40" s="2784"/>
      <c r="G40" s="2785"/>
      <c r="I40" s="2798">
        <v>35</v>
      </c>
      <c r="J40" s="2798">
        <v>97.2</v>
      </c>
      <c r="K40" s="2798">
        <f t="shared" si="3"/>
        <v>3.4000000000000057</v>
      </c>
      <c r="L40" s="2798" t="s">
        <v>2572</v>
      </c>
      <c r="M40" s="2798">
        <v>3</v>
      </c>
    </row>
    <row r="41" spans="1:13">
      <c r="A41" s="2786" t="s">
        <v>2543</v>
      </c>
      <c r="B41" s="2787" t="s">
        <v>2544</v>
      </c>
      <c r="C41" s="2788" t="s">
        <v>2545</v>
      </c>
      <c r="D41" s="2788" t="s">
        <v>2546</v>
      </c>
      <c r="E41" s="2789"/>
      <c r="F41" s="2790"/>
      <c r="G41" s="2791"/>
      <c r="I41" s="2798">
        <v>40</v>
      </c>
      <c r="J41" s="2798">
        <v>100</v>
      </c>
      <c r="K41" s="2798">
        <f t="shared" si="3"/>
        <v>2.7999999999999972</v>
      </c>
    </row>
    <row r="42" spans="1:13">
      <c r="A42" s="2786" t="s">
        <v>2547</v>
      </c>
      <c r="B42" s="2787" t="s">
        <v>2548</v>
      </c>
      <c r="C42" s="2788" t="s">
        <v>2549</v>
      </c>
      <c r="D42" s="2792" t="s">
        <v>2550</v>
      </c>
      <c r="E42" s="2784" t="s">
        <v>2551</v>
      </c>
      <c r="F42" s="2784"/>
      <c r="G42" s="2785"/>
    </row>
    <row r="43" spans="1:13">
      <c r="A43" s="2786" t="s">
        <v>2552</v>
      </c>
      <c r="B43" s="2787" t="s">
        <v>2553</v>
      </c>
      <c r="C43" s="2788" t="s">
        <v>2554</v>
      </c>
      <c r="D43" s="2788" t="s">
        <v>2555</v>
      </c>
      <c r="E43" s="2789" t="s">
        <v>2556</v>
      </c>
      <c r="F43" s="2790"/>
      <c r="G43" s="2791"/>
      <c r="I43" s="2798" t="s">
        <v>2564</v>
      </c>
      <c r="J43" s="2798" t="s">
        <v>2575</v>
      </c>
    </row>
    <row r="44" spans="1:13">
      <c r="A44" s="2786" t="s">
        <v>2557</v>
      </c>
      <c r="B44" s="2787" t="s">
        <v>2558</v>
      </c>
      <c r="C44" s="2788" t="s">
        <v>2559</v>
      </c>
      <c r="D44" s="2792">
        <v>0.5</v>
      </c>
      <c r="E44" s="2789" t="s">
        <v>2560</v>
      </c>
      <c r="F44" s="2790"/>
      <c r="G44" s="2791"/>
      <c r="I44" s="2798">
        <v>30</v>
      </c>
      <c r="J44" s="2798">
        <v>81.7</v>
      </c>
    </row>
    <row r="45" spans="1:13" ht="14.25" thickBot="1">
      <c r="A45" s="2793" t="s">
        <v>2561</v>
      </c>
      <c r="B45" s="2794" t="s">
        <v>2548</v>
      </c>
      <c r="C45" s="2795" t="s">
        <v>2548</v>
      </c>
      <c r="D45" s="2795" t="s">
        <v>2562</v>
      </c>
      <c r="E45" s="2796" t="s">
        <v>2563</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L15" sqref="L1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68" t="str">
        <f>IF(B10="北京市","北京市",C10)&amp;F10&amp;IF(结果表!G1="在建","出让国有建设用地使用权及在建建筑物",IF(结果表!G1="土地","出让国有建设用地使用权",))&amp;B9&amp;"预评估"</f>
        <v>北京市房地产市场价值预评估</v>
      </c>
      <c r="C1" s="3269"/>
      <c r="D1" s="3269"/>
      <c r="E1" s="3269"/>
      <c r="F1" s="3269"/>
      <c r="G1" s="3269"/>
      <c r="H1" s="3269"/>
      <c r="I1" s="327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6"/>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45352</v>
      </c>
      <c r="C3" s="2186" t="s">
        <v>2171</v>
      </c>
      <c r="D3" s="2185">
        <f>B3</f>
        <v>45352</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2175</v>
      </c>
      <c r="B7" s="2198"/>
      <c r="C7" s="2196"/>
      <c r="D7" s="2197"/>
      <c r="E7" s="2439"/>
      <c r="F7" s="2440"/>
      <c r="G7" s="2440"/>
      <c r="H7" s="2440"/>
      <c r="I7" s="2440"/>
      <c r="J7" s="2245"/>
      <c r="K7" s="2400"/>
      <c r="L7" s="2397"/>
      <c r="M7" s="2397"/>
      <c r="N7" s="2245"/>
      <c r="O7" s="1670"/>
      <c r="P7" s="2245"/>
      <c r="Q7" s="2245"/>
      <c r="R7" s="2245"/>
    </row>
    <row r="8" spans="1:30">
      <c r="A8" s="2199" t="s">
        <v>2176</v>
      </c>
      <c r="B8" s="2200" t="s">
        <v>3507</v>
      </c>
      <c r="C8" s="2201"/>
      <c r="D8" s="3271" t="s">
        <v>2177</v>
      </c>
      <c r="E8" s="2202"/>
      <c r="F8" s="2203"/>
      <c r="G8" s="2440"/>
      <c r="H8" s="2440"/>
      <c r="I8" s="2440"/>
      <c r="J8" s="2245"/>
      <c r="K8" s="2398"/>
      <c r="L8" s="2397"/>
      <c r="M8" s="2397"/>
      <c r="N8" s="2245"/>
      <c r="O8" s="1670"/>
      <c r="P8" s="2245"/>
      <c r="Q8" s="2245"/>
      <c r="R8" s="2245"/>
    </row>
    <row r="9" spans="1:30" ht="13.5" thickBot="1">
      <c r="A9" s="2204" t="s">
        <v>2178</v>
      </c>
      <c r="B9" s="2205" t="s">
        <v>3508</v>
      </c>
      <c r="C9" s="2206"/>
      <c r="D9" s="3272"/>
      <c r="E9" s="2205"/>
      <c r="F9" s="2207"/>
      <c r="G9" s="2441"/>
      <c r="H9" s="2441"/>
      <c r="I9" s="2441"/>
      <c r="J9" s="2245"/>
      <c r="K9" s="2400"/>
      <c r="L9" s="2397"/>
      <c r="M9" s="2397"/>
      <c r="N9" s="2245"/>
      <c r="O9" s="1670"/>
      <c r="P9" s="2245"/>
      <c r="Q9" s="2245"/>
      <c r="R9" s="2245"/>
    </row>
    <row r="10" spans="1:30" ht="13.5" thickTop="1">
      <c r="A10" s="2208" t="s">
        <v>2179</v>
      </c>
      <c r="B10" s="2209" t="s">
        <v>3506</v>
      </c>
      <c r="C10" s="2210"/>
      <c r="D10" s="2193"/>
      <c r="E10" s="2211" t="s">
        <v>2180</v>
      </c>
      <c r="F10" s="2442"/>
      <c r="G10" s="2443"/>
      <c r="H10" s="2444"/>
      <c r="I10" s="2445"/>
      <c r="J10" s="2245"/>
      <c r="K10" s="2400"/>
      <c r="L10" s="2397"/>
      <c r="M10" s="2397"/>
      <c r="N10" s="2245"/>
      <c r="O10" s="1670"/>
      <c r="P10" s="2245"/>
      <c r="Q10" s="2245"/>
      <c r="R10" s="2245"/>
    </row>
    <row r="11" spans="1:30">
      <c r="A11" s="2212" t="s">
        <v>2181</v>
      </c>
      <c r="B11" s="2213" t="s">
        <v>3505</v>
      </c>
      <c r="C11" s="2214"/>
      <c r="D11" s="2215"/>
      <c r="E11" s="2182"/>
      <c r="F11" s="2182"/>
      <c r="G11" s="2182"/>
      <c r="H11" s="2182"/>
      <c r="I11" s="2182"/>
      <c r="J11" s="2800"/>
      <c r="K11" s="2397"/>
      <c r="L11" s="2397"/>
      <c r="M11" s="2397"/>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9" t="s">
        <v>2576</v>
      </c>
      <c r="J12" s="2801"/>
      <c r="K12" s="2397"/>
      <c r="L12" s="2397" t="s">
        <v>3566</v>
      </c>
      <c r="M12" s="2245"/>
      <c r="N12" s="1670"/>
      <c r="O12" s="2245"/>
      <c r="P12" s="2245"/>
      <c r="Q12" s="2245"/>
      <c r="AD12" s="1618"/>
    </row>
    <row r="13" spans="1:30">
      <c r="A13" s="3120" t="s">
        <v>3332</v>
      </c>
      <c r="B13" s="2218" t="s">
        <v>2190</v>
      </c>
      <c r="C13" s="803"/>
      <c r="D13" s="803">
        <v>53018</v>
      </c>
      <c r="E13" s="803"/>
      <c r="F13" s="803"/>
      <c r="G13" s="803"/>
      <c r="H13" s="803"/>
      <c r="I13" s="803"/>
      <c r="J13" s="2801"/>
      <c r="K13" s="2397"/>
      <c r="L13" s="2397" t="s">
        <v>3565</v>
      </c>
      <c r="M13" s="2245"/>
      <c r="N13" s="1670"/>
      <c r="O13" s="2245"/>
      <c r="P13" s="2245"/>
      <c r="Q13" s="2245"/>
      <c r="AD13" s="1618"/>
    </row>
    <row r="14" spans="1:30" ht="25.5">
      <c r="A14" s="1018"/>
      <c r="B14" s="2218" t="s">
        <v>2191</v>
      </c>
      <c r="C14" s="2219"/>
      <c r="D14" s="2219">
        <v>40</v>
      </c>
      <c r="E14" s="2219">
        <v>50</v>
      </c>
      <c r="F14" s="2219"/>
      <c r="G14" s="2219">
        <v>50</v>
      </c>
      <c r="H14" s="2219"/>
      <c r="I14" s="2219"/>
      <c r="J14" s="2802"/>
      <c r="K14" s="2397"/>
      <c r="L14" s="2397">
        <f>L13-L12+40</f>
        <v>2045</v>
      </c>
      <c r="M14" s="2245"/>
      <c r="N14" s="1670"/>
      <c r="O14" s="2245"/>
      <c r="P14" s="2245"/>
      <c r="Q14" s="2245"/>
      <c r="AD14" s="1618"/>
    </row>
    <row r="15" spans="1:30">
      <c r="A15" s="312"/>
      <c r="B15" s="2220" t="s">
        <v>2192</v>
      </c>
      <c r="C15" s="2221" t="str">
        <f>IF(A13="出让",IF(C13="","",ROUNDDOWN(MIN((C13-$D$3)/365,C14),2)),C14)</f>
        <v/>
      </c>
      <c r="D15" s="2221">
        <f>IF(A13="出让",IF(D13="","",ROUNDDOWN(MIN((D13-$D$3)/365,D14),2)),D14)</f>
        <v>21</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3"/>
      <c r="K15" s="1670"/>
      <c r="L15" s="1670"/>
      <c r="M15" s="2245"/>
      <c r="N15" s="1670"/>
      <c r="O15" s="2245"/>
      <c r="P15" s="2245"/>
      <c r="Q15" s="2245"/>
      <c r="AD15" s="1618"/>
    </row>
    <row r="16" spans="1:30">
      <c r="A16" s="2211" t="s">
        <v>2193</v>
      </c>
      <c r="B16" s="3278"/>
      <c r="C16" s="3279"/>
      <c r="D16" s="3280"/>
      <c r="E16" s="2222" t="s">
        <v>2194</v>
      </c>
      <c r="F16" s="3281"/>
      <c r="G16" s="3282"/>
      <c r="H16" s="3282"/>
      <c r="I16" s="3283"/>
      <c r="J16" s="2245"/>
      <c r="K16" s="2401"/>
      <c r="L16" s="1670"/>
      <c r="M16" s="1670"/>
      <c r="N16" s="2245"/>
      <c r="O16" s="1670"/>
      <c r="P16" s="2245"/>
      <c r="Q16" s="2245"/>
      <c r="R16" s="2245"/>
    </row>
    <row r="17" spans="1:28">
      <c r="A17" s="305" t="s">
        <v>2195</v>
      </c>
      <c r="B17" s="294" t="s">
        <v>2196</v>
      </c>
      <c r="C17" s="8">
        <f>'数据-汇总表'!E3</f>
        <v>4769.92</v>
      </c>
      <c r="D17" s="1256" t="s">
        <v>2197</v>
      </c>
      <c r="E17" s="3284" t="s">
        <v>2198</v>
      </c>
      <c r="F17" s="3285"/>
      <c r="G17" s="3285"/>
      <c r="H17" s="3285"/>
      <c r="I17" s="3286"/>
      <c r="J17" s="2245"/>
      <c r="K17" s="2402"/>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87" t="s">
        <v>2202</v>
      </c>
      <c r="F18" s="3288"/>
      <c r="G18" s="3288"/>
      <c r="H18" s="3288"/>
      <c r="I18" s="3289"/>
      <c r="J18" s="2245"/>
      <c r="K18" s="2402"/>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c r="A20" s="2415" t="s">
        <v>2205</v>
      </c>
      <c r="B20" s="3274" t="s">
        <v>2206</v>
      </c>
      <c r="C20" s="3275"/>
      <c r="D20" s="3276" t="s">
        <v>2207</v>
      </c>
      <c r="E20" s="3277"/>
      <c r="F20" s="2428" t="s">
        <v>1056</v>
      </c>
      <c r="G20" s="2440"/>
      <c r="H20" s="2440"/>
      <c r="I20" s="2440"/>
      <c r="J20" s="2245"/>
      <c r="K20" s="327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5"/>
      <c r="K21" s="327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2211</v>
      </c>
      <c r="C22" s="2294" t="s">
        <v>1058</v>
      </c>
      <c r="D22" s="2440"/>
      <c r="E22" s="2440"/>
      <c r="F22" s="2440"/>
      <c r="G22" s="2440"/>
      <c r="H22" s="2440"/>
      <c r="I22" s="2440"/>
      <c r="J22" s="2245"/>
      <c r="K22" s="327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1" t="s">
        <v>1059</v>
      </c>
      <c r="C24" s="2269"/>
      <c r="D24" s="2419" t="s">
        <v>1059</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1" t="s">
        <v>1060</v>
      </c>
      <c r="C25" s="2269"/>
      <c r="D25" s="2419" t="s">
        <v>1060</v>
      </c>
      <c r="E25" s="2423"/>
      <c r="F25" s="2440"/>
      <c r="G25" s="2440"/>
      <c r="H25" s="2440"/>
      <c r="I25" s="2440"/>
      <c r="J25" s="2245"/>
      <c r="K25" s="2400"/>
      <c r="L25" s="2397"/>
      <c r="M25" s="2397"/>
      <c r="N25" s="2245"/>
      <c r="O25" s="1670"/>
      <c r="P25" s="2245"/>
      <c r="Q25" s="2245"/>
      <c r="R25" s="2245"/>
      <c r="S25" s="2245"/>
      <c r="T25" s="2245"/>
      <c r="U25" s="2245"/>
      <c r="V25" s="2245"/>
    </row>
    <row r="26" spans="1:28" ht="13.5" thickBot="1">
      <c r="A26" s="2424"/>
      <c r="B26" s="2425" t="s">
        <v>1061</v>
      </c>
      <c r="C26" s="2426"/>
      <c r="D26" s="2424" t="s">
        <v>1061</v>
      </c>
      <c r="E26" s="2427"/>
      <c r="F26" s="2441"/>
      <c r="G26" s="2441"/>
      <c r="H26" s="2441"/>
      <c r="I26" s="2441"/>
      <c r="J26" s="2245"/>
      <c r="K26" s="2400"/>
      <c r="L26" s="2397"/>
      <c r="M26" s="2397"/>
      <c r="N26" s="2245"/>
      <c r="O26" s="1670"/>
      <c r="P26" s="2245"/>
      <c r="Q26" s="2245"/>
      <c r="R26" s="2245"/>
      <c r="S26" s="2245"/>
      <c r="T26" s="2245"/>
      <c r="U26" s="2245"/>
      <c r="V26" s="2245"/>
    </row>
    <row r="27" spans="1:28" ht="13.5" thickTop="1">
      <c r="A27" s="3262" t="s">
        <v>2214</v>
      </c>
      <c r="B27" s="312" t="s">
        <v>2215</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262"/>
      <c r="B28" s="294" t="s">
        <v>2216</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62"/>
      <c r="B29" s="294" t="s">
        <v>2217</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63"/>
      <c r="B30" s="294" t="s">
        <v>2218</v>
      </c>
      <c r="C30" s="3264"/>
      <c r="D30" s="3265"/>
      <c r="E30" s="2440"/>
      <c r="F30" s="2440"/>
      <c r="G30" s="2440"/>
      <c r="H30" s="2440"/>
      <c r="I30" s="2440"/>
      <c r="J30" s="2245"/>
      <c r="K30" s="2400"/>
      <c r="L30" s="2397"/>
      <c r="M30" s="2397"/>
      <c r="N30" s="2245"/>
      <c r="O30" s="1670"/>
      <c r="P30" s="2245"/>
      <c r="Q30" s="2245"/>
      <c r="R30" s="2245"/>
      <c r="S30" s="2245"/>
      <c r="T30" s="2245"/>
      <c r="U30" s="2245"/>
      <c r="V30" s="2245"/>
    </row>
    <row r="31" spans="1:28">
      <c r="A31" s="3266" t="s">
        <v>2219</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67"/>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67"/>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2220</v>
      </c>
      <c r="B34" s="1870"/>
      <c r="C34" s="1870"/>
      <c r="D34" s="1870"/>
      <c r="E34" s="1870"/>
      <c r="F34" s="1870"/>
      <c r="G34" s="1870"/>
      <c r="H34" s="1870"/>
      <c r="I34" s="2440"/>
      <c r="J34" s="2245"/>
      <c r="K34" s="8">
        <f>COUNTIF(B34:H34,"——")</f>
        <v>0</v>
      </c>
      <c r="L34" s="315" t="s">
        <v>2221</v>
      </c>
      <c r="M34" s="315" t="s">
        <v>2222</v>
      </c>
      <c r="N34" s="315" t="s">
        <v>2223</v>
      </c>
      <c r="O34" s="315" t="s">
        <v>2224</v>
      </c>
      <c r="P34" s="315" t="s">
        <v>2225</v>
      </c>
      <c r="Q34" s="315" t="s">
        <v>2226</v>
      </c>
      <c r="R34" s="315" t="s">
        <v>2227</v>
      </c>
      <c r="S34" s="3261" t="s">
        <v>2228</v>
      </c>
      <c r="T34" s="315" t="str">
        <f>NUMBERSTRING(7-K34,1)&amp;"通"</f>
        <v>七通</v>
      </c>
      <c r="U34" s="2245"/>
      <c r="V34" s="2245"/>
    </row>
    <row r="35" spans="1:30">
      <c r="A35" s="2236"/>
      <c r="B35" s="3261" t="s">
        <v>2229</v>
      </c>
      <c r="C35" s="3261"/>
      <c r="D35" s="3261"/>
      <c r="E35" s="3261"/>
      <c r="F35" s="8">
        <f>C10</f>
        <v>0</v>
      </c>
      <c r="G35" s="2440"/>
      <c r="H35" s="2440"/>
      <c r="I35" s="2440"/>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1"/>
      <c r="T35" s="138" t="str">
        <f>IF(T34="一通",L35,IF(T34="二通",M35,IF(T34="三通",N35,IF(T34="四通",O35,IF(T34="五通",P35,IF(T34="六通",Q35,R35))))))</f>
        <v>、、、、、、</v>
      </c>
      <c r="U35" s="2245"/>
      <c r="V35" s="2245"/>
    </row>
    <row r="36" spans="1:30">
      <c r="A36" s="2183"/>
      <c r="B36" s="8" t="s">
        <v>2185</v>
      </c>
      <c r="C36" s="8" t="s">
        <v>2186</v>
      </c>
      <c r="D36" s="8" t="s">
        <v>2184</v>
      </c>
      <c r="E36" s="8" t="s">
        <v>2189</v>
      </c>
      <c r="F36" s="2799" t="s">
        <v>2579</v>
      </c>
      <c r="G36" s="2440"/>
      <c r="H36" s="2440"/>
      <c r="I36" s="2440"/>
      <c r="J36" s="2245"/>
      <c r="K36" s="2400"/>
      <c r="L36" s="2397"/>
      <c r="M36" s="2397"/>
      <c r="N36" s="2245"/>
      <c r="O36" s="1670"/>
      <c r="P36" s="2245"/>
      <c r="Q36" s="2245"/>
      <c r="R36" s="2245"/>
      <c r="S36" s="2245"/>
      <c r="T36" s="2245"/>
      <c r="U36" s="2245"/>
      <c r="V36" s="2245"/>
    </row>
    <row r="37" spans="1:30">
      <c r="A37" s="2413" t="s">
        <v>2230</v>
      </c>
      <c r="B37" s="2237" t="s">
        <v>303</v>
      </c>
      <c r="C37" s="2237"/>
      <c r="D37" s="2237"/>
      <c r="E37" s="2237"/>
      <c r="F37" s="2237"/>
      <c r="G37" s="2440"/>
      <c r="H37" s="2440"/>
      <c r="I37" s="2440"/>
      <c r="J37" s="2245"/>
      <c r="K37" s="2400"/>
      <c r="L37" s="2397"/>
      <c r="M37" s="2397"/>
      <c r="N37" s="2245"/>
      <c r="O37" s="1670"/>
      <c r="P37" s="2245"/>
      <c r="Q37" s="2245"/>
      <c r="R37" s="2245"/>
      <c r="S37" s="2245"/>
      <c r="T37" s="2245"/>
      <c r="U37" s="2245"/>
      <c r="V37" s="2245"/>
    </row>
    <row r="38" spans="1:30" ht="13.5" thickBot="1">
      <c r="A38" s="2414" t="s">
        <v>2231</v>
      </c>
      <c r="B38" s="2238" t="s">
        <v>158</v>
      </c>
      <c r="C38" s="2238"/>
      <c r="D38" s="2238"/>
      <c r="E38" s="2238"/>
      <c r="F38" s="2238"/>
      <c r="G38" s="2441"/>
      <c r="H38" s="2441"/>
      <c r="I38" s="2441"/>
      <c r="J38" s="2245"/>
      <c r="K38" s="2400"/>
      <c r="L38" s="2397"/>
      <c r="M38" s="2397"/>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28" sqref="C2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4769.92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4769.92</v>
      </c>
      <c r="H5" s="13">
        <f t="shared" ref="H5:AT5" si="0">SUM(H13:H656)</f>
        <v>4769.92</v>
      </c>
      <c r="I5" s="13">
        <f t="shared" si="0"/>
        <v>4769.92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4769.92</v>
      </c>
      <c r="BA5" s="15">
        <f t="shared" si="1"/>
        <v>4769.92</v>
      </c>
      <c r="BB5" s="15">
        <f t="shared" si="1"/>
        <v>4769.92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3511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地下</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3510</v>
      </c>
      <c r="E13" s="13">
        <f>IF($C$3="是",ROUND($A$3*G13/$B$3,2),ROUND($A$3*(G13-AT13)/$B$3,2))</f>
        <v>0</v>
      </c>
      <c r="F13" s="29"/>
      <c r="G13" s="30">
        <f>H13+AC13+AT13</f>
        <v>4769.92</v>
      </c>
      <c r="H13" s="17">
        <f>SUMIF(I$12:AB$12,"总值",I13:AB13)</f>
        <v>4769.92</v>
      </c>
      <c r="I13" s="1514">
        <v>4769.92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4769.92</v>
      </c>
      <c r="BA13" s="13">
        <f>SUM(BB13:BK13)</f>
        <v>4769.92</v>
      </c>
      <c r="BB13" s="13">
        <f>IF($D13="是",I13-J13,0)</f>
        <v>4769.92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99" t="s">
        <v>1131</v>
      </c>
      <c r="B2" s="3299"/>
      <c r="C2" s="3299"/>
      <c r="D2" s="748" t="s">
        <v>1107</v>
      </c>
      <c r="E2" s="1523" t="s">
        <v>1108</v>
      </c>
      <c r="F2" s="2437"/>
      <c r="G2" s="2430"/>
      <c r="H2" s="2431"/>
      <c r="I2" s="2146" t="s">
        <v>1132</v>
      </c>
      <c r="J2" s="2437"/>
      <c r="K2" s="2437"/>
      <c r="L2" s="2437"/>
      <c r="M2" s="2437"/>
      <c r="N2" s="2438"/>
      <c r="O2" s="2437"/>
      <c r="P2" s="2437"/>
    </row>
    <row r="3" spans="1:16" ht="15.75" thickBot="1">
      <c r="A3" s="3300" t="s">
        <v>1105</v>
      </c>
      <c r="B3" s="3300"/>
      <c r="C3" s="3300"/>
      <c r="D3" s="41">
        <f>'数据-基础表'!AY6</f>
        <v>0</v>
      </c>
      <c r="E3" s="41">
        <f>'数据-基础表'!AZ5</f>
        <v>4769.92</v>
      </c>
      <c r="F3" s="2437"/>
      <c r="G3" s="42"/>
      <c r="H3" s="43" t="s">
        <v>1106</v>
      </c>
      <c r="I3" s="802" t="e">
        <f>ROUND('数据-基础表'!B3/'数据-基础表'!A3,2)</f>
        <v>#DIV/0!</v>
      </c>
      <c r="J3" s="2437"/>
      <c r="K3" s="2437"/>
      <c r="L3" s="2437"/>
      <c r="M3" s="2437"/>
      <c r="N3" s="2438"/>
      <c r="O3" s="2437"/>
      <c r="P3" s="2437"/>
    </row>
    <row r="4" spans="1:16" ht="15">
      <c r="A4" s="3301"/>
      <c r="B4" s="3302"/>
      <c r="C4" s="3303"/>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304" t="s">
        <v>1110</v>
      </c>
      <c r="C5" s="3304"/>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304" t="s">
        <v>1111</v>
      </c>
      <c r="C6" s="3304"/>
      <c r="D6" s="43">
        <f>ROUND($D$3*E6/$E$3,2)</f>
        <v>0</v>
      </c>
      <c r="E6" s="44">
        <f>E3-E5</f>
        <v>4769.92</v>
      </c>
      <c r="F6" s="2437"/>
      <c r="G6" s="1529" t="s">
        <v>1112</v>
      </c>
      <c r="H6" s="45" t="s">
        <v>1113</v>
      </c>
      <c r="I6" s="2433" t="e">
        <f>ROUND(F31/D31,2)</f>
        <v>#DIV/0!</v>
      </c>
      <c r="J6" s="2437"/>
      <c r="K6" s="2437"/>
      <c r="L6" s="2437"/>
      <c r="M6" s="2437"/>
      <c r="N6" s="2437"/>
      <c r="O6" s="2437"/>
      <c r="P6" s="2437"/>
    </row>
    <row r="7" spans="1:16" ht="15.75" thickBot="1">
      <c r="A7" s="3296"/>
      <c r="B7" s="3297"/>
      <c r="C7" s="3298"/>
      <c r="D7" s="1524" t="s">
        <v>1107</v>
      </c>
      <c r="E7" s="1528" t="s">
        <v>1114</v>
      </c>
      <c r="F7" s="2437"/>
      <c r="G7" s="2434" t="s">
        <v>1115</v>
      </c>
      <c r="H7" s="95"/>
      <c r="I7" s="2435">
        <v>1.9</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0</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4769.92</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4769.92</v>
      </c>
      <c r="F16" s="2437"/>
      <c r="G16" s="2437"/>
      <c r="H16" s="1531" t="s">
        <v>1135</v>
      </c>
      <c r="I16" s="1532"/>
      <c r="J16" s="1071"/>
      <c r="K16" s="3293" t="s">
        <v>1135</v>
      </c>
      <c r="L16" s="3294"/>
      <c r="M16" s="3294"/>
      <c r="N16" s="3294"/>
      <c r="O16" s="3294"/>
      <c r="P16" s="3295"/>
    </row>
    <row r="17" spans="1:19" ht="15">
      <c r="A17" s="1533" t="s">
        <v>1136</v>
      </c>
      <c r="B17" s="1534" t="s">
        <v>1137</v>
      </c>
      <c r="C17" s="1535" t="s">
        <v>1138</v>
      </c>
      <c r="D17" s="1536" t="s">
        <v>1126</v>
      </c>
      <c r="E17" s="1537" t="s">
        <v>1127</v>
      </c>
      <c r="F17" s="1538"/>
      <c r="G17" s="1539"/>
      <c r="H17" s="1540" t="s">
        <v>1139</v>
      </c>
      <c r="I17" s="1541" t="s">
        <v>1124</v>
      </c>
      <c r="J17" s="1071"/>
      <c r="K17" s="3290" t="s">
        <v>1140</v>
      </c>
      <c r="L17" s="3291"/>
      <c r="M17" s="3292"/>
      <c r="N17" s="3290" t="s">
        <v>1141</v>
      </c>
      <c r="O17" s="3291"/>
      <c r="P17" s="329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3512</v>
      </c>
      <c r="D19" s="43">
        <f>ROUND($D$3*E19/$E$3,2)</f>
        <v>0</v>
      </c>
      <c r="E19" s="51">
        <f t="shared" ref="E19:E26" si="1">SUM(F19:G19)</f>
        <v>4769.92</v>
      </c>
      <c r="F19" s="2556"/>
      <c r="G19" s="1243">
        <f>'数据-基础表'!I13</f>
        <v>4769.92</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4769.92</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4769.92</v>
      </c>
      <c r="F27" s="1072">
        <f>IF(SUM(F19:F26)=E8,SUM(F19:F26),"地上面积有误")</f>
        <v>0</v>
      </c>
      <c r="G27" s="1074">
        <f>SUM(G19:G26)</f>
        <v>4769.92</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4769.92</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4769.92</v>
      </c>
      <c r="F31" s="644">
        <f>F27+F30</f>
        <v>0</v>
      </c>
      <c r="G31" s="645">
        <f>G27+G30</f>
        <v>4769.92</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2" zoomScaleNormal="82" zoomScaleSheetLayoutView="90" workbookViewId="0">
      <pane xSplit="3" ySplit="5" topLeftCell="J6" activePane="bottomRight" state="frozen"/>
      <selection activeCell="C50" sqref="C50"/>
      <selection pane="topRight" activeCell="C50" sqref="C50"/>
      <selection pane="bottomLeft" activeCell="C50" sqref="C50"/>
      <selection pane="bottomRight" activeCell="L15" sqref="L1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45352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3519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53018</v>
      </c>
      <c r="F6" s="61">
        <f>SUMIF(项目基本情况!C$12:I$12,C6,项目基本情况!C$15:I$15)</f>
        <v>21</v>
      </c>
      <c r="G6" s="62">
        <f>IF(ISERROR(ROUND(POWER(1+H6,D6-F6)*(POWER(1+H6,F6)-1)/(POWER(1+H6,D6)-1),3)),0,ROUND(POWER(1+H6,D6-F6)*(POWER(1+H6,F6)-1)/(POWER(1+H6,D6)-1),3))</f>
        <v>0.76500000000000001</v>
      </c>
      <c r="H6" s="691">
        <v>5.5E-2</v>
      </c>
      <c r="I6" s="691">
        <v>5.5E-2</v>
      </c>
      <c r="J6" s="63">
        <v>6.5000000000000002E-2</v>
      </c>
      <c r="K6" s="970">
        <f>SUMIF('数据-汇总表'!C$19:C$33,A6,'数据-汇总表'!E$19:E$33)</f>
        <v>4769.92</v>
      </c>
      <c r="L6" s="692">
        <v>3500</v>
      </c>
      <c r="M6" s="64">
        <f t="shared" ref="M6:M14" si="0">ROUND(K6*L6/10000,0)</f>
        <v>1669</v>
      </c>
      <c r="N6" s="690">
        <f>N20</f>
        <v>0.72</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5">
        <v>4</v>
      </c>
      <c r="V6" s="67">
        <v>2.5000000000000001E-2</v>
      </c>
      <c r="W6" s="67">
        <v>0.1</v>
      </c>
      <c r="X6" s="979"/>
      <c r="Y6" s="68">
        <f>N6</f>
        <v>0.72</v>
      </c>
      <c r="Z6" s="69"/>
      <c r="AA6" s="63"/>
      <c r="AB6" s="63"/>
      <c r="AC6" s="979"/>
      <c r="AD6" s="70"/>
      <c r="AE6" s="980">
        <f ca="1">IF(AN6="",0,SUMIF(INDIRECT("'"&amp;AN6&amp;"'"&amp;"!E:E"),$AE$5,INDIRECT("'"&amp;AN6&amp;"'"&amp;"!F:F")))</f>
        <v>21</v>
      </c>
      <c r="AF6" s="74"/>
      <c r="AG6" s="130">
        <f>IF(AF6="",0,AE6-AF6)</f>
        <v>0</v>
      </c>
      <c r="AH6" s="71"/>
      <c r="AI6" s="73">
        <v>365</v>
      </c>
      <c r="AJ6" s="74"/>
      <c r="AK6" s="75">
        <v>0.01</v>
      </c>
      <c r="AL6" s="76">
        <v>1E-3</v>
      </c>
      <c r="AM6" s="77">
        <v>0.01</v>
      </c>
      <c r="AN6" s="1589" t="s">
        <v>3590</v>
      </c>
      <c r="AO6" s="50">
        <f ca="1">SUMIF(INDIRECT("'"&amp;AN6&amp;"'"&amp;"!A:A"),"总价",INDIRECT("'"&amp;AN6&amp;"'"&amp;"!B:B"))</f>
        <v>8415.5938999999998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0.76500000000000001</v>
      </c>
      <c r="H16" s="84">
        <f>ROUND(SUMPRODUCT(H6:H13,K6:K13)/SUMPRODUCT((H6:H13&gt;0)*(K6:K13)),3)</f>
        <v>5.5E-2</v>
      </c>
      <c r="I16" s="85"/>
      <c r="J16" s="85"/>
      <c r="K16" s="86">
        <f>SUM(K6:K15)</f>
        <v>4769.92</v>
      </c>
      <c r="L16" s="87">
        <f>ROUND(M16*10000/SUM(K6:K14),0)</f>
        <v>3499</v>
      </c>
      <c r="M16" s="87">
        <f>SUM(M6:M14)</f>
        <v>1669</v>
      </c>
      <c r="N16" s="88">
        <f>ROUND(SUMPRODUCT(M6:M14,N6:N14)/M16,3)</f>
        <v>0.72</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2301</v>
      </c>
      <c r="D19" s="2450"/>
      <c r="E19" s="2437"/>
      <c r="F19" s="2437"/>
      <c r="G19" s="2437"/>
      <c r="H19" s="2437"/>
      <c r="I19" s="2437"/>
      <c r="J19" s="2437"/>
      <c r="K19" s="2448"/>
      <c r="L19" s="2448"/>
      <c r="M19" s="2447"/>
      <c r="N19" s="2447">
        <v>2007</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2299</v>
      </c>
      <c r="D20" s="2450"/>
      <c r="E20" s="2437"/>
      <c r="F20" s="2437"/>
      <c r="G20" s="2437"/>
      <c r="H20" s="2437"/>
      <c r="I20" s="2437"/>
      <c r="J20" s="2437"/>
      <c r="K20" s="2448"/>
      <c r="L20" s="2448"/>
      <c r="M20" s="2447"/>
      <c r="N20" s="2447">
        <f>ROUND(1-(2024-N19)/60,2)</f>
        <v>0.72</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2303</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2290</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0.03</v>
      </c>
      <c r="C33" s="2563" t="s">
        <v>2291</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c r="C34" s="2563" t="s">
        <v>2292</v>
      </c>
      <c r="D34" s="2458" t="s">
        <v>2300</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2293</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1.4999999999999999E-2</v>
      </c>
      <c r="C36" s="2563" t="s">
        <v>2294</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0.02</v>
      </c>
      <c r="C37" s="2563" t="s">
        <v>2295</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3" t="s">
        <v>2295</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f ca="1">IF(A40="利息：取LPR",存贷款利率!G1,存贷款利率!G1+C40)</f>
        <v>3.4500000000000003E-2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7.0000000000000007E-2</v>
      </c>
      <c r="C44" s="2563" t="s">
        <v>2304</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2296</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2297</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2296</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2298</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8" t="s">
        <v>1246</v>
      </c>
      <c r="D53" s="2564" t="s">
        <v>2302</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9" customFormat="1" ht="18.75" thickBot="1">
      <c r="A1" s="3305" t="s">
        <v>2282</v>
      </c>
      <c r="B1" s="3306"/>
      <c r="C1" s="3306"/>
      <c r="D1" s="3306"/>
      <c r="E1" s="3306"/>
      <c r="F1" s="3306"/>
      <c r="G1" s="330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2278</v>
      </c>
      <c r="D2" s="1595"/>
      <c r="E2" s="2260"/>
      <c r="F2" s="2263"/>
      <c r="G2" s="2262" t="s">
        <v>2279</v>
      </c>
      <c r="H2" s="751"/>
      <c r="I2" s="751"/>
      <c r="J2" s="751"/>
      <c r="K2" s="751"/>
      <c r="L2" s="751"/>
      <c r="M2" s="751"/>
      <c r="N2" s="751"/>
      <c r="O2" s="751"/>
      <c r="P2" s="751"/>
      <c r="Q2" s="751"/>
    </row>
    <row r="3" spans="1:29" ht="25.5">
      <c r="A3" s="2247" t="s">
        <v>2280</v>
      </c>
      <c r="B3" s="2264" t="s">
        <v>2252</v>
      </c>
      <c r="C3" s="3598"/>
      <c r="D3" s="2265"/>
      <c r="E3" s="2248" t="s">
        <v>2280</v>
      </c>
      <c r="F3" s="2266" t="s">
        <v>2253</v>
      </c>
      <c r="G3" s="2267" t="s">
        <v>2281</v>
      </c>
      <c r="H3" s="751"/>
      <c r="I3" s="751"/>
      <c r="J3" s="751"/>
      <c r="K3" s="751"/>
      <c r="L3" s="751"/>
      <c r="M3" s="751"/>
      <c r="N3" s="751"/>
      <c r="O3" s="751"/>
      <c r="P3" s="751"/>
      <c r="Q3" s="751"/>
    </row>
    <row r="4" spans="1:29" ht="48">
      <c r="A4" s="2248"/>
      <c r="B4" s="315" t="s">
        <v>2254</v>
      </c>
      <c r="C4" s="3212" t="s">
        <v>3584</v>
      </c>
      <c r="D4" s="2265"/>
      <c r="E4" s="2268"/>
      <c r="F4" s="1281" t="s">
        <v>2255</v>
      </c>
      <c r="G4" s="2269" t="s">
        <v>2256</v>
      </c>
      <c r="H4" s="751"/>
      <c r="I4" s="751"/>
      <c r="J4" s="751"/>
      <c r="K4" s="751"/>
      <c r="L4" s="751"/>
      <c r="M4" s="751"/>
      <c r="N4" s="751"/>
      <c r="O4" s="751"/>
      <c r="P4" s="751"/>
      <c r="Q4" s="751"/>
    </row>
    <row r="5" spans="1:29" ht="24">
      <c r="A5" s="2248"/>
      <c r="B5" s="315" t="s">
        <v>2257</v>
      </c>
      <c r="C5" s="3212"/>
      <c r="D5" s="2265"/>
      <c r="E5" s="2268"/>
      <c r="F5" s="315" t="s">
        <v>2258</v>
      </c>
      <c r="G5" s="2269" t="s">
        <v>2259</v>
      </c>
      <c r="H5" s="751"/>
      <c r="I5" s="751"/>
      <c r="J5" s="751"/>
      <c r="K5" s="751"/>
      <c r="L5" s="751"/>
      <c r="M5" s="751"/>
      <c r="N5" s="751"/>
      <c r="O5" s="751"/>
      <c r="P5" s="751"/>
      <c r="Q5" s="751"/>
    </row>
    <row r="6" spans="1:29" ht="72">
      <c r="A6" s="2248"/>
      <c r="B6" s="315" t="s">
        <v>2260</v>
      </c>
      <c r="C6" s="3213" t="s">
        <v>3585</v>
      </c>
      <c r="D6" s="2265"/>
      <c r="E6" s="2268"/>
      <c r="F6" s="315" t="s">
        <v>2261</v>
      </c>
      <c r="G6" s="2269" t="s">
        <v>2262</v>
      </c>
      <c r="H6" s="751"/>
      <c r="I6" s="751"/>
      <c r="J6" s="751"/>
      <c r="K6" s="751"/>
      <c r="L6" s="751"/>
      <c r="M6" s="751"/>
      <c r="N6" s="751"/>
      <c r="O6" s="751"/>
      <c r="P6" s="751"/>
      <c r="Q6" s="751"/>
    </row>
    <row r="7" spans="1:29" ht="120.75" thickBot="1">
      <c r="A7" s="2248"/>
      <c r="B7" s="315" t="s">
        <v>2258</v>
      </c>
      <c r="C7" s="3213" t="s">
        <v>3595</v>
      </c>
      <c r="D7" s="2245"/>
      <c r="E7" s="2270"/>
      <c r="F7" s="2271" t="s">
        <v>2263</v>
      </c>
      <c r="G7" s="2272" t="s">
        <v>2264</v>
      </c>
      <c r="H7" s="751"/>
      <c r="I7" s="751"/>
      <c r="J7" s="751"/>
      <c r="K7" s="751"/>
      <c r="L7" s="751"/>
      <c r="M7" s="751"/>
      <c r="N7" s="751"/>
      <c r="O7" s="751"/>
      <c r="P7" s="751"/>
      <c r="Q7" s="751"/>
    </row>
    <row r="8" spans="1:29" ht="24">
      <c r="A8" s="2248"/>
      <c r="B8" s="315" t="s">
        <v>2261</v>
      </c>
      <c r="C8" s="3213" t="s">
        <v>3546</v>
      </c>
      <c r="D8" s="2245"/>
      <c r="E8" s="2245"/>
      <c r="F8" s="121"/>
      <c r="G8" s="121"/>
      <c r="H8" s="751"/>
      <c r="I8" s="751"/>
      <c r="J8" s="751"/>
      <c r="K8" s="751"/>
      <c r="L8" s="751"/>
      <c r="M8" s="751"/>
      <c r="N8" s="751"/>
      <c r="O8" s="751"/>
      <c r="P8" s="751"/>
      <c r="Q8" s="751"/>
    </row>
    <row r="9" spans="1:29" ht="48">
      <c r="A9" s="2248"/>
      <c r="B9" s="315" t="s">
        <v>2265</v>
      </c>
      <c r="C9" s="3212" t="s">
        <v>3586</v>
      </c>
      <c r="D9" s="2265"/>
      <c r="E9" s="2245"/>
      <c r="F9" s="121"/>
      <c r="G9" s="121"/>
      <c r="H9" s="751"/>
      <c r="I9" s="751"/>
      <c r="J9" s="751"/>
      <c r="K9" s="751"/>
      <c r="L9" s="751"/>
      <c r="M9" s="751"/>
      <c r="N9" s="751"/>
      <c r="O9" s="751"/>
      <c r="P9" s="751"/>
      <c r="Q9" s="751"/>
    </row>
    <row r="10" spans="1:29" ht="15" thickBot="1">
      <c r="A10" s="2249"/>
      <c r="B10" s="2273" t="s">
        <v>2266</v>
      </c>
      <c r="C10" s="2274"/>
      <c r="D10" s="2265"/>
      <c r="E10" s="2265"/>
      <c r="F10" s="121"/>
      <c r="G10" s="121"/>
      <c r="J10" s="2276"/>
      <c r="M10" s="2276"/>
      <c r="P10" s="2276"/>
      <c r="R10" s="2275"/>
    </row>
    <row r="11" spans="1:29">
      <c r="A11" s="2277"/>
      <c r="B11" s="2245"/>
      <c r="C11" s="2265"/>
      <c r="D11" s="2265"/>
      <c r="E11" s="2265"/>
      <c r="F11" s="2245"/>
      <c r="G11" s="2245"/>
      <c r="J11" s="2276"/>
      <c r="M11" s="2276"/>
      <c r="P11" s="2276"/>
      <c r="R11" s="2275"/>
    </row>
    <row r="12" spans="1:29" s="2259" customFormat="1" ht="18">
      <c r="A12" s="2277"/>
      <c r="B12" s="2245"/>
      <c r="C12" s="2265"/>
      <c r="D12" s="2278"/>
      <c r="E12" s="2265"/>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5.75" thickBot="1">
      <c r="A13" s="2282" t="s">
        <v>2283</v>
      </c>
      <c r="B13" s="2278"/>
      <c r="C13" s="2278"/>
      <c r="D13" s="2277"/>
      <c r="E13" s="2278"/>
      <c r="F13" s="2278"/>
      <c r="G13" s="2278"/>
    </row>
    <row r="14" spans="1:29" ht="15" thickBot="1">
      <c r="A14" s="2283"/>
      <c r="B14" s="2283"/>
      <c r="C14" s="2284" t="s">
        <v>2267</v>
      </c>
      <c r="D14" s="2265"/>
      <c r="E14" s="2285"/>
      <c r="F14" s="2285"/>
      <c r="G14" s="2262" t="s">
        <v>2268</v>
      </c>
    </row>
    <row r="15" spans="1:29" ht="51">
      <c r="A15" s="2250" t="s">
        <v>2269</v>
      </c>
      <c r="B15" s="2286" t="s">
        <v>2252</v>
      </c>
      <c r="C15" s="2287">
        <f>C3</f>
        <v>0</v>
      </c>
      <c r="D15" s="2265"/>
      <c r="E15" s="2251" t="s">
        <v>2270</v>
      </c>
      <c r="F15" s="2286" t="s">
        <v>2271</v>
      </c>
      <c r="G15" s="2288" t="str">
        <f>G3</f>
        <v>估价对象位于XX开发区，园区建设成熟度XX，产业集聚程度XX</v>
      </c>
    </row>
    <row r="16" spans="1:29" ht="38.25">
      <c r="A16" s="2252"/>
      <c r="B16" s="2289" t="s">
        <v>2254</v>
      </c>
      <c r="C16" s="2290" t="str">
        <f>C4</f>
        <v>估价对象周边多为住宅、办公配套商业、有华联商厦等商业设施，人流量较大，商业繁华度较好</v>
      </c>
      <c r="D16" s="2265"/>
      <c r="E16" s="2253"/>
      <c r="F16" s="2291" t="s">
        <v>2255</v>
      </c>
      <c r="G16" s="2292" t="str">
        <f>G4</f>
        <v>估价对象周边道路状况、公共交通通达情况、停车便捷程度，综合评价交通便捷度较好</v>
      </c>
    </row>
    <row r="17" spans="1:17" ht="38.25">
      <c r="A17" s="2252"/>
      <c r="B17" s="2289" t="s">
        <v>2257</v>
      </c>
      <c r="C17" s="2290">
        <f>C5</f>
        <v>0</v>
      </c>
      <c r="D17" s="2245"/>
      <c r="E17" s="2253"/>
      <c r="F17" s="2291" t="s">
        <v>2272</v>
      </c>
      <c r="G17" s="2293"/>
    </row>
    <row r="18" spans="1:17" ht="76.5">
      <c r="A18" s="2252"/>
      <c r="B18" s="2291" t="s">
        <v>2260</v>
      </c>
      <c r="C18" s="2292" t="str">
        <f>C6</f>
        <v>估价对象周边有305路、320路、365路、432路、614路、982路等多条公交线路，距离地铁13号线上地站约950米，周边道路网线较密集，通达度较好。综合评价交通便捷度较好。</v>
      </c>
      <c r="D18" s="2245"/>
      <c r="E18" s="2253"/>
      <c r="F18" s="2291" t="s">
        <v>2263</v>
      </c>
      <c r="G18" s="2292" t="str">
        <f>G7</f>
        <v>该园区内是否有污染型企业，绿化情况，卫生条件，整体环境状况判断</v>
      </c>
    </row>
    <row r="19" spans="1:17" ht="25.5">
      <c r="A19" s="2252"/>
      <c r="B19" s="2291" t="s">
        <v>2273</v>
      </c>
      <c r="C19" s="2293"/>
      <c r="D19" s="2265"/>
      <c r="E19" s="2253"/>
      <c r="F19" s="315" t="s">
        <v>2258</v>
      </c>
      <c r="G19" s="2292" t="str">
        <f>G5</f>
        <v>估价对象所在区域公共配套设施齐备情况</v>
      </c>
    </row>
    <row r="20" spans="1:17" ht="38.25">
      <c r="A20" s="2252"/>
      <c r="B20" s="2291" t="s">
        <v>2274</v>
      </c>
      <c r="C20" s="2290" t="str">
        <f>C9</f>
        <v>估价对象周边有树村郊野公园、生态花谷、北京体育大学场等自然人文场所，综合评价环境状况较好。</v>
      </c>
      <c r="D20" s="2245"/>
      <c r="E20" s="2253"/>
      <c r="F20" s="315" t="s">
        <v>2261</v>
      </c>
      <c r="G20" s="2292" t="str">
        <f>G6</f>
        <v>估价对象所在区域基础设施水平</v>
      </c>
    </row>
    <row r="21" spans="1:17" ht="127.5">
      <c r="A21" s="2252"/>
      <c r="B21" s="315" t="s">
        <v>2258</v>
      </c>
      <c r="C21" s="2292" t="str">
        <f>C7</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D21" s="2265"/>
      <c r="E21" s="2253"/>
      <c r="F21" s="2291" t="s">
        <v>2275</v>
      </c>
      <c r="G21" s="2294"/>
    </row>
    <row r="22" spans="1:17" ht="13.5" customHeight="1">
      <c r="A22" s="2252"/>
      <c r="B22" s="315" t="s">
        <v>2261</v>
      </c>
      <c r="C22" s="2292" t="str">
        <f>C8</f>
        <v>估价对象所在区域基础设施水平-七通</v>
      </c>
      <c r="D22" s="2265"/>
      <c r="E22" s="2253"/>
      <c r="F22" s="2291" t="s">
        <v>2266</v>
      </c>
      <c r="G22" s="2293"/>
    </row>
    <row r="23" spans="1:17" s="751" customFormat="1" ht="15" thickBot="1">
      <c r="A23" s="2252"/>
      <c r="B23" s="2291" t="s">
        <v>2275</v>
      </c>
      <c r="C23" s="2294"/>
      <c r="D23" s="1614"/>
      <c r="E23" s="2254"/>
      <c r="F23" s="2295" t="s">
        <v>2276</v>
      </c>
      <c r="G23" s="2296"/>
      <c r="H23" s="2275"/>
      <c r="I23" s="2275"/>
      <c r="J23" s="2275"/>
      <c r="K23" s="2275"/>
      <c r="L23" s="2275"/>
      <c r="M23" s="2275"/>
      <c r="N23" s="2275"/>
      <c r="O23" s="2275"/>
      <c r="P23" s="2275"/>
      <c r="Q23" s="2275"/>
    </row>
    <row r="24" spans="1:17" s="751" customFormat="1" ht="15" thickBot="1">
      <c r="A24" s="2255"/>
      <c r="B24" s="2295" t="s">
        <v>2277</v>
      </c>
      <c r="C24" s="2297">
        <f>C10</f>
        <v>0</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79998168889431442"/>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4769.92</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45352</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13232</v>
      </c>
      <c r="C5" s="2298" t="e">
        <f ca="1">IF(B5=D14,结果表!H102,ROUND(B5*10000/$B$1,0))</f>
        <v>#DIV/0!</v>
      </c>
      <c r="D5" s="2298" t="e">
        <f ca="1">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 ca="1">IF(E10="",0,ROUND(B1*(E10*365/G10)/10000,0))</f>
        <v>13232</v>
      </c>
      <c r="C10" s="2298" t="s">
        <v>3356</v>
      </c>
      <c r="D10" s="2298" t="s">
        <v>3357</v>
      </c>
      <c r="E10" s="3135">
        <f ca="1">'结果一览表-商业'!D37</f>
        <v>3.8</v>
      </c>
      <c r="F10" s="3139" t="s">
        <v>3358</v>
      </c>
      <c r="G10" s="3136">
        <v>0.05</v>
      </c>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'数据-汇总表'!G19</f>
        <v>4769.92</v>
      </c>
      <c r="C14" s="2304"/>
      <c r="D14" s="2304">
        <f ca="1">B10</f>
        <v>13232</v>
      </c>
      <c r="E14" s="2304">
        <f ca="1">ROUND(D14*10000/B14,0)</f>
        <v>27741</v>
      </c>
      <c r="F14" s="2304" t="e">
        <f ca="1">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41" t="str">
        <f>项目基本情况!S2</f>
        <v>北京市房地产</v>
      </c>
      <c r="B2" s="3342"/>
      <c r="C2" s="3342"/>
      <c r="D2" s="3342"/>
      <c r="E2" s="3342"/>
      <c r="F2" s="3342"/>
      <c r="G2" s="3342"/>
      <c r="H2" s="3342"/>
      <c r="I2" s="3343"/>
    </row>
    <row r="3" spans="1:12" ht="12.75">
      <c r="A3" s="3345" t="s">
        <v>1264</v>
      </c>
      <c r="B3" s="3346"/>
      <c r="C3" s="3346"/>
      <c r="D3" s="3346"/>
      <c r="E3" s="3346"/>
      <c r="F3" s="3346"/>
      <c r="G3" s="3346"/>
      <c r="H3" s="3346"/>
      <c r="I3" s="3346"/>
    </row>
    <row r="4" spans="1:12" ht="14.25">
      <c r="A4" s="1624" t="s">
        <v>1265</v>
      </c>
      <c r="B4" s="1625" t="s">
        <v>1266</v>
      </c>
      <c r="C4" s="1626"/>
      <c r="D4" s="1626"/>
      <c r="E4" s="3347" t="s">
        <v>1267</v>
      </c>
      <c r="F4" s="3348"/>
      <c r="G4" s="3348"/>
      <c r="H4" s="3348"/>
      <c r="I4" s="3349"/>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21" t="s">
        <v>1268</v>
      </c>
      <c r="B5" s="3308">
        <v>25</v>
      </c>
      <c r="C5" s="3324"/>
      <c r="D5" s="3344"/>
      <c r="E5" s="123" t="s">
        <v>1269</v>
      </c>
      <c r="F5" s="1627"/>
      <c r="G5" s="1627"/>
      <c r="H5" s="1627"/>
      <c r="I5" s="1281"/>
    </row>
    <row r="6" spans="1:12" ht="12.75">
      <c r="A6" s="3321"/>
      <c r="B6" s="3308"/>
      <c r="C6" s="3325"/>
      <c r="D6" s="3344"/>
      <c r="E6" s="123" t="s">
        <v>1270</v>
      </c>
      <c r="F6" s="1627"/>
      <c r="G6" s="1627"/>
      <c r="H6" s="1627"/>
      <c r="I6" s="1281"/>
    </row>
    <row r="7" spans="1:12" ht="12.75">
      <c r="A7" s="3321"/>
      <c r="B7" s="3308"/>
      <c r="C7" s="3326"/>
      <c r="D7" s="3344"/>
      <c r="E7" s="123" t="s">
        <v>1271</v>
      </c>
      <c r="F7" s="1627"/>
      <c r="G7" s="1627"/>
      <c r="H7" s="1627"/>
      <c r="I7" s="1281"/>
    </row>
    <row r="8" spans="1:12" ht="12.75">
      <c r="A8" s="3321" t="s">
        <v>1272</v>
      </c>
      <c r="B8" s="3308">
        <v>15</v>
      </c>
      <c r="C8" s="3324"/>
      <c r="D8" s="3344"/>
      <c r="E8" s="123" t="s">
        <v>1273</v>
      </c>
      <c r="F8" s="1627"/>
      <c r="G8" s="1627"/>
      <c r="H8" s="1627"/>
      <c r="I8" s="1281"/>
    </row>
    <row r="9" spans="1:12" ht="12.75">
      <c r="A9" s="3321"/>
      <c r="B9" s="3308"/>
      <c r="C9" s="3326"/>
      <c r="D9" s="3344"/>
      <c r="E9" s="123" t="s">
        <v>1274</v>
      </c>
      <c r="F9" s="1627"/>
      <c r="G9" s="1627"/>
      <c r="H9" s="1627"/>
      <c r="I9" s="1281"/>
    </row>
    <row r="10" spans="1:12" ht="12.75">
      <c r="A10" s="3321" t="s">
        <v>1275</v>
      </c>
      <c r="B10" s="3308">
        <v>15</v>
      </c>
      <c r="C10" s="3324"/>
      <c r="D10" s="3344"/>
      <c r="E10" s="123" t="s">
        <v>1276</v>
      </c>
      <c r="F10" s="1627"/>
      <c r="G10" s="1627"/>
      <c r="H10" s="1627"/>
      <c r="I10" s="1281"/>
    </row>
    <row r="11" spans="1:12" ht="12.75">
      <c r="A11" s="3321"/>
      <c r="B11" s="3308"/>
      <c r="C11" s="3326"/>
      <c r="D11" s="3344"/>
      <c r="E11" s="123" t="s">
        <v>1277</v>
      </c>
      <c r="F11" s="1627"/>
      <c r="G11" s="1627"/>
      <c r="H11" s="1627"/>
      <c r="I11" s="1281"/>
    </row>
    <row r="12" spans="1:12" ht="12.75">
      <c r="A12" s="3321" t="s">
        <v>1278</v>
      </c>
      <c r="B12" s="3308">
        <v>15</v>
      </c>
      <c r="C12" s="3324"/>
      <c r="D12" s="3344"/>
      <c r="E12" s="123" t="s">
        <v>1279</v>
      </c>
      <c r="F12" s="1627"/>
      <c r="G12" s="1627"/>
      <c r="H12" s="1627"/>
      <c r="I12" s="1281"/>
    </row>
    <row r="13" spans="1:12" ht="12.75">
      <c r="A13" s="3321"/>
      <c r="B13" s="3308"/>
      <c r="C13" s="3326"/>
      <c r="D13" s="3344"/>
      <c r="E13" s="123" t="s">
        <v>1280</v>
      </c>
      <c r="F13" s="1627"/>
      <c r="G13" s="1627"/>
      <c r="H13" s="1627"/>
      <c r="I13" s="1281"/>
    </row>
    <row r="14" spans="1:12" ht="12.75">
      <c r="A14" s="3321" t="s">
        <v>1281</v>
      </c>
      <c r="B14" s="3308">
        <v>30</v>
      </c>
      <c r="C14" s="3324"/>
      <c r="D14" s="3344"/>
      <c r="E14" s="123" t="s">
        <v>1282</v>
      </c>
      <c r="F14" s="1627"/>
      <c r="G14" s="1627"/>
      <c r="H14" s="1627"/>
      <c r="I14" s="1281"/>
    </row>
    <row r="15" spans="1:12" ht="12.75">
      <c r="A15" s="3321"/>
      <c r="B15" s="3308"/>
      <c r="C15" s="3325"/>
      <c r="D15" s="3344"/>
      <c r="E15" s="123" t="s">
        <v>1283</v>
      </c>
      <c r="F15" s="1627"/>
      <c r="G15" s="1627"/>
      <c r="H15" s="1627"/>
      <c r="I15" s="1281"/>
    </row>
    <row r="16" spans="1:12" ht="12.75">
      <c r="A16" s="3321"/>
      <c r="B16" s="3308"/>
      <c r="C16" s="3326"/>
      <c r="D16" s="3344"/>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31" t="s">
        <v>2131</v>
      </c>
      <c r="F18" s="3332"/>
      <c r="G18" s="3332"/>
      <c r="H18" s="3332"/>
      <c r="I18" s="3332"/>
      <c r="K18" s="294" t="s">
        <v>1289</v>
      </c>
      <c r="L18" s="294">
        <f>IF(C1="",'数据-汇总表'!E3,SUMIF(项目类型,C1,'数据-汇总表'!E17:E26)+SUMIF(项目类型,C1,'数据-汇总表'!I17:I26))</f>
        <v>4769.92</v>
      </c>
      <c r="M18" s="294">
        <f>IF(C1="",'数据-汇总表'!E3,SUMIF(项目类型,C1,'数据-汇总表'!E17:E26))</f>
        <v>4769.92</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15" t="s">
        <v>1299</v>
      </c>
      <c r="B24" s="1631" t="s">
        <v>1291</v>
      </c>
      <c r="C24" s="128">
        <f>IF(B30=0,0,D30)</f>
        <v>0</v>
      </c>
      <c r="D24" s="1637"/>
      <c r="E24" s="121"/>
      <c r="F24" s="121"/>
      <c r="G24" s="121"/>
      <c r="H24" s="121"/>
      <c r="I24" s="121"/>
    </row>
    <row r="25" spans="1:36" ht="14.25">
      <c r="A25" s="331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35" t="s">
        <v>1312</v>
      </c>
      <c r="B36" s="1652" t="s">
        <v>1313</v>
      </c>
      <c r="C36" s="137"/>
      <c r="D36" s="1653"/>
      <c r="E36" s="1567"/>
      <c r="F36" s="1654"/>
      <c r="G36" s="121"/>
      <c r="H36" s="121"/>
      <c r="I36" s="121"/>
    </row>
    <row r="37" spans="1:15" ht="15.75" thickBot="1">
      <c r="A37" s="3336"/>
      <c r="B37" s="1555" t="s">
        <v>1314</v>
      </c>
      <c r="C37" s="139"/>
      <c r="D37" s="1071"/>
      <c r="E37" s="1071"/>
      <c r="F37" s="1654"/>
      <c r="G37" s="121"/>
      <c r="H37" s="121"/>
      <c r="I37" s="121"/>
    </row>
    <row r="38" spans="1:15" ht="15.75" thickBot="1">
      <c r="A38" s="333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12" t="s">
        <v>1326</v>
      </c>
      <c r="B45" s="3313"/>
      <c r="C45" s="3314"/>
      <c r="D45" s="147" t="e">
        <f ca="1">ROUND(H101*F45,0)</f>
        <v>#REF!</v>
      </c>
      <c r="E45" s="148" t="s">
        <v>1327</v>
      </c>
      <c r="F45" s="149">
        <v>1</v>
      </c>
      <c r="G45" s="150" t="s">
        <v>1328</v>
      </c>
      <c r="H45" s="121"/>
      <c r="I45" s="121"/>
      <c r="J45" s="3390" t="s">
        <v>1329</v>
      </c>
      <c r="K45" s="3390"/>
      <c r="L45" s="3390"/>
      <c r="M45" s="3390"/>
      <c r="N45" s="3390"/>
      <c r="O45" s="3390"/>
    </row>
    <row r="46" spans="1:15" ht="14.25" customHeight="1">
      <c r="A46" s="3309" t="s">
        <v>1330</v>
      </c>
      <c r="B46" s="3310"/>
      <c r="C46" s="3310"/>
      <c r="D46" s="3310"/>
      <c r="E46" s="3310"/>
      <c r="F46" s="3310"/>
      <c r="G46" s="3311"/>
      <c r="H46" s="1668"/>
      <c r="I46" s="151"/>
      <c r="J46" s="2308">
        <v>1</v>
      </c>
      <c r="K46" s="3371" t="s">
        <v>1331</v>
      </c>
      <c r="L46" s="3371"/>
      <c r="M46" s="3391"/>
      <c r="N46" s="3391"/>
      <c r="O46" s="3391"/>
    </row>
    <row r="47" spans="1:15" ht="12" customHeight="1">
      <c r="A47" s="152" t="s">
        <v>1332</v>
      </c>
      <c r="B47" s="153"/>
      <c r="C47" s="154"/>
      <c r="D47" s="1024" t="s">
        <v>1333</v>
      </c>
      <c r="E47" s="294" t="s">
        <v>1334</v>
      </c>
      <c r="F47" s="155" t="s">
        <v>1335</v>
      </c>
      <c r="G47" s="2331" t="s">
        <v>1336</v>
      </c>
      <c r="H47" s="2332"/>
      <c r="I47" s="151"/>
      <c r="J47" s="2308">
        <v>2</v>
      </c>
      <c r="K47" s="3371" t="s">
        <v>1337</v>
      </c>
      <c r="L47" s="3371"/>
      <c r="M47" s="3392">
        <f>'数据-取费表'!B2</f>
        <v>45352</v>
      </c>
      <c r="N47" s="3392"/>
      <c r="O47" s="3392"/>
    </row>
    <row r="48" spans="1:15" ht="25.5">
      <c r="A48" s="3340" t="s">
        <v>1338</v>
      </c>
      <c r="B48" s="3323"/>
      <c r="C48" s="3323"/>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71" t="s">
        <v>1340</v>
      </c>
      <c r="L48" s="3371"/>
      <c r="M48" s="3393" t="e">
        <f ca="1">H101</f>
        <v>#REF!</v>
      </c>
      <c r="N48" s="3393"/>
      <c r="O48" s="3393"/>
    </row>
    <row r="49" spans="1:35" ht="25.5" customHeight="1">
      <c r="A49" s="2152" t="s">
        <v>1341</v>
      </c>
      <c r="B49" s="3307" t="s">
        <v>1342</v>
      </c>
      <c r="C49" s="3307"/>
      <c r="D49" s="1478">
        <v>0</v>
      </c>
      <c r="E49" s="316" t="s">
        <v>1343</v>
      </c>
      <c r="F49" s="2233" t="s">
        <v>28</v>
      </c>
      <c r="G49" s="3377"/>
      <c r="H49" s="2134" t="s">
        <v>2134</v>
      </c>
      <c r="I49" s="2135"/>
      <c r="J49" s="2308">
        <v>4</v>
      </c>
      <c r="K49" s="3371" t="str">
        <f>IF(项目基本情况!E8="房地产抵押价值","房地产抵押价值","抵押担保权已注销时的房地产抵押价值")</f>
        <v>抵押担保权已注销时的房地产抵押价值</v>
      </c>
      <c r="L49" s="3371"/>
      <c r="M49" s="3393" t="str">
        <f>IF(项目基本情况!E8="房地产抵押价值",H107,H109)</f>
        <v>——</v>
      </c>
      <c r="N49" s="3393"/>
      <c r="O49" s="3393"/>
    </row>
    <row r="50" spans="1:35" ht="25.5" customHeight="1">
      <c r="A50" s="2336"/>
      <c r="B50" s="3307" t="s">
        <v>1344</v>
      </c>
      <c r="C50" s="3307"/>
      <c r="D50" s="2189"/>
      <c r="E50" s="323"/>
      <c r="F50" s="2233"/>
      <c r="G50" s="3378"/>
      <c r="H50" s="2136" t="s">
        <v>2135</v>
      </c>
      <c r="I50" s="2135"/>
      <c r="J50" s="3390" t="s">
        <v>1345</v>
      </c>
      <c r="K50" s="3390"/>
      <c r="L50" s="3390"/>
      <c r="M50" s="3390"/>
      <c r="N50" s="3390"/>
      <c r="O50" s="3390"/>
    </row>
    <row r="51" spans="1:35" ht="20.45" customHeight="1">
      <c r="A51" s="2337"/>
      <c r="B51" s="3307" t="s">
        <v>1346</v>
      </c>
      <c r="C51" s="3307"/>
      <c r="D51" s="1024"/>
      <c r="E51" s="319"/>
      <c r="F51" s="2233"/>
      <c r="G51" s="3379"/>
      <c r="H51" s="2136" t="s">
        <v>2136</v>
      </c>
      <c r="I51" s="2135"/>
      <c r="J51" s="2309" t="s">
        <v>1347</v>
      </c>
      <c r="K51" s="3371" t="s">
        <v>1348</v>
      </c>
      <c r="L51" s="3371"/>
      <c r="M51" s="2309" t="s">
        <v>1349</v>
      </c>
      <c r="N51" s="2309" t="s">
        <v>1350</v>
      </c>
      <c r="O51" s="2309" t="s">
        <v>1351</v>
      </c>
    </row>
    <row r="52" spans="1:35" ht="24" customHeight="1">
      <c r="A52" s="2153" t="s">
        <v>1352</v>
      </c>
      <c r="B52" s="3307" t="s">
        <v>1353</v>
      </c>
      <c r="C52" s="3307"/>
      <c r="D52" s="1024" t="e">
        <f ca="1">ROUND(D45*'数据-取费表'!B41/(1+'数据-取费表'!C42),0)</f>
        <v>#REF!</v>
      </c>
      <c r="E52" s="1256" t="s">
        <v>1354</v>
      </c>
      <c r="F52" s="2338">
        <f>'数据-取费表'!B41</f>
        <v>5.6000000000000001E-2</v>
      </c>
      <c r="G52" s="2339"/>
      <c r="H52" s="2329"/>
      <c r="I52" s="1669"/>
      <c r="J52" s="2308">
        <v>1</v>
      </c>
      <c r="K52" s="3372" t="s">
        <v>1355</v>
      </c>
      <c r="L52" s="3372"/>
      <c r="M52" s="2310" t="b">
        <f>D48</f>
        <v>0</v>
      </c>
      <c r="N52" s="2308" t="str">
        <f>E48</f>
        <v>销售额×税（费）率</v>
      </c>
      <c r="O52" s="2311">
        <f>F48</f>
        <v>5.6000000000000001E-2</v>
      </c>
    </row>
    <row r="53" spans="1:35" ht="12" customHeight="1">
      <c r="A53" s="2153" t="s">
        <v>1356</v>
      </c>
      <c r="B53" s="3333" t="s">
        <v>2287</v>
      </c>
      <c r="C53" s="3334"/>
      <c r="D53" s="1024" t="e">
        <f ca="1">ROUND(D45*'数据-取费表'!B41/(1+'数据-取费表'!C42),0)</f>
        <v>#REF!</v>
      </c>
      <c r="E53" s="1256" t="s">
        <v>1354</v>
      </c>
      <c r="F53" s="2338">
        <f>'数据-取费表'!B41</f>
        <v>5.6000000000000001E-2</v>
      </c>
      <c r="G53" s="2339"/>
      <c r="H53" s="2329"/>
      <c r="I53" s="1669"/>
      <c r="J53" s="2308">
        <v>2</v>
      </c>
      <c r="K53" s="3372" t="s">
        <v>1357</v>
      </c>
      <c r="L53" s="3372"/>
      <c r="M53" s="2310" t="e">
        <f t="shared" ref="M53:O54" ca="1" si="0">D55</f>
        <v>#REF!</v>
      </c>
      <c r="N53" s="2308" t="str">
        <f t="shared" si="0"/>
        <v>销售额×税（费）率</v>
      </c>
      <c r="O53" s="2311" t="str">
        <f t="shared" si="0"/>
        <v>免征</v>
      </c>
    </row>
    <row r="54" spans="1:35" ht="12" customHeight="1">
      <c r="A54" s="2153" t="s">
        <v>1358</v>
      </c>
      <c r="B54" s="3333" t="s">
        <v>2288</v>
      </c>
      <c r="C54" s="3334"/>
      <c r="D54" s="1024" t="e">
        <f ca="1">C68</f>
        <v>#REF!</v>
      </c>
      <c r="E54" s="319" t="s">
        <v>1359</v>
      </c>
      <c r="F54" s="2338">
        <f>'数据-取费表'!B41</f>
        <v>5.6000000000000001E-2</v>
      </c>
      <c r="G54" s="2339"/>
      <c r="H54" s="2340"/>
      <c r="I54" s="1669"/>
      <c r="J54" s="2308">
        <v>3</v>
      </c>
      <c r="K54" s="3372" t="s">
        <v>1360</v>
      </c>
      <c r="L54" s="3372"/>
      <c r="M54" s="2310" t="e">
        <f t="shared" ca="1" si="0"/>
        <v>#REF!</v>
      </c>
      <c r="N54" s="2308" t="str">
        <f t="shared" si="0"/>
        <v>增值额×税（费）率</v>
      </c>
      <c r="O54" s="2312" t="str">
        <f t="shared" si="0"/>
        <v>免征</v>
      </c>
    </row>
    <row r="55" spans="1:35" ht="24" customHeight="1">
      <c r="A55" s="3322" t="s">
        <v>1361</v>
      </c>
      <c r="B55" s="3323"/>
      <c r="C55" s="3323"/>
      <c r="D55" s="12" t="e">
        <f ca="1">IF(H55="个人住宅",0,ROUND(D45*I55,0))</f>
        <v>#REF!</v>
      </c>
      <c r="E55" s="1256" t="s">
        <v>1362</v>
      </c>
      <c r="F55" s="2338" t="str">
        <f>IF(H55="正常",I55,"免征")</f>
        <v>免征</v>
      </c>
      <c r="G55" s="2339"/>
      <c r="H55" s="2335"/>
      <c r="I55" s="157">
        <f>'数据-取费表'!B49</f>
        <v>5.0000000000000001E-4</v>
      </c>
      <c r="J55" s="2308">
        <f>IF(H59="非个人房产","",4)</f>
        <v>4</v>
      </c>
      <c r="K55" s="3372" t="str">
        <f>IF(H59="非个人房产","——","个人所得税")</f>
        <v>个人所得税</v>
      </c>
      <c r="L55" s="3372"/>
      <c r="M55" s="2313" t="e">
        <f ca="1">D59</f>
        <v>#REF!</v>
      </c>
      <c r="N55" s="1883" t="str">
        <f>E59</f>
        <v>差额计税</v>
      </c>
      <c r="O55" s="2314">
        <f>F59</f>
        <v>0.01</v>
      </c>
    </row>
    <row r="56" spans="1:35" ht="24.75">
      <c r="A56" s="3322" t="s">
        <v>1363</v>
      </c>
      <c r="B56" s="3323"/>
      <c r="C56" s="3323"/>
      <c r="D56" s="12" t="e">
        <f ca="1">IF(H56="个人住宅",D57,D58)</f>
        <v>#REF!</v>
      </c>
      <c r="E56" s="1256" t="s">
        <v>1364</v>
      </c>
      <c r="F56" s="2338" t="str">
        <f>IF(H56="正常",F58,"免征")</f>
        <v>免征</v>
      </c>
      <c r="G56" s="2341" t="s">
        <v>1365</v>
      </c>
      <c r="H56" s="2342"/>
      <c r="I56" s="1670"/>
      <c r="J56" s="2308" t="str">
        <f>IF(项目基本情况!K6="上海银行",IF(J55="",4,J55+1),"")</f>
        <v/>
      </c>
      <c r="K56" s="3395" t="str">
        <f>IF(项目基本情况!K6="上海银行","其他处置费用","")</f>
        <v/>
      </c>
      <c r="L56" s="3396"/>
      <c r="M56" s="2310" t="str">
        <f>IF(项目基本情况!K6="上海银行",M69,"")</f>
        <v/>
      </c>
      <c r="N56" s="3395" t="str">
        <f>IF(项目基本情况!K6="上海银行","包含处置中涉及的律师、诉讼、拍卖、评估等费用","")</f>
        <v/>
      </c>
      <c r="O56" s="3398"/>
    </row>
    <row r="57" spans="1:35" ht="12.75">
      <c r="A57" s="2153" t="s">
        <v>1341</v>
      </c>
      <c r="B57" s="3333" t="s">
        <v>1366</v>
      </c>
      <c r="C57" s="3334"/>
      <c r="D57" s="1478">
        <v>0</v>
      </c>
      <c r="E57" s="316" t="s">
        <v>1343</v>
      </c>
      <c r="F57" s="294"/>
      <c r="G57" s="2339"/>
      <c r="H57" s="2343"/>
      <c r="I57" s="1670"/>
      <c r="J57" s="3372">
        <f>IF(AND(J55="",J56=""),4,IF(项目基本情况!K6="上海银行",结果表!J56+1,结果表!J55+1))</f>
        <v>5</v>
      </c>
      <c r="K57" s="3372" t="s">
        <v>1367</v>
      </c>
      <c r="L57" s="2315" t="s">
        <v>1368</v>
      </c>
      <c r="M57" s="2316"/>
      <c r="N57" s="2317">
        <f ca="1">SUMIF(M52:M56,"&lt;9e307")</f>
        <v>0</v>
      </c>
      <c r="O57" s="2318"/>
      <c r="P57" s="2463" t="e">
        <f ca="1">N57/M49</f>
        <v>#VALUE!</v>
      </c>
    </row>
    <row r="58" spans="1:35" ht="24.75">
      <c r="A58" s="2153" t="s">
        <v>1352</v>
      </c>
      <c r="B58" s="3333" t="s">
        <v>1369</v>
      </c>
      <c r="C58" s="3307"/>
      <c r="D58" s="12" t="e">
        <f ca="1">IF(H58="转让取得",C81,C97)</f>
        <v>#REF!</v>
      </c>
      <c r="E58" s="1256" t="s">
        <v>1364</v>
      </c>
      <c r="F58" s="294" t="s">
        <v>28</v>
      </c>
      <c r="G58" s="2339"/>
      <c r="H58" s="2342"/>
      <c r="I58" s="1670"/>
      <c r="J58" s="3372"/>
      <c r="K58" s="3372"/>
      <c r="L58" s="2315" t="s">
        <v>1370</v>
      </c>
      <c r="M58" s="2319"/>
      <c r="N58" s="2320" t="str">
        <f ca="1">NUMBERSTRING(INT(N57*10000),2)&amp;"元整"</f>
        <v>零元整</v>
      </c>
      <c r="O58" s="2321"/>
    </row>
    <row r="59" spans="1:35" ht="24.75" thickBot="1">
      <c r="A59" s="3375" t="s">
        <v>1371</v>
      </c>
      <c r="B59" s="3376"/>
      <c r="C59" s="3376"/>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73">
        <f>J57+1</f>
        <v>6</v>
      </c>
      <c r="K59" s="3372" t="s">
        <v>1372</v>
      </c>
      <c r="L59" s="2308" t="s">
        <v>1368</v>
      </c>
      <c r="M59" s="2322"/>
      <c r="N59" s="2323" t="e">
        <f ca="1">M49-N57</f>
        <v>#VALUE!</v>
      </c>
      <c r="O59" s="2324"/>
    </row>
    <row r="60" spans="1:35" ht="12" customHeight="1">
      <c r="A60" s="1671"/>
      <c r="B60" s="646"/>
      <c r="C60" s="646"/>
      <c r="D60" s="646"/>
      <c r="E60" s="1466"/>
      <c r="F60" s="1670"/>
      <c r="G60" s="1670"/>
      <c r="H60" s="151"/>
      <c r="I60" s="121"/>
      <c r="J60" s="3374"/>
      <c r="K60" s="3372"/>
      <c r="L60" s="2315" t="s">
        <v>1370</v>
      </c>
      <c r="M60" s="2319"/>
      <c r="N60" s="2320" t="e">
        <f ca="1">NUMBERSTRING(INT(N59*10000),2)&amp;"元整"</f>
        <v>#VALUE!</v>
      </c>
      <c r="O60" s="2321"/>
    </row>
    <row r="61" spans="1:35" ht="13.5" thickBot="1">
      <c r="A61" s="3320" t="s">
        <v>1373</v>
      </c>
      <c r="B61" s="3320"/>
      <c r="C61" s="3320"/>
      <c r="D61" s="3320"/>
      <c r="E61" s="3320"/>
      <c r="F61" s="1670"/>
      <c r="G61" s="1670"/>
      <c r="H61" s="151"/>
      <c r="I61" s="121"/>
      <c r="J61" s="2308">
        <f>J59+1</f>
        <v>7</v>
      </c>
      <c r="K61" s="3372" t="s">
        <v>1374</v>
      </c>
      <c r="L61" s="3372"/>
      <c r="M61" s="2325"/>
      <c r="N61" s="2326" t="e">
        <f ca="1">ROUND(N59*10000/'数据-汇总表'!E3,0)</f>
        <v>#VALUE!</v>
      </c>
      <c r="O61" s="2327"/>
    </row>
    <row r="62" spans="1:35" ht="12.75">
      <c r="A62" s="3338" t="s">
        <v>1375</v>
      </c>
      <c r="B62" s="3339"/>
      <c r="C62" s="1865"/>
      <c r="D62" s="1865" t="s">
        <v>1376</v>
      </c>
      <c r="E62" s="158" t="s">
        <v>1377</v>
      </c>
      <c r="F62" s="1670"/>
      <c r="G62" s="1670"/>
      <c r="H62" s="151"/>
      <c r="I62" s="121"/>
    </row>
    <row r="63" spans="1:35" ht="12.75">
      <c r="A63" s="165" t="s">
        <v>330</v>
      </c>
      <c r="B63" s="159" t="s">
        <v>1378</v>
      </c>
      <c r="C63" s="2348" t="e">
        <f ca="1">ROUND((C64+C65)/(1+'数据-取费表'!C42),0)</f>
        <v>#REF!</v>
      </c>
      <c r="D63" s="159"/>
      <c r="E63" s="160"/>
      <c r="F63" s="1670"/>
      <c r="G63" s="1670"/>
      <c r="H63" s="151"/>
      <c r="I63" s="121"/>
      <c r="J63" s="3397"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39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397"/>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397"/>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39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5.6000000000000001E-2</v>
      </c>
      <c r="E68" s="170"/>
      <c r="F68" s="1670"/>
      <c r="G68" s="1670"/>
      <c r="H68" s="151"/>
      <c r="I68" s="121"/>
      <c r="J68" s="3397"/>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397"/>
      <c r="K69" s="1245" t="s">
        <v>1393</v>
      </c>
      <c r="L69" s="1245"/>
      <c r="M69" s="294" t="e">
        <f>ROUND(SUM(M63:M68),0)</f>
        <v>#VALUE!</v>
      </c>
      <c r="N69" s="2330" t="e">
        <f>M69/M49</f>
        <v>#VALUE!</v>
      </c>
      <c r="Z69" s="1623"/>
      <c r="AI69" s="1561"/>
    </row>
    <row r="70" spans="1:35" s="642" customFormat="1" ht="15" thickBot="1">
      <c r="A70" s="3359" t="s">
        <v>1394</v>
      </c>
      <c r="B70" s="3360"/>
      <c r="C70" s="3360"/>
      <c r="D70" s="3360"/>
      <c r="E70" s="3360"/>
      <c r="F70" s="3360"/>
      <c r="G70" s="3360"/>
      <c r="H70" s="336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8" t="s">
        <v>1375</v>
      </c>
      <c r="B71" s="333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33" t="s">
        <v>1402</v>
      </c>
      <c r="F76" s="3307"/>
      <c r="G76" s="3307"/>
      <c r="H76" s="335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6.000000000000001E-3</v>
      </c>
      <c r="E78" s="3317" t="s">
        <v>1406</v>
      </c>
      <c r="F78" s="3318"/>
      <c r="G78" s="3318"/>
      <c r="H78" s="332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59" t="s">
        <v>1410</v>
      </c>
      <c r="B83" s="3360"/>
      <c r="C83" s="3360"/>
      <c r="D83" s="3360"/>
      <c r="E83" s="3360"/>
      <c r="F83" s="3360"/>
      <c r="G83" s="3360"/>
      <c r="H83" s="336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8" t="s">
        <v>1375</v>
      </c>
      <c r="B84" s="333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399" t="s">
        <v>2129</v>
      </c>
      <c r="H90" s="3400"/>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7" t="s">
        <v>1419</v>
      </c>
      <c r="F91" s="3318"/>
      <c r="G91" s="331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7" t="s">
        <v>1422</v>
      </c>
      <c r="F92" s="3318"/>
      <c r="G92" s="3318"/>
      <c r="H92" s="3327"/>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6.000000000000001E-3</v>
      </c>
      <c r="E93" s="3317" t="s">
        <v>1406</v>
      </c>
      <c r="F93" s="3318"/>
      <c r="G93" s="3318"/>
      <c r="H93" s="332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28" t="s">
        <v>1426</v>
      </c>
      <c r="F94" s="3329"/>
      <c r="G94" s="3329"/>
      <c r="H94" s="333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01" t="s">
        <v>1428</v>
      </c>
      <c r="B100" s="3302"/>
      <c r="C100" s="3302"/>
      <c r="D100" s="3319"/>
      <c r="E100" s="3302" t="s">
        <v>1429</v>
      </c>
      <c r="F100" s="3302"/>
      <c r="G100" s="3302"/>
      <c r="H100" s="3319"/>
      <c r="I100" s="121"/>
    </row>
    <row r="101" spans="1:35" ht="18.75" customHeight="1">
      <c r="A101" s="3380" t="s">
        <v>1430</v>
      </c>
      <c r="B101" s="3381"/>
      <c r="C101" s="2369">
        <f>C4</f>
        <v>0</v>
      </c>
      <c r="D101" s="2370">
        <f>D4</f>
        <v>0</v>
      </c>
      <c r="E101" s="3394" t="s">
        <v>1431</v>
      </c>
      <c r="F101" s="3351"/>
      <c r="G101" s="1687" t="s">
        <v>1432</v>
      </c>
      <c r="H101" s="2379" t="e">
        <f ca="1">H118</f>
        <v>#REF!</v>
      </c>
      <c r="I101" s="121"/>
    </row>
    <row r="102" spans="1:35" ht="18.75" customHeight="1">
      <c r="A102" s="3353" t="s">
        <v>1433</v>
      </c>
      <c r="B102" s="2368" t="s">
        <v>1432</v>
      </c>
      <c r="C102" s="2369" t="e">
        <f ca="1">IF(D32="楼面单价",ROUND(C19,0),C19)</f>
        <v>#REF!</v>
      </c>
      <c r="D102" s="2370" t="e">
        <f ca="1">IF(D32="楼面单价",ROUND(D19,0),D19)</f>
        <v>#REF!</v>
      </c>
      <c r="E102" s="3394"/>
      <c r="F102" s="3351"/>
      <c r="G102" s="1687" t="s">
        <v>1434</v>
      </c>
      <c r="H102" s="2339" t="e">
        <f ca="1">I118</f>
        <v>#REF!</v>
      </c>
      <c r="I102" s="121"/>
    </row>
    <row r="103" spans="1:35" ht="42.75" customHeight="1">
      <c r="A103" s="3353"/>
      <c r="B103" s="2368" t="s">
        <v>1434</v>
      </c>
      <c r="C103" s="2371" t="e">
        <f ca="1">C20</f>
        <v>#REF!</v>
      </c>
      <c r="D103" s="2372" t="e">
        <f ca="1">D20</f>
        <v>#REF!</v>
      </c>
      <c r="E103" s="3388" t="s">
        <v>1435</v>
      </c>
      <c r="F103" s="3389"/>
      <c r="G103" s="1688" t="s">
        <v>1436</v>
      </c>
      <c r="H103" s="2379">
        <f>IF(D36="正常操作",H104+H105+H106,H105+H106)</f>
        <v>0</v>
      </c>
      <c r="I103" s="121"/>
    </row>
    <row r="104" spans="1:35" ht="18.75" customHeight="1">
      <c r="A104" s="3353"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354"/>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50" t="str">
        <f>IF(项目基本情况!E8="已注销","——","3.房地产抵押价值")</f>
        <v>3.房地产抵押价值</v>
      </c>
      <c r="F107" s="3351"/>
      <c r="G107" s="1687" t="s">
        <v>1432</v>
      </c>
      <c r="H107" s="2379" t="e">
        <f ca="1">IF(E107="——","——",H101-H103)</f>
        <v>#REF!</v>
      </c>
      <c r="I107" s="121"/>
    </row>
    <row r="108" spans="1:35" ht="18.75" customHeight="1">
      <c r="A108" s="121"/>
      <c r="B108" s="121"/>
      <c r="C108" s="121"/>
      <c r="D108" s="121"/>
      <c r="E108" s="3350"/>
      <c r="F108" s="3351"/>
      <c r="G108" s="1687" t="s">
        <v>1434</v>
      </c>
      <c r="H108" s="2339">
        <f ca="1">IF(H107=H101,H102,ROUND(H107*10000/'数据-汇总表'!E3,0))</f>
        <v>0</v>
      </c>
      <c r="I108" s="121"/>
    </row>
    <row r="109" spans="1:35" ht="18.75" customHeight="1">
      <c r="A109" s="121"/>
      <c r="B109" s="121"/>
      <c r="C109" s="121"/>
      <c r="D109" s="121"/>
      <c r="E109" s="3350" t="str">
        <f>IF(项目基本情况!E8="已注销及未注销","4.抵押担保权已注销时的房地产抵押价值",IF(项目基本情况!E8="已注销","3.抵押担保权已注销时的房地产抵押价值","——"))</f>
        <v>——</v>
      </c>
      <c r="F109" s="3351"/>
      <c r="G109" s="1687" t="s">
        <v>1432</v>
      </c>
      <c r="H109" s="2382" t="str">
        <f>IF(E109="——","——",H101-H105-H106)</f>
        <v>——</v>
      </c>
      <c r="I109" s="121"/>
    </row>
    <row r="110" spans="1:35" ht="18.75" customHeight="1">
      <c r="A110" s="121"/>
      <c r="B110" s="121"/>
      <c r="C110" s="121"/>
      <c r="D110" s="121"/>
      <c r="E110" s="3350"/>
      <c r="F110" s="3351"/>
      <c r="G110" s="1687" t="s">
        <v>1434</v>
      </c>
      <c r="H110" s="2339" t="str">
        <f>IF(H109="——","——",ROUND(H109*10000/'数据-汇总表'!E3,0))</f>
        <v>——</v>
      </c>
      <c r="I110" s="121"/>
    </row>
    <row r="111" spans="1:35" ht="18.75" customHeight="1">
      <c r="A111" s="121"/>
      <c r="B111" s="121"/>
      <c r="C111" s="121"/>
      <c r="D111" s="121"/>
      <c r="E111" s="3382" t="str">
        <f>IF(项目基本情况!E9="抵押净值",IF(OR(项目基本情况!E8="已注销",项目基本情况!E8="房地产抵押价值"),"4.抵押净值","5.抵押净值"),"——")</f>
        <v>——</v>
      </c>
      <c r="F111" s="3352"/>
      <c r="G111" s="1687" t="s">
        <v>1432</v>
      </c>
      <c r="H111" s="2379" t="str">
        <f>IF(E111="——","——",N59)</f>
        <v>——</v>
      </c>
      <c r="I111" s="121"/>
    </row>
    <row r="112" spans="1:35" ht="18.75" customHeight="1" thickBot="1">
      <c r="A112" s="121"/>
      <c r="B112" s="121"/>
      <c r="C112" s="121"/>
      <c r="D112" s="121"/>
      <c r="E112" s="3383"/>
      <c r="F112" s="3384"/>
      <c r="G112" s="1690" t="s">
        <v>1434</v>
      </c>
      <c r="H112" s="2383" t="str">
        <f>IF(E111="——","——",N61)</f>
        <v>——</v>
      </c>
      <c r="I112" s="121"/>
    </row>
    <row r="113" spans="1:27" ht="18.75" customHeight="1">
      <c r="A113" s="121"/>
      <c r="B113" s="121"/>
      <c r="C113" s="121"/>
      <c r="D113" s="121"/>
      <c r="E113" s="3355" t="s">
        <v>1440</v>
      </c>
      <c r="F113" s="3355"/>
      <c r="G113" s="3355"/>
      <c r="H113" s="3355"/>
      <c r="I113" s="121"/>
    </row>
    <row r="114" spans="1:27" ht="3.75" customHeight="1">
      <c r="A114" s="646"/>
      <c r="B114" s="646"/>
      <c r="C114" s="646"/>
      <c r="D114" s="646"/>
      <c r="E114" s="1671"/>
      <c r="F114" s="1671"/>
      <c r="G114" s="1671"/>
      <c r="H114" s="1671"/>
      <c r="I114" s="646"/>
    </row>
    <row r="115" spans="1:27" ht="18.75" customHeight="1">
      <c r="A115" s="3365" t="s">
        <v>1442</v>
      </c>
      <c r="B115" s="3366"/>
      <c r="C115" s="3366"/>
      <c r="D115" s="3366"/>
      <c r="E115" s="3366"/>
      <c r="F115" s="3366"/>
      <c r="G115" s="3366"/>
      <c r="H115" s="3366"/>
      <c r="I115" s="3367"/>
    </row>
    <row r="116" spans="1:27" ht="27" customHeight="1">
      <c r="A116" s="3321" t="s">
        <v>1443</v>
      </c>
      <c r="B116" s="3356" t="s">
        <v>1444</v>
      </c>
      <c r="C116" s="3356" t="s">
        <v>1445</v>
      </c>
      <c r="D116" s="3369" t="s">
        <v>1446</v>
      </c>
      <c r="E116" s="3370"/>
      <c r="F116" s="3364" t="s">
        <v>1447</v>
      </c>
      <c r="G116" s="3364"/>
      <c r="H116" s="3321" t="s">
        <v>1448</v>
      </c>
      <c r="I116" s="3321"/>
    </row>
    <row r="117" spans="1:27" ht="18.75" customHeight="1">
      <c r="A117" s="3321"/>
      <c r="B117" s="3357"/>
      <c r="C117" s="3357"/>
      <c r="D117" s="2150" t="s">
        <v>1449</v>
      </c>
      <c r="E117" s="2150" t="s">
        <v>1450</v>
      </c>
      <c r="F117" s="2150" t="s">
        <v>1449</v>
      </c>
      <c r="G117" s="2150" t="s">
        <v>1451</v>
      </c>
      <c r="H117" s="2150" t="s">
        <v>1449</v>
      </c>
      <c r="I117" s="2150" t="s">
        <v>1451</v>
      </c>
    </row>
    <row r="118" spans="1:27" ht="24.75" customHeight="1">
      <c r="A118" s="2384" t="str">
        <f>项目基本情况!S2</f>
        <v>北京市房地产</v>
      </c>
      <c r="B118" s="2150">
        <f>M18</f>
        <v>4769.92</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21" t="s">
        <v>1452</v>
      </c>
      <c r="B119" s="3321"/>
      <c r="C119" s="3321"/>
      <c r="D119" s="3361" t="e">
        <f ca="1">NUMBERSTRING(INT(D118*10000),2)&amp;"元整"</f>
        <v>#REF!</v>
      </c>
      <c r="E119" s="3363"/>
      <c r="F119" s="3361" t="e">
        <f ca="1">NUMBERSTRING(INT(F118*10000),2)&amp;"元整"</f>
        <v>#REF!</v>
      </c>
      <c r="G119" s="3363"/>
      <c r="H119" s="3361" t="e">
        <f ca="1">NUMBERSTRING(INT(H118*10000),2)&amp;"元整"</f>
        <v>#REF!</v>
      </c>
      <c r="I119" s="3363"/>
    </row>
    <row r="120" spans="1:27" ht="18.75" customHeight="1">
      <c r="A120" s="3385" t="str">
        <f>IF(项目基本情况!B9="房地产市场价值","",MID(E103,3,LEN(E103)-2))</f>
        <v/>
      </c>
      <c r="B120" s="3386"/>
      <c r="C120" s="3387"/>
      <c r="D120" s="3385">
        <f>H103</f>
        <v>0</v>
      </c>
      <c r="E120" s="3386"/>
      <c r="F120" s="3386"/>
      <c r="G120" s="3386"/>
      <c r="H120" s="3386"/>
      <c r="I120" s="3387"/>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61" t="s">
        <v>1452</v>
      </c>
      <c r="B121" s="3362"/>
      <c r="C121" s="3363"/>
      <c r="D121" s="3361" t="str">
        <f>IF(D120=0,"零元整",NUMBERSTRING(INT(D120*10000),2)&amp;"元整")</f>
        <v>零元整</v>
      </c>
      <c r="E121" s="3362"/>
      <c r="F121" s="3362"/>
      <c r="G121" s="3362"/>
      <c r="H121" s="3362"/>
      <c r="I121" s="3363"/>
      <c r="AA121" s="684"/>
    </row>
    <row r="122" spans="1:27" ht="18.75" customHeight="1">
      <c r="A122" s="3352" t="str">
        <f>IF(项目基本情况!B9="房地产市场价值","",MID(E107,3,LEN(E107)-2))</f>
        <v/>
      </c>
      <c r="B122" s="3352"/>
      <c r="C122" s="3352"/>
      <c r="D122" s="3385" t="e">
        <f ca="1">H107</f>
        <v>#REF!</v>
      </c>
      <c r="E122" s="3386"/>
      <c r="F122" s="3386"/>
      <c r="G122" s="3386"/>
      <c r="H122" s="3386"/>
      <c r="I122" s="3387"/>
      <c r="AA122" s="684"/>
    </row>
    <row r="123" spans="1:27" ht="18.75" customHeight="1">
      <c r="A123" s="3321" t="s">
        <v>1452</v>
      </c>
      <c r="B123" s="3321"/>
      <c r="C123" s="3321"/>
      <c r="D123" s="3361" t="e">
        <f ca="1">NUMBERSTRING(INT(D122*10000),2)&amp;"元整"</f>
        <v>#REF!</v>
      </c>
      <c r="E123" s="3362"/>
      <c r="F123" s="3362"/>
      <c r="G123" s="3362"/>
      <c r="H123" s="3362"/>
      <c r="I123" s="3363"/>
      <c r="AA123" s="684"/>
    </row>
    <row r="124" spans="1:27" ht="18.75" customHeight="1">
      <c r="A124" s="3352" t="str">
        <f>IF(项目基本情况!B9="房地产市场价值","",MID(E109,3,LEN(E109)-2))</f>
        <v/>
      </c>
      <c r="B124" s="3352"/>
      <c r="C124" s="3352"/>
      <c r="D124" s="3385" t="str">
        <f>H109</f>
        <v>——</v>
      </c>
      <c r="E124" s="3386"/>
      <c r="F124" s="3386"/>
      <c r="G124" s="3386"/>
      <c r="H124" s="3386"/>
      <c r="I124" s="3387"/>
      <c r="AA124" s="684"/>
    </row>
    <row r="125" spans="1:27" ht="18.75" customHeight="1">
      <c r="A125" s="3321" t="s">
        <v>1452</v>
      </c>
      <c r="B125" s="3321"/>
      <c r="C125" s="3321"/>
      <c r="D125" s="3361" t="e">
        <f>NUMBERSTRING(INT(D124*10000),2)&amp;"元整"</f>
        <v>#VALUE!</v>
      </c>
      <c r="E125" s="3362"/>
      <c r="F125" s="3362"/>
      <c r="G125" s="3362"/>
      <c r="H125" s="3362"/>
      <c r="I125" s="3363"/>
      <c r="AA125" s="684"/>
    </row>
    <row r="126" spans="1:27" ht="18.75" customHeight="1">
      <c r="A126" s="3352" t="str">
        <f>IF(项目基本情况!B9="房地产市场价值","",MID(E111,3,LEN(E111)-2))</f>
        <v/>
      </c>
      <c r="B126" s="3352"/>
      <c r="C126" s="3352"/>
      <c r="D126" s="3385" t="str">
        <f>H111</f>
        <v>——</v>
      </c>
      <c r="E126" s="3386"/>
      <c r="F126" s="3386"/>
      <c r="G126" s="3386"/>
      <c r="H126" s="3386"/>
      <c r="I126" s="3387"/>
      <c r="AA126" s="684"/>
    </row>
    <row r="127" spans="1:27" ht="18.75" customHeight="1">
      <c r="A127" s="3321" t="s">
        <v>1452</v>
      </c>
      <c r="B127" s="3321"/>
      <c r="C127" s="3321"/>
      <c r="D127" s="3361" t="e">
        <f>NUMBERSTRING(INT(D126*10000),2)&amp;"元整"</f>
        <v>#VALUE!</v>
      </c>
      <c r="E127" s="3362"/>
      <c r="F127" s="3362"/>
      <c r="G127" s="3362"/>
      <c r="H127" s="3362"/>
      <c r="I127" s="3363"/>
      <c r="AA127" s="684"/>
    </row>
    <row r="128" spans="1:27" ht="21.75" customHeight="1">
      <c r="A128" s="3368" t="s">
        <v>1453</v>
      </c>
      <c r="B128" s="3368"/>
      <c r="C128" s="3368"/>
      <c r="D128" s="3368"/>
      <c r="E128" s="3368"/>
      <c r="F128" s="3368"/>
      <c r="G128" s="3368"/>
      <c r="H128" s="3368"/>
      <c r="I128" s="336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10" stopIfTrue="1" operator="equal">
      <formula>25</formula>
    </cfRule>
  </conditionalFormatting>
  <conditionalFormatting sqref="C8:D13">
    <cfRule type="cellIs" dxfId="140" priority="8" stopIfTrue="1" operator="equal">
      <formula>15</formula>
    </cfRule>
  </conditionalFormatting>
  <conditionalFormatting sqref="C14:D16">
    <cfRule type="cellIs" dxfId="139" priority="6"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71D8F-E016-438D-86C9-7742E591E2CA}">
  <sheetPr>
    <tabColor rgb="FFFFC000"/>
  </sheetPr>
  <dimension ref="A1:P45"/>
  <sheetViews>
    <sheetView tabSelected="1" topLeftCell="B23" zoomScale="90" zoomScaleNormal="90" workbookViewId="0">
      <selection activeCell="D37" sqref="D37:F37"/>
    </sheetView>
  </sheetViews>
  <sheetFormatPr defaultRowHeight="13.5"/>
  <cols>
    <col min="1" max="1" width="6.375" style="3148" customWidth="1"/>
    <col min="2" max="2" width="19.375" style="3144" customWidth="1"/>
    <col min="3" max="3" width="7" style="3148" customWidth="1"/>
    <col min="4" max="4" width="3.25" style="3148" customWidth="1"/>
    <col min="5" max="5" width="7.375" style="3148" customWidth="1"/>
    <col min="6" max="6" width="3.5" style="3148" customWidth="1"/>
    <col min="7" max="7" width="19.375" style="3192" customWidth="1"/>
    <col min="8" max="8" width="19.5" style="3148" customWidth="1"/>
    <col min="9" max="9" width="8.625" style="3148" customWidth="1"/>
    <col min="10" max="10" width="10.5" style="3143" customWidth="1"/>
    <col min="11" max="11" width="4.875" style="3143" customWidth="1"/>
    <col min="12" max="12" width="16.375" style="3143" customWidth="1"/>
    <col min="13" max="16" width="8.125" style="3148" customWidth="1"/>
    <col min="17" max="256" width="9" style="3148"/>
    <col min="257" max="257" width="6.375" style="3148" customWidth="1"/>
    <col min="258" max="258" width="19.375" style="3148" customWidth="1"/>
    <col min="259" max="259" width="7" style="3148" customWidth="1"/>
    <col min="260" max="260" width="3.25" style="3148" customWidth="1"/>
    <col min="261" max="261" width="7.375" style="3148" customWidth="1"/>
    <col min="262" max="262" width="3.5" style="3148" customWidth="1"/>
    <col min="263" max="263" width="19.375" style="3148" customWidth="1"/>
    <col min="264" max="264" width="19.5" style="3148" customWidth="1"/>
    <col min="265" max="265" width="8.625" style="3148" customWidth="1"/>
    <col min="266" max="266" width="10.5" style="3148" customWidth="1"/>
    <col min="267" max="267" width="4.875" style="3148" customWidth="1"/>
    <col min="268" max="268" width="16.375" style="3148" customWidth="1"/>
    <col min="269" max="272" width="8.125" style="3148" customWidth="1"/>
    <col min="273" max="512" width="9" style="3148"/>
    <col min="513" max="513" width="6.375" style="3148" customWidth="1"/>
    <col min="514" max="514" width="19.375" style="3148" customWidth="1"/>
    <col min="515" max="515" width="7" style="3148" customWidth="1"/>
    <col min="516" max="516" width="3.25" style="3148" customWidth="1"/>
    <col min="517" max="517" width="7.375" style="3148" customWidth="1"/>
    <col min="518" max="518" width="3.5" style="3148" customWidth="1"/>
    <col min="519" max="519" width="19.375" style="3148" customWidth="1"/>
    <col min="520" max="520" width="19.5" style="3148" customWidth="1"/>
    <col min="521" max="521" width="8.625" style="3148" customWidth="1"/>
    <col min="522" max="522" width="10.5" style="3148" customWidth="1"/>
    <col min="523" max="523" width="4.875" style="3148" customWidth="1"/>
    <col min="524" max="524" width="16.375" style="3148" customWidth="1"/>
    <col min="525" max="528" width="8.125" style="3148" customWidth="1"/>
    <col min="529" max="768" width="9" style="3148"/>
    <col min="769" max="769" width="6.375" style="3148" customWidth="1"/>
    <col min="770" max="770" width="19.375" style="3148" customWidth="1"/>
    <col min="771" max="771" width="7" style="3148" customWidth="1"/>
    <col min="772" max="772" width="3.25" style="3148" customWidth="1"/>
    <col min="773" max="773" width="7.375" style="3148" customWidth="1"/>
    <col min="774" max="774" width="3.5" style="3148" customWidth="1"/>
    <col min="775" max="775" width="19.375" style="3148" customWidth="1"/>
    <col min="776" max="776" width="19.5" style="3148" customWidth="1"/>
    <col min="777" max="777" width="8.625" style="3148" customWidth="1"/>
    <col min="778" max="778" width="10.5" style="3148" customWidth="1"/>
    <col min="779" max="779" width="4.875" style="3148" customWidth="1"/>
    <col min="780" max="780" width="16.375" style="3148" customWidth="1"/>
    <col min="781" max="784" width="8.125" style="3148" customWidth="1"/>
    <col min="785" max="1024" width="9" style="3148"/>
    <col min="1025" max="1025" width="6.375" style="3148" customWidth="1"/>
    <col min="1026" max="1026" width="19.375" style="3148" customWidth="1"/>
    <col min="1027" max="1027" width="7" style="3148" customWidth="1"/>
    <col min="1028" max="1028" width="3.25" style="3148" customWidth="1"/>
    <col min="1029" max="1029" width="7.375" style="3148" customWidth="1"/>
    <col min="1030" max="1030" width="3.5" style="3148" customWidth="1"/>
    <col min="1031" max="1031" width="19.375" style="3148" customWidth="1"/>
    <col min="1032" max="1032" width="19.5" style="3148" customWidth="1"/>
    <col min="1033" max="1033" width="8.625" style="3148" customWidth="1"/>
    <col min="1034" max="1034" width="10.5" style="3148" customWidth="1"/>
    <col min="1035" max="1035" width="4.875" style="3148" customWidth="1"/>
    <col min="1036" max="1036" width="16.375" style="3148" customWidth="1"/>
    <col min="1037" max="1040" width="8.125" style="3148" customWidth="1"/>
    <col min="1041" max="1280" width="9" style="3148"/>
    <col min="1281" max="1281" width="6.375" style="3148" customWidth="1"/>
    <col min="1282" max="1282" width="19.375" style="3148" customWidth="1"/>
    <col min="1283" max="1283" width="7" style="3148" customWidth="1"/>
    <col min="1284" max="1284" width="3.25" style="3148" customWidth="1"/>
    <col min="1285" max="1285" width="7.375" style="3148" customWidth="1"/>
    <col min="1286" max="1286" width="3.5" style="3148" customWidth="1"/>
    <col min="1287" max="1287" width="19.375" style="3148" customWidth="1"/>
    <col min="1288" max="1288" width="19.5" style="3148" customWidth="1"/>
    <col min="1289" max="1289" width="8.625" style="3148" customWidth="1"/>
    <col min="1290" max="1290" width="10.5" style="3148" customWidth="1"/>
    <col min="1291" max="1291" width="4.875" style="3148" customWidth="1"/>
    <col min="1292" max="1292" width="16.375" style="3148" customWidth="1"/>
    <col min="1293" max="1296" width="8.125" style="3148" customWidth="1"/>
    <col min="1297" max="1536" width="9" style="3148"/>
    <col min="1537" max="1537" width="6.375" style="3148" customWidth="1"/>
    <col min="1538" max="1538" width="19.375" style="3148" customWidth="1"/>
    <col min="1539" max="1539" width="7" style="3148" customWidth="1"/>
    <col min="1540" max="1540" width="3.25" style="3148" customWidth="1"/>
    <col min="1541" max="1541" width="7.375" style="3148" customWidth="1"/>
    <col min="1542" max="1542" width="3.5" style="3148" customWidth="1"/>
    <col min="1543" max="1543" width="19.375" style="3148" customWidth="1"/>
    <col min="1544" max="1544" width="19.5" style="3148" customWidth="1"/>
    <col min="1545" max="1545" width="8.625" style="3148" customWidth="1"/>
    <col min="1546" max="1546" width="10.5" style="3148" customWidth="1"/>
    <col min="1547" max="1547" width="4.875" style="3148" customWidth="1"/>
    <col min="1548" max="1548" width="16.375" style="3148" customWidth="1"/>
    <col min="1549" max="1552" width="8.125" style="3148" customWidth="1"/>
    <col min="1553" max="1792" width="9" style="3148"/>
    <col min="1793" max="1793" width="6.375" style="3148" customWidth="1"/>
    <col min="1794" max="1794" width="19.375" style="3148" customWidth="1"/>
    <col min="1795" max="1795" width="7" style="3148" customWidth="1"/>
    <col min="1796" max="1796" width="3.25" style="3148" customWidth="1"/>
    <col min="1797" max="1797" width="7.375" style="3148" customWidth="1"/>
    <col min="1798" max="1798" width="3.5" style="3148" customWidth="1"/>
    <col min="1799" max="1799" width="19.375" style="3148" customWidth="1"/>
    <col min="1800" max="1800" width="19.5" style="3148" customWidth="1"/>
    <col min="1801" max="1801" width="8.625" style="3148" customWidth="1"/>
    <col min="1802" max="1802" width="10.5" style="3148" customWidth="1"/>
    <col min="1803" max="1803" width="4.875" style="3148" customWidth="1"/>
    <col min="1804" max="1804" width="16.375" style="3148" customWidth="1"/>
    <col min="1805" max="1808" width="8.125" style="3148" customWidth="1"/>
    <col min="1809" max="2048" width="9" style="3148"/>
    <col min="2049" max="2049" width="6.375" style="3148" customWidth="1"/>
    <col min="2050" max="2050" width="19.375" style="3148" customWidth="1"/>
    <col min="2051" max="2051" width="7" style="3148" customWidth="1"/>
    <col min="2052" max="2052" width="3.25" style="3148" customWidth="1"/>
    <col min="2053" max="2053" width="7.375" style="3148" customWidth="1"/>
    <col min="2054" max="2054" width="3.5" style="3148" customWidth="1"/>
    <col min="2055" max="2055" width="19.375" style="3148" customWidth="1"/>
    <col min="2056" max="2056" width="19.5" style="3148" customWidth="1"/>
    <col min="2057" max="2057" width="8.625" style="3148" customWidth="1"/>
    <col min="2058" max="2058" width="10.5" style="3148" customWidth="1"/>
    <col min="2059" max="2059" width="4.875" style="3148" customWidth="1"/>
    <col min="2060" max="2060" width="16.375" style="3148" customWidth="1"/>
    <col min="2061" max="2064" width="8.125" style="3148" customWidth="1"/>
    <col min="2065" max="2304" width="9" style="3148"/>
    <col min="2305" max="2305" width="6.375" style="3148" customWidth="1"/>
    <col min="2306" max="2306" width="19.375" style="3148" customWidth="1"/>
    <col min="2307" max="2307" width="7" style="3148" customWidth="1"/>
    <col min="2308" max="2308" width="3.25" style="3148" customWidth="1"/>
    <col min="2309" max="2309" width="7.375" style="3148" customWidth="1"/>
    <col min="2310" max="2310" width="3.5" style="3148" customWidth="1"/>
    <col min="2311" max="2311" width="19.375" style="3148" customWidth="1"/>
    <col min="2312" max="2312" width="19.5" style="3148" customWidth="1"/>
    <col min="2313" max="2313" width="8.625" style="3148" customWidth="1"/>
    <col min="2314" max="2314" width="10.5" style="3148" customWidth="1"/>
    <col min="2315" max="2315" width="4.875" style="3148" customWidth="1"/>
    <col min="2316" max="2316" width="16.375" style="3148" customWidth="1"/>
    <col min="2317" max="2320" width="8.125" style="3148" customWidth="1"/>
    <col min="2321" max="2560" width="9" style="3148"/>
    <col min="2561" max="2561" width="6.375" style="3148" customWidth="1"/>
    <col min="2562" max="2562" width="19.375" style="3148" customWidth="1"/>
    <col min="2563" max="2563" width="7" style="3148" customWidth="1"/>
    <col min="2564" max="2564" width="3.25" style="3148" customWidth="1"/>
    <col min="2565" max="2565" width="7.375" style="3148" customWidth="1"/>
    <col min="2566" max="2566" width="3.5" style="3148" customWidth="1"/>
    <col min="2567" max="2567" width="19.375" style="3148" customWidth="1"/>
    <col min="2568" max="2568" width="19.5" style="3148" customWidth="1"/>
    <col min="2569" max="2569" width="8.625" style="3148" customWidth="1"/>
    <col min="2570" max="2570" width="10.5" style="3148" customWidth="1"/>
    <col min="2571" max="2571" width="4.875" style="3148" customWidth="1"/>
    <col min="2572" max="2572" width="16.375" style="3148" customWidth="1"/>
    <col min="2573" max="2576" width="8.125" style="3148" customWidth="1"/>
    <col min="2577" max="2816" width="9" style="3148"/>
    <col min="2817" max="2817" width="6.375" style="3148" customWidth="1"/>
    <col min="2818" max="2818" width="19.375" style="3148" customWidth="1"/>
    <col min="2819" max="2819" width="7" style="3148" customWidth="1"/>
    <col min="2820" max="2820" width="3.25" style="3148" customWidth="1"/>
    <col min="2821" max="2821" width="7.375" style="3148" customWidth="1"/>
    <col min="2822" max="2822" width="3.5" style="3148" customWidth="1"/>
    <col min="2823" max="2823" width="19.375" style="3148" customWidth="1"/>
    <col min="2824" max="2824" width="19.5" style="3148" customWidth="1"/>
    <col min="2825" max="2825" width="8.625" style="3148" customWidth="1"/>
    <col min="2826" max="2826" width="10.5" style="3148" customWidth="1"/>
    <col min="2827" max="2827" width="4.875" style="3148" customWidth="1"/>
    <col min="2828" max="2828" width="16.375" style="3148" customWidth="1"/>
    <col min="2829" max="2832" width="8.125" style="3148" customWidth="1"/>
    <col min="2833" max="3072" width="9" style="3148"/>
    <col min="3073" max="3073" width="6.375" style="3148" customWidth="1"/>
    <col min="3074" max="3074" width="19.375" style="3148" customWidth="1"/>
    <col min="3075" max="3075" width="7" style="3148" customWidth="1"/>
    <col min="3076" max="3076" width="3.25" style="3148" customWidth="1"/>
    <col min="3077" max="3077" width="7.375" style="3148" customWidth="1"/>
    <col min="3078" max="3078" width="3.5" style="3148" customWidth="1"/>
    <col min="3079" max="3079" width="19.375" style="3148" customWidth="1"/>
    <col min="3080" max="3080" width="19.5" style="3148" customWidth="1"/>
    <col min="3081" max="3081" width="8.625" style="3148" customWidth="1"/>
    <col min="3082" max="3082" width="10.5" style="3148" customWidth="1"/>
    <col min="3083" max="3083" width="4.875" style="3148" customWidth="1"/>
    <col min="3084" max="3084" width="16.375" style="3148" customWidth="1"/>
    <col min="3085" max="3088" width="8.125" style="3148" customWidth="1"/>
    <col min="3089" max="3328" width="9" style="3148"/>
    <col min="3329" max="3329" width="6.375" style="3148" customWidth="1"/>
    <col min="3330" max="3330" width="19.375" style="3148" customWidth="1"/>
    <col min="3331" max="3331" width="7" style="3148" customWidth="1"/>
    <col min="3332" max="3332" width="3.25" style="3148" customWidth="1"/>
    <col min="3333" max="3333" width="7.375" style="3148" customWidth="1"/>
    <col min="3334" max="3334" width="3.5" style="3148" customWidth="1"/>
    <col min="3335" max="3335" width="19.375" style="3148" customWidth="1"/>
    <col min="3336" max="3336" width="19.5" style="3148" customWidth="1"/>
    <col min="3337" max="3337" width="8.625" style="3148" customWidth="1"/>
    <col min="3338" max="3338" width="10.5" style="3148" customWidth="1"/>
    <col min="3339" max="3339" width="4.875" style="3148" customWidth="1"/>
    <col min="3340" max="3340" width="16.375" style="3148" customWidth="1"/>
    <col min="3341" max="3344" width="8.125" style="3148" customWidth="1"/>
    <col min="3345" max="3584" width="9" style="3148"/>
    <col min="3585" max="3585" width="6.375" style="3148" customWidth="1"/>
    <col min="3586" max="3586" width="19.375" style="3148" customWidth="1"/>
    <col min="3587" max="3587" width="7" style="3148" customWidth="1"/>
    <col min="3588" max="3588" width="3.25" style="3148" customWidth="1"/>
    <col min="3589" max="3589" width="7.375" style="3148" customWidth="1"/>
    <col min="3590" max="3590" width="3.5" style="3148" customWidth="1"/>
    <col min="3591" max="3591" width="19.375" style="3148" customWidth="1"/>
    <col min="3592" max="3592" width="19.5" style="3148" customWidth="1"/>
    <col min="3593" max="3593" width="8.625" style="3148" customWidth="1"/>
    <col min="3594" max="3594" width="10.5" style="3148" customWidth="1"/>
    <col min="3595" max="3595" width="4.875" style="3148" customWidth="1"/>
    <col min="3596" max="3596" width="16.375" style="3148" customWidth="1"/>
    <col min="3597" max="3600" width="8.125" style="3148" customWidth="1"/>
    <col min="3601" max="3840" width="9" style="3148"/>
    <col min="3841" max="3841" width="6.375" style="3148" customWidth="1"/>
    <col min="3842" max="3842" width="19.375" style="3148" customWidth="1"/>
    <col min="3843" max="3843" width="7" style="3148" customWidth="1"/>
    <col min="3844" max="3844" width="3.25" style="3148" customWidth="1"/>
    <col min="3845" max="3845" width="7.375" style="3148" customWidth="1"/>
    <col min="3846" max="3846" width="3.5" style="3148" customWidth="1"/>
    <col min="3847" max="3847" width="19.375" style="3148" customWidth="1"/>
    <col min="3848" max="3848" width="19.5" style="3148" customWidth="1"/>
    <col min="3849" max="3849" width="8.625" style="3148" customWidth="1"/>
    <col min="3850" max="3850" width="10.5" style="3148" customWidth="1"/>
    <col min="3851" max="3851" width="4.875" style="3148" customWidth="1"/>
    <col min="3852" max="3852" width="16.375" style="3148" customWidth="1"/>
    <col min="3853" max="3856" width="8.125" style="3148" customWidth="1"/>
    <col min="3857" max="4096" width="9" style="3148"/>
    <col min="4097" max="4097" width="6.375" style="3148" customWidth="1"/>
    <col min="4098" max="4098" width="19.375" style="3148" customWidth="1"/>
    <col min="4099" max="4099" width="7" style="3148" customWidth="1"/>
    <col min="4100" max="4100" width="3.25" style="3148" customWidth="1"/>
    <col min="4101" max="4101" width="7.375" style="3148" customWidth="1"/>
    <col min="4102" max="4102" width="3.5" style="3148" customWidth="1"/>
    <col min="4103" max="4103" width="19.375" style="3148" customWidth="1"/>
    <col min="4104" max="4104" width="19.5" style="3148" customWidth="1"/>
    <col min="4105" max="4105" width="8.625" style="3148" customWidth="1"/>
    <col min="4106" max="4106" width="10.5" style="3148" customWidth="1"/>
    <col min="4107" max="4107" width="4.875" style="3148" customWidth="1"/>
    <col min="4108" max="4108" width="16.375" style="3148" customWidth="1"/>
    <col min="4109" max="4112" width="8.125" style="3148" customWidth="1"/>
    <col min="4113" max="4352" width="9" style="3148"/>
    <col min="4353" max="4353" width="6.375" style="3148" customWidth="1"/>
    <col min="4354" max="4354" width="19.375" style="3148" customWidth="1"/>
    <col min="4355" max="4355" width="7" style="3148" customWidth="1"/>
    <col min="4356" max="4356" width="3.25" style="3148" customWidth="1"/>
    <col min="4357" max="4357" width="7.375" style="3148" customWidth="1"/>
    <col min="4358" max="4358" width="3.5" style="3148" customWidth="1"/>
    <col min="4359" max="4359" width="19.375" style="3148" customWidth="1"/>
    <col min="4360" max="4360" width="19.5" style="3148" customWidth="1"/>
    <col min="4361" max="4361" width="8.625" style="3148" customWidth="1"/>
    <col min="4362" max="4362" width="10.5" style="3148" customWidth="1"/>
    <col min="4363" max="4363" width="4.875" style="3148" customWidth="1"/>
    <col min="4364" max="4364" width="16.375" style="3148" customWidth="1"/>
    <col min="4365" max="4368" width="8.125" style="3148" customWidth="1"/>
    <col min="4369" max="4608" width="9" style="3148"/>
    <col min="4609" max="4609" width="6.375" style="3148" customWidth="1"/>
    <col min="4610" max="4610" width="19.375" style="3148" customWidth="1"/>
    <col min="4611" max="4611" width="7" style="3148" customWidth="1"/>
    <col min="4612" max="4612" width="3.25" style="3148" customWidth="1"/>
    <col min="4613" max="4613" width="7.375" style="3148" customWidth="1"/>
    <col min="4614" max="4614" width="3.5" style="3148" customWidth="1"/>
    <col min="4615" max="4615" width="19.375" style="3148" customWidth="1"/>
    <col min="4616" max="4616" width="19.5" style="3148" customWidth="1"/>
    <col min="4617" max="4617" width="8.625" style="3148" customWidth="1"/>
    <col min="4618" max="4618" width="10.5" style="3148" customWidth="1"/>
    <col min="4619" max="4619" width="4.875" style="3148" customWidth="1"/>
    <col min="4620" max="4620" width="16.375" style="3148" customWidth="1"/>
    <col min="4621" max="4624" width="8.125" style="3148" customWidth="1"/>
    <col min="4625" max="4864" width="9" style="3148"/>
    <col min="4865" max="4865" width="6.375" style="3148" customWidth="1"/>
    <col min="4866" max="4866" width="19.375" style="3148" customWidth="1"/>
    <col min="4867" max="4867" width="7" style="3148" customWidth="1"/>
    <col min="4868" max="4868" width="3.25" style="3148" customWidth="1"/>
    <col min="4869" max="4869" width="7.375" style="3148" customWidth="1"/>
    <col min="4870" max="4870" width="3.5" style="3148" customWidth="1"/>
    <col min="4871" max="4871" width="19.375" style="3148" customWidth="1"/>
    <col min="4872" max="4872" width="19.5" style="3148" customWidth="1"/>
    <col min="4873" max="4873" width="8.625" style="3148" customWidth="1"/>
    <col min="4874" max="4874" width="10.5" style="3148" customWidth="1"/>
    <col min="4875" max="4875" width="4.875" style="3148" customWidth="1"/>
    <col min="4876" max="4876" width="16.375" style="3148" customWidth="1"/>
    <col min="4877" max="4880" width="8.125" style="3148" customWidth="1"/>
    <col min="4881" max="5120" width="9" style="3148"/>
    <col min="5121" max="5121" width="6.375" style="3148" customWidth="1"/>
    <col min="5122" max="5122" width="19.375" style="3148" customWidth="1"/>
    <col min="5123" max="5123" width="7" style="3148" customWidth="1"/>
    <col min="5124" max="5124" width="3.25" style="3148" customWidth="1"/>
    <col min="5125" max="5125" width="7.375" style="3148" customWidth="1"/>
    <col min="5126" max="5126" width="3.5" style="3148" customWidth="1"/>
    <col min="5127" max="5127" width="19.375" style="3148" customWidth="1"/>
    <col min="5128" max="5128" width="19.5" style="3148" customWidth="1"/>
    <col min="5129" max="5129" width="8.625" style="3148" customWidth="1"/>
    <col min="5130" max="5130" width="10.5" style="3148" customWidth="1"/>
    <col min="5131" max="5131" width="4.875" style="3148" customWidth="1"/>
    <col min="5132" max="5132" width="16.375" style="3148" customWidth="1"/>
    <col min="5133" max="5136" width="8.125" style="3148" customWidth="1"/>
    <col min="5137" max="5376" width="9" style="3148"/>
    <col min="5377" max="5377" width="6.375" style="3148" customWidth="1"/>
    <col min="5378" max="5378" width="19.375" style="3148" customWidth="1"/>
    <col min="5379" max="5379" width="7" style="3148" customWidth="1"/>
    <col min="5380" max="5380" width="3.25" style="3148" customWidth="1"/>
    <col min="5381" max="5381" width="7.375" style="3148" customWidth="1"/>
    <col min="5382" max="5382" width="3.5" style="3148" customWidth="1"/>
    <col min="5383" max="5383" width="19.375" style="3148" customWidth="1"/>
    <col min="5384" max="5384" width="19.5" style="3148" customWidth="1"/>
    <col min="5385" max="5385" width="8.625" style="3148" customWidth="1"/>
    <col min="5386" max="5386" width="10.5" style="3148" customWidth="1"/>
    <col min="5387" max="5387" width="4.875" style="3148" customWidth="1"/>
    <col min="5388" max="5388" width="16.375" style="3148" customWidth="1"/>
    <col min="5389" max="5392" width="8.125" style="3148" customWidth="1"/>
    <col min="5393" max="5632" width="9" style="3148"/>
    <col min="5633" max="5633" width="6.375" style="3148" customWidth="1"/>
    <col min="5634" max="5634" width="19.375" style="3148" customWidth="1"/>
    <col min="5635" max="5635" width="7" style="3148" customWidth="1"/>
    <col min="5636" max="5636" width="3.25" style="3148" customWidth="1"/>
    <col min="5637" max="5637" width="7.375" style="3148" customWidth="1"/>
    <col min="5638" max="5638" width="3.5" style="3148" customWidth="1"/>
    <col min="5639" max="5639" width="19.375" style="3148" customWidth="1"/>
    <col min="5640" max="5640" width="19.5" style="3148" customWidth="1"/>
    <col min="5641" max="5641" width="8.625" style="3148" customWidth="1"/>
    <col min="5642" max="5642" width="10.5" style="3148" customWidth="1"/>
    <col min="5643" max="5643" width="4.875" style="3148" customWidth="1"/>
    <col min="5644" max="5644" width="16.375" style="3148" customWidth="1"/>
    <col min="5645" max="5648" width="8.125" style="3148" customWidth="1"/>
    <col min="5649" max="5888" width="9" style="3148"/>
    <col min="5889" max="5889" width="6.375" style="3148" customWidth="1"/>
    <col min="5890" max="5890" width="19.375" style="3148" customWidth="1"/>
    <col min="5891" max="5891" width="7" style="3148" customWidth="1"/>
    <col min="5892" max="5892" width="3.25" style="3148" customWidth="1"/>
    <col min="5893" max="5893" width="7.375" style="3148" customWidth="1"/>
    <col min="5894" max="5894" width="3.5" style="3148" customWidth="1"/>
    <col min="5895" max="5895" width="19.375" style="3148" customWidth="1"/>
    <col min="5896" max="5896" width="19.5" style="3148" customWidth="1"/>
    <col min="5897" max="5897" width="8.625" style="3148" customWidth="1"/>
    <col min="5898" max="5898" width="10.5" style="3148" customWidth="1"/>
    <col min="5899" max="5899" width="4.875" style="3148" customWidth="1"/>
    <col min="5900" max="5900" width="16.375" style="3148" customWidth="1"/>
    <col min="5901" max="5904" width="8.125" style="3148" customWidth="1"/>
    <col min="5905" max="6144" width="9" style="3148"/>
    <col min="6145" max="6145" width="6.375" style="3148" customWidth="1"/>
    <col min="6146" max="6146" width="19.375" style="3148" customWidth="1"/>
    <col min="6147" max="6147" width="7" style="3148" customWidth="1"/>
    <col min="6148" max="6148" width="3.25" style="3148" customWidth="1"/>
    <col min="6149" max="6149" width="7.375" style="3148" customWidth="1"/>
    <col min="6150" max="6150" width="3.5" style="3148" customWidth="1"/>
    <col min="6151" max="6151" width="19.375" style="3148" customWidth="1"/>
    <col min="6152" max="6152" width="19.5" style="3148" customWidth="1"/>
    <col min="6153" max="6153" width="8.625" style="3148" customWidth="1"/>
    <col min="6154" max="6154" width="10.5" style="3148" customWidth="1"/>
    <col min="6155" max="6155" width="4.875" style="3148" customWidth="1"/>
    <col min="6156" max="6156" width="16.375" style="3148" customWidth="1"/>
    <col min="6157" max="6160" width="8.125" style="3148" customWidth="1"/>
    <col min="6161" max="6400" width="9" style="3148"/>
    <col min="6401" max="6401" width="6.375" style="3148" customWidth="1"/>
    <col min="6402" max="6402" width="19.375" style="3148" customWidth="1"/>
    <col min="6403" max="6403" width="7" style="3148" customWidth="1"/>
    <col min="6404" max="6404" width="3.25" style="3148" customWidth="1"/>
    <col min="6405" max="6405" width="7.375" style="3148" customWidth="1"/>
    <col min="6406" max="6406" width="3.5" style="3148" customWidth="1"/>
    <col min="6407" max="6407" width="19.375" style="3148" customWidth="1"/>
    <col min="6408" max="6408" width="19.5" style="3148" customWidth="1"/>
    <col min="6409" max="6409" width="8.625" style="3148" customWidth="1"/>
    <col min="6410" max="6410" width="10.5" style="3148" customWidth="1"/>
    <col min="6411" max="6411" width="4.875" style="3148" customWidth="1"/>
    <col min="6412" max="6412" width="16.375" style="3148" customWidth="1"/>
    <col min="6413" max="6416" width="8.125" style="3148" customWidth="1"/>
    <col min="6417" max="6656" width="9" style="3148"/>
    <col min="6657" max="6657" width="6.375" style="3148" customWidth="1"/>
    <col min="6658" max="6658" width="19.375" style="3148" customWidth="1"/>
    <col min="6659" max="6659" width="7" style="3148" customWidth="1"/>
    <col min="6660" max="6660" width="3.25" style="3148" customWidth="1"/>
    <col min="6661" max="6661" width="7.375" style="3148" customWidth="1"/>
    <col min="6662" max="6662" width="3.5" style="3148" customWidth="1"/>
    <col min="6663" max="6663" width="19.375" style="3148" customWidth="1"/>
    <col min="6664" max="6664" width="19.5" style="3148" customWidth="1"/>
    <col min="6665" max="6665" width="8.625" style="3148" customWidth="1"/>
    <col min="6666" max="6666" width="10.5" style="3148" customWidth="1"/>
    <col min="6667" max="6667" width="4.875" style="3148" customWidth="1"/>
    <col min="6668" max="6668" width="16.375" style="3148" customWidth="1"/>
    <col min="6669" max="6672" width="8.125" style="3148" customWidth="1"/>
    <col min="6673" max="6912" width="9" style="3148"/>
    <col min="6913" max="6913" width="6.375" style="3148" customWidth="1"/>
    <col min="6914" max="6914" width="19.375" style="3148" customWidth="1"/>
    <col min="6915" max="6915" width="7" style="3148" customWidth="1"/>
    <col min="6916" max="6916" width="3.25" style="3148" customWidth="1"/>
    <col min="6917" max="6917" width="7.375" style="3148" customWidth="1"/>
    <col min="6918" max="6918" width="3.5" style="3148" customWidth="1"/>
    <col min="6919" max="6919" width="19.375" style="3148" customWidth="1"/>
    <col min="6920" max="6920" width="19.5" style="3148" customWidth="1"/>
    <col min="6921" max="6921" width="8.625" style="3148" customWidth="1"/>
    <col min="6922" max="6922" width="10.5" style="3148" customWidth="1"/>
    <col min="6923" max="6923" width="4.875" style="3148" customWidth="1"/>
    <col min="6924" max="6924" width="16.375" style="3148" customWidth="1"/>
    <col min="6925" max="6928" width="8.125" style="3148" customWidth="1"/>
    <col min="6929" max="7168" width="9" style="3148"/>
    <col min="7169" max="7169" width="6.375" style="3148" customWidth="1"/>
    <col min="7170" max="7170" width="19.375" style="3148" customWidth="1"/>
    <col min="7171" max="7171" width="7" style="3148" customWidth="1"/>
    <col min="7172" max="7172" width="3.25" style="3148" customWidth="1"/>
    <col min="7173" max="7173" width="7.375" style="3148" customWidth="1"/>
    <col min="7174" max="7174" width="3.5" style="3148" customWidth="1"/>
    <col min="7175" max="7175" width="19.375" style="3148" customWidth="1"/>
    <col min="7176" max="7176" width="19.5" style="3148" customWidth="1"/>
    <col min="7177" max="7177" width="8.625" style="3148" customWidth="1"/>
    <col min="7178" max="7178" width="10.5" style="3148" customWidth="1"/>
    <col min="7179" max="7179" width="4.875" style="3148" customWidth="1"/>
    <col min="7180" max="7180" width="16.375" style="3148" customWidth="1"/>
    <col min="7181" max="7184" width="8.125" style="3148" customWidth="1"/>
    <col min="7185" max="7424" width="9" style="3148"/>
    <col min="7425" max="7425" width="6.375" style="3148" customWidth="1"/>
    <col min="7426" max="7426" width="19.375" style="3148" customWidth="1"/>
    <col min="7427" max="7427" width="7" style="3148" customWidth="1"/>
    <col min="7428" max="7428" width="3.25" style="3148" customWidth="1"/>
    <col min="7429" max="7429" width="7.375" style="3148" customWidth="1"/>
    <col min="7430" max="7430" width="3.5" style="3148" customWidth="1"/>
    <col min="7431" max="7431" width="19.375" style="3148" customWidth="1"/>
    <col min="7432" max="7432" width="19.5" style="3148" customWidth="1"/>
    <col min="7433" max="7433" width="8.625" style="3148" customWidth="1"/>
    <col min="7434" max="7434" width="10.5" style="3148" customWidth="1"/>
    <col min="7435" max="7435" width="4.875" style="3148" customWidth="1"/>
    <col min="7436" max="7436" width="16.375" style="3148" customWidth="1"/>
    <col min="7437" max="7440" width="8.125" style="3148" customWidth="1"/>
    <col min="7441" max="7680" width="9" style="3148"/>
    <col min="7681" max="7681" width="6.375" style="3148" customWidth="1"/>
    <col min="7682" max="7682" width="19.375" style="3148" customWidth="1"/>
    <col min="7683" max="7683" width="7" style="3148" customWidth="1"/>
    <col min="7684" max="7684" width="3.25" style="3148" customWidth="1"/>
    <col min="7685" max="7685" width="7.375" style="3148" customWidth="1"/>
    <col min="7686" max="7686" width="3.5" style="3148" customWidth="1"/>
    <col min="7687" max="7687" width="19.375" style="3148" customWidth="1"/>
    <col min="7688" max="7688" width="19.5" style="3148" customWidth="1"/>
    <col min="7689" max="7689" width="8.625" style="3148" customWidth="1"/>
    <col min="7690" max="7690" width="10.5" style="3148" customWidth="1"/>
    <col min="7691" max="7691" width="4.875" style="3148" customWidth="1"/>
    <col min="7692" max="7692" width="16.375" style="3148" customWidth="1"/>
    <col min="7693" max="7696" width="8.125" style="3148" customWidth="1"/>
    <col min="7697" max="7936" width="9" style="3148"/>
    <col min="7937" max="7937" width="6.375" style="3148" customWidth="1"/>
    <col min="7938" max="7938" width="19.375" style="3148" customWidth="1"/>
    <col min="7939" max="7939" width="7" style="3148" customWidth="1"/>
    <col min="7940" max="7940" width="3.25" style="3148" customWidth="1"/>
    <col min="7941" max="7941" width="7.375" style="3148" customWidth="1"/>
    <col min="7942" max="7942" width="3.5" style="3148" customWidth="1"/>
    <col min="7943" max="7943" width="19.375" style="3148" customWidth="1"/>
    <col min="7944" max="7944" width="19.5" style="3148" customWidth="1"/>
    <col min="7945" max="7945" width="8.625" style="3148" customWidth="1"/>
    <col min="7946" max="7946" width="10.5" style="3148" customWidth="1"/>
    <col min="7947" max="7947" width="4.875" style="3148" customWidth="1"/>
    <col min="7948" max="7948" width="16.375" style="3148" customWidth="1"/>
    <col min="7949" max="7952" width="8.125" style="3148" customWidth="1"/>
    <col min="7953" max="8192" width="9" style="3148"/>
    <col min="8193" max="8193" width="6.375" style="3148" customWidth="1"/>
    <col min="8194" max="8194" width="19.375" style="3148" customWidth="1"/>
    <col min="8195" max="8195" width="7" style="3148" customWidth="1"/>
    <col min="8196" max="8196" width="3.25" style="3148" customWidth="1"/>
    <col min="8197" max="8197" width="7.375" style="3148" customWidth="1"/>
    <col min="8198" max="8198" width="3.5" style="3148" customWidth="1"/>
    <col min="8199" max="8199" width="19.375" style="3148" customWidth="1"/>
    <col min="8200" max="8200" width="19.5" style="3148" customWidth="1"/>
    <col min="8201" max="8201" width="8.625" style="3148" customWidth="1"/>
    <col min="8202" max="8202" width="10.5" style="3148" customWidth="1"/>
    <col min="8203" max="8203" width="4.875" style="3148" customWidth="1"/>
    <col min="8204" max="8204" width="16.375" style="3148" customWidth="1"/>
    <col min="8205" max="8208" width="8.125" style="3148" customWidth="1"/>
    <col min="8209" max="8448" width="9" style="3148"/>
    <col min="8449" max="8449" width="6.375" style="3148" customWidth="1"/>
    <col min="8450" max="8450" width="19.375" style="3148" customWidth="1"/>
    <col min="8451" max="8451" width="7" style="3148" customWidth="1"/>
    <col min="8452" max="8452" width="3.25" style="3148" customWidth="1"/>
    <col min="8453" max="8453" width="7.375" style="3148" customWidth="1"/>
    <col min="8454" max="8454" width="3.5" style="3148" customWidth="1"/>
    <col min="8455" max="8455" width="19.375" style="3148" customWidth="1"/>
    <col min="8456" max="8456" width="19.5" style="3148" customWidth="1"/>
    <col min="8457" max="8457" width="8.625" style="3148" customWidth="1"/>
    <col min="8458" max="8458" width="10.5" style="3148" customWidth="1"/>
    <col min="8459" max="8459" width="4.875" style="3148" customWidth="1"/>
    <col min="8460" max="8460" width="16.375" style="3148" customWidth="1"/>
    <col min="8461" max="8464" width="8.125" style="3148" customWidth="1"/>
    <col min="8465" max="8704" width="9" style="3148"/>
    <col min="8705" max="8705" width="6.375" style="3148" customWidth="1"/>
    <col min="8706" max="8706" width="19.375" style="3148" customWidth="1"/>
    <col min="8707" max="8707" width="7" style="3148" customWidth="1"/>
    <col min="8708" max="8708" width="3.25" style="3148" customWidth="1"/>
    <col min="8709" max="8709" width="7.375" style="3148" customWidth="1"/>
    <col min="8710" max="8710" width="3.5" style="3148" customWidth="1"/>
    <col min="8711" max="8711" width="19.375" style="3148" customWidth="1"/>
    <col min="8712" max="8712" width="19.5" style="3148" customWidth="1"/>
    <col min="8713" max="8713" width="8.625" style="3148" customWidth="1"/>
    <col min="8714" max="8714" width="10.5" style="3148" customWidth="1"/>
    <col min="8715" max="8715" width="4.875" style="3148" customWidth="1"/>
    <col min="8716" max="8716" width="16.375" style="3148" customWidth="1"/>
    <col min="8717" max="8720" width="8.125" style="3148" customWidth="1"/>
    <col min="8721" max="8960" width="9" style="3148"/>
    <col min="8961" max="8961" width="6.375" style="3148" customWidth="1"/>
    <col min="8962" max="8962" width="19.375" style="3148" customWidth="1"/>
    <col min="8963" max="8963" width="7" style="3148" customWidth="1"/>
    <col min="8964" max="8964" width="3.25" style="3148" customWidth="1"/>
    <col min="8965" max="8965" width="7.375" style="3148" customWidth="1"/>
    <col min="8966" max="8966" width="3.5" style="3148" customWidth="1"/>
    <col min="8967" max="8967" width="19.375" style="3148" customWidth="1"/>
    <col min="8968" max="8968" width="19.5" style="3148" customWidth="1"/>
    <col min="8969" max="8969" width="8.625" style="3148" customWidth="1"/>
    <col min="8970" max="8970" width="10.5" style="3148" customWidth="1"/>
    <col min="8971" max="8971" width="4.875" style="3148" customWidth="1"/>
    <col min="8972" max="8972" width="16.375" style="3148" customWidth="1"/>
    <col min="8973" max="8976" width="8.125" style="3148" customWidth="1"/>
    <col min="8977" max="9216" width="9" style="3148"/>
    <col min="9217" max="9217" width="6.375" style="3148" customWidth="1"/>
    <col min="9218" max="9218" width="19.375" style="3148" customWidth="1"/>
    <col min="9219" max="9219" width="7" style="3148" customWidth="1"/>
    <col min="9220" max="9220" width="3.25" style="3148" customWidth="1"/>
    <col min="9221" max="9221" width="7.375" style="3148" customWidth="1"/>
    <col min="9222" max="9222" width="3.5" style="3148" customWidth="1"/>
    <col min="9223" max="9223" width="19.375" style="3148" customWidth="1"/>
    <col min="9224" max="9224" width="19.5" style="3148" customWidth="1"/>
    <col min="9225" max="9225" width="8.625" style="3148" customWidth="1"/>
    <col min="9226" max="9226" width="10.5" style="3148" customWidth="1"/>
    <col min="9227" max="9227" width="4.875" style="3148" customWidth="1"/>
    <col min="9228" max="9228" width="16.375" style="3148" customWidth="1"/>
    <col min="9229" max="9232" width="8.125" style="3148" customWidth="1"/>
    <col min="9233" max="9472" width="9" style="3148"/>
    <col min="9473" max="9473" width="6.375" style="3148" customWidth="1"/>
    <col min="9474" max="9474" width="19.375" style="3148" customWidth="1"/>
    <col min="9475" max="9475" width="7" style="3148" customWidth="1"/>
    <col min="9476" max="9476" width="3.25" style="3148" customWidth="1"/>
    <col min="9477" max="9477" width="7.375" style="3148" customWidth="1"/>
    <col min="9478" max="9478" width="3.5" style="3148" customWidth="1"/>
    <col min="9479" max="9479" width="19.375" style="3148" customWidth="1"/>
    <col min="9480" max="9480" width="19.5" style="3148" customWidth="1"/>
    <col min="9481" max="9481" width="8.625" style="3148" customWidth="1"/>
    <col min="9482" max="9482" width="10.5" style="3148" customWidth="1"/>
    <col min="9483" max="9483" width="4.875" style="3148" customWidth="1"/>
    <col min="9484" max="9484" width="16.375" style="3148" customWidth="1"/>
    <col min="9485" max="9488" width="8.125" style="3148" customWidth="1"/>
    <col min="9489" max="9728" width="9" style="3148"/>
    <col min="9729" max="9729" width="6.375" style="3148" customWidth="1"/>
    <col min="9730" max="9730" width="19.375" style="3148" customWidth="1"/>
    <col min="9731" max="9731" width="7" style="3148" customWidth="1"/>
    <col min="9732" max="9732" width="3.25" style="3148" customWidth="1"/>
    <col min="9733" max="9733" width="7.375" style="3148" customWidth="1"/>
    <col min="9734" max="9734" width="3.5" style="3148" customWidth="1"/>
    <col min="9735" max="9735" width="19.375" style="3148" customWidth="1"/>
    <col min="9736" max="9736" width="19.5" style="3148" customWidth="1"/>
    <col min="9737" max="9737" width="8.625" style="3148" customWidth="1"/>
    <col min="9738" max="9738" width="10.5" style="3148" customWidth="1"/>
    <col min="9739" max="9739" width="4.875" style="3148" customWidth="1"/>
    <col min="9740" max="9740" width="16.375" style="3148" customWidth="1"/>
    <col min="9741" max="9744" width="8.125" style="3148" customWidth="1"/>
    <col min="9745" max="9984" width="9" style="3148"/>
    <col min="9985" max="9985" width="6.375" style="3148" customWidth="1"/>
    <col min="9986" max="9986" width="19.375" style="3148" customWidth="1"/>
    <col min="9987" max="9987" width="7" style="3148" customWidth="1"/>
    <col min="9988" max="9988" width="3.25" style="3148" customWidth="1"/>
    <col min="9989" max="9989" width="7.375" style="3148" customWidth="1"/>
    <col min="9990" max="9990" width="3.5" style="3148" customWidth="1"/>
    <col min="9991" max="9991" width="19.375" style="3148" customWidth="1"/>
    <col min="9992" max="9992" width="19.5" style="3148" customWidth="1"/>
    <col min="9993" max="9993" width="8.625" style="3148" customWidth="1"/>
    <col min="9994" max="9994" width="10.5" style="3148" customWidth="1"/>
    <col min="9995" max="9995" width="4.875" style="3148" customWidth="1"/>
    <col min="9996" max="9996" width="16.375" style="3148" customWidth="1"/>
    <col min="9997" max="10000" width="8.125" style="3148" customWidth="1"/>
    <col min="10001" max="10240" width="9" style="3148"/>
    <col min="10241" max="10241" width="6.375" style="3148" customWidth="1"/>
    <col min="10242" max="10242" width="19.375" style="3148" customWidth="1"/>
    <col min="10243" max="10243" width="7" style="3148" customWidth="1"/>
    <col min="10244" max="10244" width="3.25" style="3148" customWidth="1"/>
    <col min="10245" max="10245" width="7.375" style="3148" customWidth="1"/>
    <col min="10246" max="10246" width="3.5" style="3148" customWidth="1"/>
    <col min="10247" max="10247" width="19.375" style="3148" customWidth="1"/>
    <col min="10248" max="10248" width="19.5" style="3148" customWidth="1"/>
    <col min="10249" max="10249" width="8.625" style="3148" customWidth="1"/>
    <col min="10250" max="10250" width="10.5" style="3148" customWidth="1"/>
    <col min="10251" max="10251" width="4.875" style="3148" customWidth="1"/>
    <col min="10252" max="10252" width="16.375" style="3148" customWidth="1"/>
    <col min="10253" max="10256" width="8.125" style="3148" customWidth="1"/>
    <col min="10257" max="10496" width="9" style="3148"/>
    <col min="10497" max="10497" width="6.375" style="3148" customWidth="1"/>
    <col min="10498" max="10498" width="19.375" style="3148" customWidth="1"/>
    <col min="10499" max="10499" width="7" style="3148" customWidth="1"/>
    <col min="10500" max="10500" width="3.25" style="3148" customWidth="1"/>
    <col min="10501" max="10501" width="7.375" style="3148" customWidth="1"/>
    <col min="10502" max="10502" width="3.5" style="3148" customWidth="1"/>
    <col min="10503" max="10503" width="19.375" style="3148" customWidth="1"/>
    <col min="10504" max="10504" width="19.5" style="3148" customWidth="1"/>
    <col min="10505" max="10505" width="8.625" style="3148" customWidth="1"/>
    <col min="10506" max="10506" width="10.5" style="3148" customWidth="1"/>
    <col min="10507" max="10507" width="4.875" style="3148" customWidth="1"/>
    <col min="10508" max="10508" width="16.375" style="3148" customWidth="1"/>
    <col min="10509" max="10512" width="8.125" style="3148" customWidth="1"/>
    <col min="10513" max="10752" width="9" style="3148"/>
    <col min="10753" max="10753" width="6.375" style="3148" customWidth="1"/>
    <col min="10754" max="10754" width="19.375" style="3148" customWidth="1"/>
    <col min="10755" max="10755" width="7" style="3148" customWidth="1"/>
    <col min="10756" max="10756" width="3.25" style="3148" customWidth="1"/>
    <col min="10757" max="10757" width="7.375" style="3148" customWidth="1"/>
    <col min="10758" max="10758" width="3.5" style="3148" customWidth="1"/>
    <col min="10759" max="10759" width="19.375" style="3148" customWidth="1"/>
    <col min="10760" max="10760" width="19.5" style="3148" customWidth="1"/>
    <col min="10761" max="10761" width="8.625" style="3148" customWidth="1"/>
    <col min="10762" max="10762" width="10.5" style="3148" customWidth="1"/>
    <col min="10763" max="10763" width="4.875" style="3148" customWidth="1"/>
    <col min="10764" max="10764" width="16.375" style="3148" customWidth="1"/>
    <col min="10765" max="10768" width="8.125" style="3148" customWidth="1"/>
    <col min="10769" max="11008" width="9" style="3148"/>
    <col min="11009" max="11009" width="6.375" style="3148" customWidth="1"/>
    <col min="11010" max="11010" width="19.375" style="3148" customWidth="1"/>
    <col min="11011" max="11011" width="7" style="3148" customWidth="1"/>
    <col min="11012" max="11012" width="3.25" style="3148" customWidth="1"/>
    <col min="11013" max="11013" width="7.375" style="3148" customWidth="1"/>
    <col min="11014" max="11014" width="3.5" style="3148" customWidth="1"/>
    <col min="11015" max="11015" width="19.375" style="3148" customWidth="1"/>
    <col min="11016" max="11016" width="19.5" style="3148" customWidth="1"/>
    <col min="11017" max="11017" width="8.625" style="3148" customWidth="1"/>
    <col min="11018" max="11018" width="10.5" style="3148" customWidth="1"/>
    <col min="11019" max="11019" width="4.875" style="3148" customWidth="1"/>
    <col min="11020" max="11020" width="16.375" style="3148" customWidth="1"/>
    <col min="11021" max="11024" width="8.125" style="3148" customWidth="1"/>
    <col min="11025" max="11264" width="9" style="3148"/>
    <col min="11265" max="11265" width="6.375" style="3148" customWidth="1"/>
    <col min="11266" max="11266" width="19.375" style="3148" customWidth="1"/>
    <col min="11267" max="11267" width="7" style="3148" customWidth="1"/>
    <col min="11268" max="11268" width="3.25" style="3148" customWidth="1"/>
    <col min="11269" max="11269" width="7.375" style="3148" customWidth="1"/>
    <col min="11270" max="11270" width="3.5" style="3148" customWidth="1"/>
    <col min="11271" max="11271" width="19.375" style="3148" customWidth="1"/>
    <col min="11272" max="11272" width="19.5" style="3148" customWidth="1"/>
    <col min="11273" max="11273" width="8.625" style="3148" customWidth="1"/>
    <col min="11274" max="11274" width="10.5" style="3148" customWidth="1"/>
    <col min="11275" max="11275" width="4.875" style="3148" customWidth="1"/>
    <col min="11276" max="11276" width="16.375" style="3148" customWidth="1"/>
    <col min="11277" max="11280" width="8.125" style="3148" customWidth="1"/>
    <col min="11281" max="11520" width="9" style="3148"/>
    <col min="11521" max="11521" width="6.375" style="3148" customWidth="1"/>
    <col min="11522" max="11522" width="19.375" style="3148" customWidth="1"/>
    <col min="11523" max="11523" width="7" style="3148" customWidth="1"/>
    <col min="11524" max="11524" width="3.25" style="3148" customWidth="1"/>
    <col min="11525" max="11525" width="7.375" style="3148" customWidth="1"/>
    <col min="11526" max="11526" width="3.5" style="3148" customWidth="1"/>
    <col min="11527" max="11527" width="19.375" style="3148" customWidth="1"/>
    <col min="11528" max="11528" width="19.5" style="3148" customWidth="1"/>
    <col min="11529" max="11529" width="8.625" style="3148" customWidth="1"/>
    <col min="11530" max="11530" width="10.5" style="3148" customWidth="1"/>
    <col min="11531" max="11531" width="4.875" style="3148" customWidth="1"/>
    <col min="11532" max="11532" width="16.375" style="3148" customWidth="1"/>
    <col min="11533" max="11536" width="8.125" style="3148" customWidth="1"/>
    <col min="11537" max="11776" width="9" style="3148"/>
    <col min="11777" max="11777" width="6.375" style="3148" customWidth="1"/>
    <col min="11778" max="11778" width="19.375" style="3148" customWidth="1"/>
    <col min="11779" max="11779" width="7" style="3148" customWidth="1"/>
    <col min="11780" max="11780" width="3.25" style="3148" customWidth="1"/>
    <col min="11781" max="11781" width="7.375" style="3148" customWidth="1"/>
    <col min="11782" max="11782" width="3.5" style="3148" customWidth="1"/>
    <col min="11783" max="11783" width="19.375" style="3148" customWidth="1"/>
    <col min="11784" max="11784" width="19.5" style="3148" customWidth="1"/>
    <col min="11785" max="11785" width="8.625" style="3148" customWidth="1"/>
    <col min="11786" max="11786" width="10.5" style="3148" customWidth="1"/>
    <col min="11787" max="11787" width="4.875" style="3148" customWidth="1"/>
    <col min="11788" max="11788" width="16.375" style="3148" customWidth="1"/>
    <col min="11789" max="11792" width="8.125" style="3148" customWidth="1"/>
    <col min="11793" max="12032" width="9" style="3148"/>
    <col min="12033" max="12033" width="6.375" style="3148" customWidth="1"/>
    <col min="12034" max="12034" width="19.375" style="3148" customWidth="1"/>
    <col min="12035" max="12035" width="7" style="3148" customWidth="1"/>
    <col min="12036" max="12036" width="3.25" style="3148" customWidth="1"/>
    <col min="12037" max="12037" width="7.375" style="3148" customWidth="1"/>
    <col min="12038" max="12038" width="3.5" style="3148" customWidth="1"/>
    <col min="12039" max="12039" width="19.375" style="3148" customWidth="1"/>
    <col min="12040" max="12040" width="19.5" style="3148" customWidth="1"/>
    <col min="12041" max="12041" width="8.625" style="3148" customWidth="1"/>
    <col min="12042" max="12042" width="10.5" style="3148" customWidth="1"/>
    <col min="12043" max="12043" width="4.875" style="3148" customWidth="1"/>
    <col min="12044" max="12044" width="16.375" style="3148" customWidth="1"/>
    <col min="12045" max="12048" width="8.125" style="3148" customWidth="1"/>
    <col min="12049" max="12288" width="9" style="3148"/>
    <col min="12289" max="12289" width="6.375" style="3148" customWidth="1"/>
    <col min="12290" max="12290" width="19.375" style="3148" customWidth="1"/>
    <col min="12291" max="12291" width="7" style="3148" customWidth="1"/>
    <col min="12292" max="12292" width="3.25" style="3148" customWidth="1"/>
    <col min="12293" max="12293" width="7.375" style="3148" customWidth="1"/>
    <col min="12294" max="12294" width="3.5" style="3148" customWidth="1"/>
    <col min="12295" max="12295" width="19.375" style="3148" customWidth="1"/>
    <col min="12296" max="12296" width="19.5" style="3148" customWidth="1"/>
    <col min="12297" max="12297" width="8.625" style="3148" customWidth="1"/>
    <col min="12298" max="12298" width="10.5" style="3148" customWidth="1"/>
    <col min="12299" max="12299" width="4.875" style="3148" customWidth="1"/>
    <col min="12300" max="12300" width="16.375" style="3148" customWidth="1"/>
    <col min="12301" max="12304" width="8.125" style="3148" customWidth="1"/>
    <col min="12305" max="12544" width="9" style="3148"/>
    <col min="12545" max="12545" width="6.375" style="3148" customWidth="1"/>
    <col min="12546" max="12546" width="19.375" style="3148" customWidth="1"/>
    <col min="12547" max="12547" width="7" style="3148" customWidth="1"/>
    <col min="12548" max="12548" width="3.25" style="3148" customWidth="1"/>
    <col min="12549" max="12549" width="7.375" style="3148" customWidth="1"/>
    <col min="12550" max="12550" width="3.5" style="3148" customWidth="1"/>
    <col min="12551" max="12551" width="19.375" style="3148" customWidth="1"/>
    <col min="12552" max="12552" width="19.5" style="3148" customWidth="1"/>
    <col min="12553" max="12553" width="8.625" style="3148" customWidth="1"/>
    <col min="12554" max="12554" width="10.5" style="3148" customWidth="1"/>
    <col min="12555" max="12555" width="4.875" style="3148" customWidth="1"/>
    <col min="12556" max="12556" width="16.375" style="3148" customWidth="1"/>
    <col min="12557" max="12560" width="8.125" style="3148" customWidth="1"/>
    <col min="12561" max="12800" width="9" style="3148"/>
    <col min="12801" max="12801" width="6.375" style="3148" customWidth="1"/>
    <col min="12802" max="12802" width="19.375" style="3148" customWidth="1"/>
    <col min="12803" max="12803" width="7" style="3148" customWidth="1"/>
    <col min="12804" max="12804" width="3.25" style="3148" customWidth="1"/>
    <col min="12805" max="12805" width="7.375" style="3148" customWidth="1"/>
    <col min="12806" max="12806" width="3.5" style="3148" customWidth="1"/>
    <col min="12807" max="12807" width="19.375" style="3148" customWidth="1"/>
    <col min="12808" max="12808" width="19.5" style="3148" customWidth="1"/>
    <col min="12809" max="12809" width="8.625" style="3148" customWidth="1"/>
    <col min="12810" max="12810" width="10.5" style="3148" customWidth="1"/>
    <col min="12811" max="12811" width="4.875" style="3148" customWidth="1"/>
    <col min="12812" max="12812" width="16.375" style="3148" customWidth="1"/>
    <col min="12813" max="12816" width="8.125" style="3148" customWidth="1"/>
    <col min="12817" max="13056" width="9" style="3148"/>
    <col min="13057" max="13057" width="6.375" style="3148" customWidth="1"/>
    <col min="13058" max="13058" width="19.375" style="3148" customWidth="1"/>
    <col min="13059" max="13059" width="7" style="3148" customWidth="1"/>
    <col min="13060" max="13060" width="3.25" style="3148" customWidth="1"/>
    <col min="13061" max="13061" width="7.375" style="3148" customWidth="1"/>
    <col min="13062" max="13062" width="3.5" style="3148" customWidth="1"/>
    <col min="13063" max="13063" width="19.375" style="3148" customWidth="1"/>
    <col min="13064" max="13064" width="19.5" style="3148" customWidth="1"/>
    <col min="13065" max="13065" width="8.625" style="3148" customWidth="1"/>
    <col min="13066" max="13066" width="10.5" style="3148" customWidth="1"/>
    <col min="13067" max="13067" width="4.875" style="3148" customWidth="1"/>
    <col min="13068" max="13068" width="16.375" style="3148" customWidth="1"/>
    <col min="13069" max="13072" width="8.125" style="3148" customWidth="1"/>
    <col min="13073" max="13312" width="9" style="3148"/>
    <col min="13313" max="13313" width="6.375" style="3148" customWidth="1"/>
    <col min="13314" max="13314" width="19.375" style="3148" customWidth="1"/>
    <col min="13315" max="13315" width="7" style="3148" customWidth="1"/>
    <col min="13316" max="13316" width="3.25" style="3148" customWidth="1"/>
    <col min="13317" max="13317" width="7.375" style="3148" customWidth="1"/>
    <col min="13318" max="13318" width="3.5" style="3148" customWidth="1"/>
    <col min="13319" max="13319" width="19.375" style="3148" customWidth="1"/>
    <col min="13320" max="13320" width="19.5" style="3148" customWidth="1"/>
    <col min="13321" max="13321" width="8.625" style="3148" customWidth="1"/>
    <col min="13322" max="13322" width="10.5" style="3148" customWidth="1"/>
    <col min="13323" max="13323" width="4.875" style="3148" customWidth="1"/>
    <col min="13324" max="13324" width="16.375" style="3148" customWidth="1"/>
    <col min="13325" max="13328" width="8.125" style="3148" customWidth="1"/>
    <col min="13329" max="13568" width="9" style="3148"/>
    <col min="13569" max="13569" width="6.375" style="3148" customWidth="1"/>
    <col min="13570" max="13570" width="19.375" style="3148" customWidth="1"/>
    <col min="13571" max="13571" width="7" style="3148" customWidth="1"/>
    <col min="13572" max="13572" width="3.25" style="3148" customWidth="1"/>
    <col min="13573" max="13573" width="7.375" style="3148" customWidth="1"/>
    <col min="13574" max="13574" width="3.5" style="3148" customWidth="1"/>
    <col min="13575" max="13575" width="19.375" style="3148" customWidth="1"/>
    <col min="13576" max="13576" width="19.5" style="3148" customWidth="1"/>
    <col min="13577" max="13577" width="8.625" style="3148" customWidth="1"/>
    <col min="13578" max="13578" width="10.5" style="3148" customWidth="1"/>
    <col min="13579" max="13579" width="4.875" style="3148" customWidth="1"/>
    <col min="13580" max="13580" width="16.375" style="3148" customWidth="1"/>
    <col min="13581" max="13584" width="8.125" style="3148" customWidth="1"/>
    <col min="13585" max="13824" width="9" style="3148"/>
    <col min="13825" max="13825" width="6.375" style="3148" customWidth="1"/>
    <col min="13826" max="13826" width="19.375" style="3148" customWidth="1"/>
    <col min="13827" max="13827" width="7" style="3148" customWidth="1"/>
    <col min="13828" max="13828" width="3.25" style="3148" customWidth="1"/>
    <col min="13829" max="13829" width="7.375" style="3148" customWidth="1"/>
    <col min="13830" max="13830" width="3.5" style="3148" customWidth="1"/>
    <col min="13831" max="13831" width="19.375" style="3148" customWidth="1"/>
    <col min="13832" max="13832" width="19.5" style="3148" customWidth="1"/>
    <col min="13833" max="13833" width="8.625" style="3148" customWidth="1"/>
    <col min="13834" max="13834" width="10.5" style="3148" customWidth="1"/>
    <col min="13835" max="13835" width="4.875" style="3148" customWidth="1"/>
    <col min="13836" max="13836" width="16.375" style="3148" customWidth="1"/>
    <col min="13837" max="13840" width="8.125" style="3148" customWidth="1"/>
    <col min="13841" max="14080" width="9" style="3148"/>
    <col min="14081" max="14081" width="6.375" style="3148" customWidth="1"/>
    <col min="14082" max="14082" width="19.375" style="3148" customWidth="1"/>
    <col min="14083" max="14083" width="7" style="3148" customWidth="1"/>
    <col min="14084" max="14084" width="3.25" style="3148" customWidth="1"/>
    <col min="14085" max="14085" width="7.375" style="3148" customWidth="1"/>
    <col min="14086" max="14086" width="3.5" style="3148" customWidth="1"/>
    <col min="14087" max="14087" width="19.375" style="3148" customWidth="1"/>
    <col min="14088" max="14088" width="19.5" style="3148" customWidth="1"/>
    <col min="14089" max="14089" width="8.625" style="3148" customWidth="1"/>
    <col min="14090" max="14090" width="10.5" style="3148" customWidth="1"/>
    <col min="14091" max="14091" width="4.875" style="3148" customWidth="1"/>
    <col min="14092" max="14092" width="16.375" style="3148" customWidth="1"/>
    <col min="14093" max="14096" width="8.125" style="3148" customWidth="1"/>
    <col min="14097" max="14336" width="9" style="3148"/>
    <col min="14337" max="14337" width="6.375" style="3148" customWidth="1"/>
    <col min="14338" max="14338" width="19.375" style="3148" customWidth="1"/>
    <col min="14339" max="14339" width="7" style="3148" customWidth="1"/>
    <col min="14340" max="14340" width="3.25" style="3148" customWidth="1"/>
    <col min="14341" max="14341" width="7.375" style="3148" customWidth="1"/>
    <col min="14342" max="14342" width="3.5" style="3148" customWidth="1"/>
    <col min="14343" max="14343" width="19.375" style="3148" customWidth="1"/>
    <col min="14344" max="14344" width="19.5" style="3148" customWidth="1"/>
    <col min="14345" max="14345" width="8.625" style="3148" customWidth="1"/>
    <col min="14346" max="14346" width="10.5" style="3148" customWidth="1"/>
    <col min="14347" max="14347" width="4.875" style="3148" customWidth="1"/>
    <col min="14348" max="14348" width="16.375" style="3148" customWidth="1"/>
    <col min="14349" max="14352" width="8.125" style="3148" customWidth="1"/>
    <col min="14353" max="14592" width="9" style="3148"/>
    <col min="14593" max="14593" width="6.375" style="3148" customWidth="1"/>
    <col min="14594" max="14594" width="19.375" style="3148" customWidth="1"/>
    <col min="14595" max="14595" width="7" style="3148" customWidth="1"/>
    <col min="14596" max="14596" width="3.25" style="3148" customWidth="1"/>
    <col min="14597" max="14597" width="7.375" style="3148" customWidth="1"/>
    <col min="14598" max="14598" width="3.5" style="3148" customWidth="1"/>
    <col min="14599" max="14599" width="19.375" style="3148" customWidth="1"/>
    <col min="14600" max="14600" width="19.5" style="3148" customWidth="1"/>
    <col min="14601" max="14601" width="8.625" style="3148" customWidth="1"/>
    <col min="14602" max="14602" width="10.5" style="3148" customWidth="1"/>
    <col min="14603" max="14603" width="4.875" style="3148" customWidth="1"/>
    <col min="14604" max="14604" width="16.375" style="3148" customWidth="1"/>
    <col min="14605" max="14608" width="8.125" style="3148" customWidth="1"/>
    <col min="14609" max="14848" width="9" style="3148"/>
    <col min="14849" max="14849" width="6.375" style="3148" customWidth="1"/>
    <col min="14850" max="14850" width="19.375" style="3148" customWidth="1"/>
    <col min="14851" max="14851" width="7" style="3148" customWidth="1"/>
    <col min="14852" max="14852" width="3.25" style="3148" customWidth="1"/>
    <col min="14853" max="14853" width="7.375" style="3148" customWidth="1"/>
    <col min="14854" max="14854" width="3.5" style="3148" customWidth="1"/>
    <col min="14855" max="14855" width="19.375" style="3148" customWidth="1"/>
    <col min="14856" max="14856" width="19.5" style="3148" customWidth="1"/>
    <col min="14857" max="14857" width="8.625" style="3148" customWidth="1"/>
    <col min="14858" max="14858" width="10.5" style="3148" customWidth="1"/>
    <col min="14859" max="14859" width="4.875" style="3148" customWidth="1"/>
    <col min="14860" max="14860" width="16.375" style="3148" customWidth="1"/>
    <col min="14861" max="14864" width="8.125" style="3148" customWidth="1"/>
    <col min="14865" max="15104" width="9" style="3148"/>
    <col min="15105" max="15105" width="6.375" style="3148" customWidth="1"/>
    <col min="15106" max="15106" width="19.375" style="3148" customWidth="1"/>
    <col min="15107" max="15107" width="7" style="3148" customWidth="1"/>
    <col min="15108" max="15108" width="3.25" style="3148" customWidth="1"/>
    <col min="15109" max="15109" width="7.375" style="3148" customWidth="1"/>
    <col min="15110" max="15110" width="3.5" style="3148" customWidth="1"/>
    <col min="15111" max="15111" width="19.375" style="3148" customWidth="1"/>
    <col min="15112" max="15112" width="19.5" style="3148" customWidth="1"/>
    <col min="15113" max="15113" width="8.625" style="3148" customWidth="1"/>
    <col min="15114" max="15114" width="10.5" style="3148" customWidth="1"/>
    <col min="15115" max="15115" width="4.875" style="3148" customWidth="1"/>
    <col min="15116" max="15116" width="16.375" style="3148" customWidth="1"/>
    <col min="15117" max="15120" width="8.125" style="3148" customWidth="1"/>
    <col min="15121" max="15360" width="9" style="3148"/>
    <col min="15361" max="15361" width="6.375" style="3148" customWidth="1"/>
    <col min="15362" max="15362" width="19.375" style="3148" customWidth="1"/>
    <col min="15363" max="15363" width="7" style="3148" customWidth="1"/>
    <col min="15364" max="15364" width="3.25" style="3148" customWidth="1"/>
    <col min="15365" max="15365" width="7.375" style="3148" customWidth="1"/>
    <col min="15366" max="15366" width="3.5" style="3148" customWidth="1"/>
    <col min="15367" max="15367" width="19.375" style="3148" customWidth="1"/>
    <col min="15368" max="15368" width="19.5" style="3148" customWidth="1"/>
    <col min="15369" max="15369" width="8.625" style="3148" customWidth="1"/>
    <col min="15370" max="15370" width="10.5" style="3148" customWidth="1"/>
    <col min="15371" max="15371" width="4.875" style="3148" customWidth="1"/>
    <col min="15372" max="15372" width="16.375" style="3148" customWidth="1"/>
    <col min="15373" max="15376" width="8.125" style="3148" customWidth="1"/>
    <col min="15377" max="15616" width="9" style="3148"/>
    <col min="15617" max="15617" width="6.375" style="3148" customWidth="1"/>
    <col min="15618" max="15618" width="19.375" style="3148" customWidth="1"/>
    <col min="15619" max="15619" width="7" style="3148" customWidth="1"/>
    <col min="15620" max="15620" width="3.25" style="3148" customWidth="1"/>
    <col min="15621" max="15621" width="7.375" style="3148" customWidth="1"/>
    <col min="15622" max="15622" width="3.5" style="3148" customWidth="1"/>
    <col min="15623" max="15623" width="19.375" style="3148" customWidth="1"/>
    <col min="15624" max="15624" width="19.5" style="3148" customWidth="1"/>
    <col min="15625" max="15625" width="8.625" style="3148" customWidth="1"/>
    <col min="15626" max="15626" width="10.5" style="3148" customWidth="1"/>
    <col min="15627" max="15627" width="4.875" style="3148" customWidth="1"/>
    <col min="15628" max="15628" width="16.375" style="3148" customWidth="1"/>
    <col min="15629" max="15632" width="8.125" style="3148" customWidth="1"/>
    <col min="15633" max="15872" width="9" style="3148"/>
    <col min="15873" max="15873" width="6.375" style="3148" customWidth="1"/>
    <col min="15874" max="15874" width="19.375" style="3148" customWidth="1"/>
    <col min="15875" max="15875" width="7" style="3148" customWidth="1"/>
    <col min="15876" max="15876" width="3.25" style="3148" customWidth="1"/>
    <col min="15877" max="15877" width="7.375" style="3148" customWidth="1"/>
    <col min="15878" max="15878" width="3.5" style="3148" customWidth="1"/>
    <col min="15879" max="15879" width="19.375" style="3148" customWidth="1"/>
    <col min="15880" max="15880" width="19.5" style="3148" customWidth="1"/>
    <col min="15881" max="15881" width="8.625" style="3148" customWidth="1"/>
    <col min="15882" max="15882" width="10.5" style="3148" customWidth="1"/>
    <col min="15883" max="15883" width="4.875" style="3148" customWidth="1"/>
    <col min="15884" max="15884" width="16.375" style="3148" customWidth="1"/>
    <col min="15885" max="15888" width="8.125" style="3148" customWidth="1"/>
    <col min="15889" max="16128" width="9" style="3148"/>
    <col min="16129" max="16129" width="6.375" style="3148" customWidth="1"/>
    <col min="16130" max="16130" width="19.375" style="3148" customWidth="1"/>
    <col min="16131" max="16131" width="7" style="3148" customWidth="1"/>
    <col min="16132" max="16132" width="3.25" style="3148" customWidth="1"/>
    <col min="16133" max="16133" width="7.375" style="3148" customWidth="1"/>
    <col min="16134" max="16134" width="3.5" style="3148" customWidth="1"/>
    <col min="16135" max="16135" width="19.375" style="3148" customWidth="1"/>
    <col min="16136" max="16136" width="19.5" style="3148" customWidth="1"/>
    <col min="16137" max="16137" width="8.625" style="3148" customWidth="1"/>
    <col min="16138" max="16138" width="10.5" style="3148" customWidth="1"/>
    <col min="16139" max="16139" width="4.875" style="3148" customWidth="1"/>
    <col min="16140" max="16140" width="16.375" style="3148" customWidth="1"/>
    <col min="16141" max="16144" width="8.125" style="3148" customWidth="1"/>
    <col min="16145" max="16384" width="9" style="3148"/>
  </cols>
  <sheetData>
    <row r="1" spans="1:16">
      <c r="A1" s="3401" t="s">
        <v>3379</v>
      </c>
      <c r="B1" s="3401"/>
      <c r="C1" s="3401"/>
      <c r="D1" s="3401"/>
      <c r="E1" s="3401"/>
      <c r="F1" s="3401"/>
      <c r="G1" s="3401"/>
      <c r="H1" s="3401"/>
      <c r="I1" s="3401"/>
      <c r="K1" s="3402" t="s">
        <v>3380</v>
      </c>
      <c r="L1" s="3145" t="s">
        <v>3381</v>
      </c>
      <c r="M1" s="3146">
        <v>0</v>
      </c>
      <c r="N1" s="3147"/>
      <c r="O1" s="3147"/>
    </row>
    <row r="2" spans="1:16" ht="15.75" customHeight="1">
      <c r="A2" s="3149" t="s">
        <v>2644</v>
      </c>
      <c r="B2" s="3150" t="s">
        <v>3382</v>
      </c>
      <c r="C2" s="3403" t="s">
        <v>3383</v>
      </c>
      <c r="D2" s="3404"/>
      <c r="E2" s="3404"/>
      <c r="F2" s="3405"/>
      <c r="G2" s="3153" t="s">
        <v>3384</v>
      </c>
      <c r="H2" s="3406" t="s">
        <v>3385</v>
      </c>
      <c r="I2" s="3406"/>
      <c r="K2" s="3402"/>
      <c r="L2" s="3145" t="s">
        <v>3386</v>
      </c>
      <c r="M2" s="3154">
        <f>2024-N2</f>
        <v>17</v>
      </c>
      <c r="N2" s="3155">
        <v>2007</v>
      </c>
      <c r="O2" s="3155"/>
    </row>
    <row r="3" spans="1:16">
      <c r="A3" s="3153" t="s">
        <v>3387</v>
      </c>
      <c r="B3" s="3156" t="s">
        <v>3388</v>
      </c>
      <c r="C3" s="3403">
        <f ca="1">'成本法 (元)'!C52</f>
        <v>76336807</v>
      </c>
      <c r="D3" s="3404"/>
      <c r="E3" s="3404"/>
      <c r="F3" s="3405"/>
      <c r="G3" s="3153" t="s">
        <v>3389</v>
      </c>
      <c r="H3" s="3156" t="s">
        <v>3390</v>
      </c>
      <c r="I3" s="3157">
        <f>'数据-汇总表'!G19</f>
        <v>4769.92</v>
      </c>
      <c r="K3" s="3402"/>
      <c r="L3" s="3145" t="s">
        <v>3391</v>
      </c>
      <c r="M3" s="3158" t="s">
        <v>3392</v>
      </c>
      <c r="N3" s="3155"/>
      <c r="O3" s="3155"/>
    </row>
    <row r="4" spans="1:16">
      <c r="A4" s="3406" t="s">
        <v>3393</v>
      </c>
      <c r="B4" s="3407" t="s">
        <v>3394</v>
      </c>
      <c r="C4" s="3408">
        <f ca="1">ROUND(C3*(I4-I6)/(1-((1+I6)/(1+I4))^I5),0)</f>
        <v>5040193</v>
      </c>
      <c r="D4" s="3409"/>
      <c r="E4" s="3409"/>
      <c r="F4" s="3410"/>
      <c r="G4" s="3406" t="s">
        <v>3395</v>
      </c>
      <c r="H4" s="3159" t="s">
        <v>3396</v>
      </c>
      <c r="I4" s="3217">
        <v>5.5E-2</v>
      </c>
      <c r="K4" s="3402"/>
      <c r="L4" s="3145" t="s">
        <v>3397</v>
      </c>
      <c r="M4" s="3161">
        <f>ROUND(1-(1-M1)*M2/M3,2)</f>
        <v>0.72</v>
      </c>
      <c r="N4" s="3155"/>
      <c r="O4" s="3155"/>
    </row>
    <row r="5" spans="1:16" s="3164" customFormat="1" ht="18" customHeight="1">
      <c r="A5" s="3406"/>
      <c r="B5" s="3407"/>
      <c r="C5" s="3411"/>
      <c r="D5" s="3412"/>
      <c r="E5" s="3412"/>
      <c r="F5" s="3413"/>
      <c r="G5" s="3406"/>
      <c r="H5" s="3156" t="s">
        <v>3398</v>
      </c>
      <c r="I5" s="3218">
        <f>项目基本情况!D15</f>
        <v>21</v>
      </c>
      <c r="J5" s="3162"/>
      <c r="K5" s="3402"/>
      <c r="L5" s="3145" t="s">
        <v>3399</v>
      </c>
      <c r="M5" s="3163">
        <v>0.5</v>
      </c>
      <c r="N5" s="3155"/>
      <c r="O5" s="3155"/>
    </row>
    <row r="6" spans="1:16" s="3164" customFormat="1" ht="18" customHeight="1">
      <c r="A6" s="3406"/>
      <c r="B6" s="3407"/>
      <c r="C6" s="3414"/>
      <c r="D6" s="3415"/>
      <c r="E6" s="3415"/>
      <c r="F6" s="3416"/>
      <c r="G6" s="3406"/>
      <c r="H6" s="3156" t="s">
        <v>3400</v>
      </c>
      <c r="I6" s="3160">
        <v>2.5000000000000001E-2</v>
      </c>
      <c r="J6" s="3165"/>
      <c r="K6" s="3417" t="s">
        <v>3401</v>
      </c>
      <c r="L6" s="3166" t="s">
        <v>3402</v>
      </c>
      <c r="M6" s="3167" t="s">
        <v>3403</v>
      </c>
      <c r="N6" s="3167" t="s">
        <v>3404</v>
      </c>
      <c r="O6" s="3167" t="s">
        <v>3405</v>
      </c>
      <c r="P6" s="3167" t="s">
        <v>3406</v>
      </c>
    </row>
    <row r="7" spans="1:16" s="3164" customFormat="1" ht="18" customHeight="1">
      <c r="A7" s="3153" t="s">
        <v>3407</v>
      </c>
      <c r="B7" s="3156" t="s">
        <v>3408</v>
      </c>
      <c r="C7" s="3403">
        <f ca="1">'成本法 (元)'!C51</f>
        <v>18092971</v>
      </c>
      <c r="D7" s="3404"/>
      <c r="E7" s="3404"/>
      <c r="F7" s="3405"/>
      <c r="G7" s="3153" t="s">
        <v>3409</v>
      </c>
      <c r="H7" s="3156" t="s">
        <v>3410</v>
      </c>
      <c r="I7" s="3168">
        <f>'数据-取费表'!N6</f>
        <v>0.72</v>
      </c>
      <c r="K7" s="3417"/>
      <c r="L7" s="3166" t="s">
        <v>3411</v>
      </c>
      <c r="M7" s="3167">
        <v>100</v>
      </c>
      <c r="N7" s="3167" t="s">
        <v>3412</v>
      </c>
      <c r="O7" s="3167">
        <v>90</v>
      </c>
      <c r="P7" s="3169">
        <v>0.3</v>
      </c>
    </row>
    <row r="8" spans="1:16" s="3164" customFormat="1" ht="18" hidden="1" customHeight="1">
      <c r="A8" s="3149" t="s">
        <v>3413</v>
      </c>
      <c r="B8" s="3156" t="s">
        <v>3414</v>
      </c>
      <c r="C8" s="3403">
        <f>ROUND(I8*I3,0)</f>
        <v>16694720</v>
      </c>
      <c r="D8" s="3404"/>
      <c r="E8" s="3404"/>
      <c r="F8" s="3405"/>
      <c r="G8" s="3153" t="s">
        <v>3415</v>
      </c>
      <c r="H8" s="3156" t="s">
        <v>3416</v>
      </c>
      <c r="I8" s="3153">
        <v>3500</v>
      </c>
      <c r="J8" s="3170">
        <f>D35</f>
        <v>3.7</v>
      </c>
      <c r="K8" s="3417"/>
      <c r="L8" s="3166" t="s">
        <v>3417</v>
      </c>
      <c r="M8" s="3167">
        <v>100</v>
      </c>
      <c r="N8" s="3167" t="s">
        <v>3412</v>
      </c>
      <c r="O8" s="3167">
        <v>90</v>
      </c>
      <c r="P8" s="3169">
        <v>0.5</v>
      </c>
    </row>
    <row r="9" spans="1:16" s="3164" customFormat="1" ht="18" hidden="1" customHeight="1">
      <c r="A9" s="3149" t="s">
        <v>3418</v>
      </c>
      <c r="B9" s="3156" t="s">
        <v>3419</v>
      </c>
      <c r="C9" s="3403">
        <f>ROUND(C8*H9,0)</f>
        <v>500842</v>
      </c>
      <c r="D9" s="3404"/>
      <c r="E9" s="3404"/>
      <c r="F9" s="3405"/>
      <c r="G9" s="3153" t="s">
        <v>3420</v>
      </c>
      <c r="H9" s="3418">
        <f>'数据-取费表'!B33</f>
        <v>0.03</v>
      </c>
      <c r="I9" s="3418"/>
      <c r="J9" s="3170">
        <f ca="1">D36</f>
        <v>3.89</v>
      </c>
      <c r="K9" s="3417"/>
      <c r="L9" s="3166" t="s">
        <v>3421</v>
      </c>
      <c r="M9" s="3167">
        <v>100</v>
      </c>
      <c r="N9" s="3167" t="s">
        <v>3412</v>
      </c>
      <c r="O9" s="3167">
        <v>90</v>
      </c>
      <c r="P9" s="3169">
        <f>1-P7-P8</f>
        <v>0.19999999999999996</v>
      </c>
    </row>
    <row r="10" spans="1:16" s="3164" customFormat="1" ht="18" hidden="1" customHeight="1">
      <c r="A10" s="3149" t="s">
        <v>3422</v>
      </c>
      <c r="B10" s="3156" t="s">
        <v>3423</v>
      </c>
      <c r="C10" s="3403">
        <f>ROUND(C8*H10,0)</f>
        <v>0</v>
      </c>
      <c r="D10" s="3404"/>
      <c r="E10" s="3404"/>
      <c r="F10" s="3405"/>
      <c r="G10" s="3153" t="s">
        <v>3420</v>
      </c>
      <c r="H10" s="3418">
        <f>'[1]数据-取费表'!B34</f>
        <v>0</v>
      </c>
      <c r="I10" s="3418"/>
      <c r="J10" s="3170">
        <f ca="1">D37</f>
        <v>3.8</v>
      </c>
      <c r="K10" s="3417"/>
      <c r="L10" s="3171" t="s">
        <v>3399</v>
      </c>
      <c r="M10" s="3172">
        <f>1-M5</f>
        <v>0.5</v>
      </c>
      <c r="N10" s="3167" t="s">
        <v>3397</v>
      </c>
      <c r="O10" s="3173">
        <f>ROUND((O7*P7+O8*P8+O9*P9)/100,2)</f>
        <v>0.9</v>
      </c>
      <c r="P10" s="3174"/>
    </row>
    <row r="11" spans="1:16" s="3164" customFormat="1" ht="29.25" hidden="1" customHeight="1">
      <c r="A11" s="3149" t="s">
        <v>3424</v>
      </c>
      <c r="B11" s="3156" t="s">
        <v>3425</v>
      </c>
      <c r="C11" s="3403">
        <f>ROUND(I11*I3,0)</f>
        <v>953984</v>
      </c>
      <c r="D11" s="3404"/>
      <c r="E11" s="3404"/>
      <c r="F11" s="3405"/>
      <c r="G11" s="3153" t="s">
        <v>3426</v>
      </c>
      <c r="H11" s="3156" t="s">
        <v>3427</v>
      </c>
      <c r="I11" s="3153">
        <f>'[1]数据-取费表'!B28</f>
        <v>200</v>
      </c>
      <c r="J11" s="3162"/>
      <c r="K11" s="3143"/>
      <c r="L11" s="3143"/>
    </row>
    <row r="12" spans="1:16" s="3164" customFormat="1" ht="18" hidden="1" customHeight="1">
      <c r="A12" s="3149" t="s">
        <v>3428</v>
      </c>
      <c r="B12" s="3156" t="s">
        <v>3429</v>
      </c>
      <c r="C12" s="3403">
        <f>ROUND(C8*H12,0)</f>
        <v>250421</v>
      </c>
      <c r="D12" s="3404"/>
      <c r="E12" s="3404"/>
      <c r="F12" s="3405"/>
      <c r="G12" s="3153" t="s">
        <v>3420</v>
      </c>
      <c r="H12" s="3418">
        <f>'[1]数据-取费表'!B36</f>
        <v>1.4999999999999999E-2</v>
      </c>
      <c r="I12" s="3418"/>
      <c r="J12" s="3175" t="s">
        <v>3430</v>
      </c>
      <c r="L12" s="3176"/>
    </row>
    <row r="13" spans="1:16" s="3164" customFormat="1" ht="18" hidden="1" customHeight="1">
      <c r="A13" s="3149" t="s">
        <v>438</v>
      </c>
      <c r="B13" s="3156" t="s">
        <v>3431</v>
      </c>
      <c r="C13" s="3403">
        <f>SUM(C8:F12)</f>
        <v>18399967</v>
      </c>
      <c r="D13" s="3404"/>
      <c r="E13" s="3404"/>
      <c r="F13" s="3405"/>
      <c r="G13" s="3406" t="s">
        <v>3432</v>
      </c>
      <c r="H13" s="3406"/>
      <c r="I13" s="3406"/>
      <c r="J13" s="3175" t="s">
        <v>3433</v>
      </c>
      <c r="L13" s="3176"/>
      <c r="N13" s="3164">
        <v>2011</v>
      </c>
    </row>
    <row r="14" spans="1:16" s="3164" customFormat="1" ht="18" hidden="1" customHeight="1">
      <c r="A14" s="3149" t="s">
        <v>3434</v>
      </c>
      <c r="B14" s="3156" t="s">
        <v>3435</v>
      </c>
      <c r="C14" s="3403">
        <f>ROUND(C13*H14,0)</f>
        <v>367999</v>
      </c>
      <c r="D14" s="3404"/>
      <c r="E14" s="3404"/>
      <c r="F14" s="3405"/>
      <c r="G14" s="3153" t="s">
        <v>3436</v>
      </c>
      <c r="H14" s="3418">
        <v>0.02</v>
      </c>
      <c r="I14" s="3418"/>
      <c r="J14" s="3162"/>
      <c r="L14" s="3176"/>
    </row>
    <row r="15" spans="1:16" s="3164" customFormat="1" ht="18" hidden="1" customHeight="1">
      <c r="A15" s="3149" t="s">
        <v>393</v>
      </c>
      <c r="B15" s="3156" t="s">
        <v>3437</v>
      </c>
      <c r="C15" s="3423">
        <f>H15</f>
        <v>0.02</v>
      </c>
      <c r="D15" s="3424"/>
      <c r="E15" s="3421" t="str">
        <f>E18</f>
        <v>V</v>
      </c>
      <c r="F15" s="3422"/>
      <c r="G15" s="3153" t="s">
        <v>3438</v>
      </c>
      <c r="H15" s="3418">
        <v>0.02</v>
      </c>
      <c r="I15" s="3418"/>
      <c r="J15" s="3179"/>
      <c r="K15" s="3180"/>
    </row>
    <row r="16" spans="1:16" s="3164" customFormat="1" ht="18" hidden="1" customHeight="1">
      <c r="A16" s="3181" t="s">
        <v>394</v>
      </c>
      <c r="B16" s="3182" t="s">
        <v>3439</v>
      </c>
      <c r="C16" s="3151">
        <f ca="1">C17</f>
        <v>647495</v>
      </c>
      <c r="D16" s="3152" t="s">
        <v>3440</v>
      </c>
      <c r="E16" s="3183">
        <f ca="1">C18</f>
        <v>6.9000000000000008E-4</v>
      </c>
      <c r="F16" s="3178" t="str">
        <f>E18</f>
        <v>V</v>
      </c>
      <c r="G16" s="3403" t="s">
        <v>3441</v>
      </c>
      <c r="H16" s="3404"/>
      <c r="I16" s="3405"/>
      <c r="J16" s="3162"/>
      <c r="K16" s="3143"/>
    </row>
    <row r="17" spans="1:12" s="3164" customFormat="1" ht="18" hidden="1" customHeight="1">
      <c r="A17" s="3149" t="s">
        <v>3442</v>
      </c>
      <c r="B17" s="3156" t="s">
        <v>3443</v>
      </c>
      <c r="C17" s="3403">
        <f ca="1">ROUND((C13+C14)*I18*(I17/2),0)</f>
        <v>647495</v>
      </c>
      <c r="D17" s="3404"/>
      <c r="E17" s="3404"/>
      <c r="F17" s="3405"/>
      <c r="G17" s="3151" t="s">
        <v>3444</v>
      </c>
      <c r="H17" s="3156" t="s">
        <v>3445</v>
      </c>
      <c r="I17" s="3153">
        <f>'[1]数据-取费表'!B20</f>
        <v>2</v>
      </c>
      <c r="J17" s="3175" t="s">
        <v>3446</v>
      </c>
      <c r="K17" s="3143"/>
      <c r="L17" s="3143"/>
    </row>
    <row r="18" spans="1:12" s="3164" customFormat="1" ht="18" hidden="1" customHeight="1">
      <c r="A18" s="3149" t="s">
        <v>3447</v>
      </c>
      <c r="B18" s="3156" t="s">
        <v>3448</v>
      </c>
      <c r="C18" s="3419">
        <f ca="1">H15*I18*I17/2</f>
        <v>6.9000000000000008E-4</v>
      </c>
      <c r="D18" s="3420"/>
      <c r="E18" s="3421" t="s">
        <v>3449</v>
      </c>
      <c r="F18" s="3422"/>
      <c r="G18" s="3151" t="s">
        <v>3450</v>
      </c>
      <c r="H18" s="3156" t="s">
        <v>3451</v>
      </c>
      <c r="I18" s="3184">
        <f ca="1">'数据-取费表'!B40</f>
        <v>3.4500000000000003E-2</v>
      </c>
      <c r="J18" s="3175" t="s">
        <v>3452</v>
      </c>
      <c r="K18" s="3143"/>
      <c r="L18" s="3143"/>
    </row>
    <row r="19" spans="1:12" s="3164" customFormat="1" ht="27" hidden="1" customHeight="1">
      <c r="A19" s="3149" t="s">
        <v>395</v>
      </c>
      <c r="B19" s="3156" t="s">
        <v>3453</v>
      </c>
      <c r="C19" s="3151">
        <f>C20</f>
        <v>4691992</v>
      </c>
      <c r="D19" s="3152" t="s">
        <v>3440</v>
      </c>
      <c r="E19" s="3152">
        <f>C21</f>
        <v>5.0000000000000001E-3</v>
      </c>
      <c r="F19" s="3178" t="str">
        <f>E21</f>
        <v>V</v>
      </c>
      <c r="G19" s="3403" t="s">
        <v>3454</v>
      </c>
      <c r="H19" s="3404"/>
      <c r="I19" s="3405"/>
      <c r="J19" s="3162"/>
      <c r="K19" s="3143"/>
      <c r="L19" s="3143"/>
    </row>
    <row r="20" spans="1:12" s="3164" customFormat="1" ht="26.25" hidden="1" customHeight="1">
      <c r="A20" s="3149" t="s">
        <v>3455</v>
      </c>
      <c r="B20" s="3156" t="s">
        <v>3456</v>
      </c>
      <c r="C20" s="3403">
        <f>ROUND((C13+C14)*I20,0)</f>
        <v>4691992</v>
      </c>
      <c r="D20" s="3404"/>
      <c r="E20" s="3404"/>
      <c r="F20" s="3405"/>
      <c r="G20" s="3153" t="s">
        <v>3457</v>
      </c>
      <c r="H20" s="3427" t="s">
        <v>3458</v>
      </c>
      <c r="I20" s="3429">
        <v>0.25</v>
      </c>
      <c r="J20" s="3175" t="s">
        <v>3459</v>
      </c>
      <c r="K20" s="3143"/>
      <c r="L20" s="3143"/>
    </row>
    <row r="21" spans="1:12" s="3164" customFormat="1" ht="27" hidden="1" customHeight="1">
      <c r="A21" s="3149" t="s">
        <v>3455</v>
      </c>
      <c r="B21" s="3156" t="s">
        <v>3460</v>
      </c>
      <c r="C21" s="3423">
        <f>H15*I20</f>
        <v>5.0000000000000001E-3</v>
      </c>
      <c r="D21" s="3424"/>
      <c r="E21" s="3421" t="s">
        <v>3449</v>
      </c>
      <c r="F21" s="3422"/>
      <c r="G21" s="3153" t="s">
        <v>3461</v>
      </c>
      <c r="H21" s="3428"/>
      <c r="I21" s="3429"/>
      <c r="J21" s="3162"/>
      <c r="K21" s="3143"/>
      <c r="L21" s="3143"/>
    </row>
    <row r="22" spans="1:12" s="3164" customFormat="1" ht="18" hidden="1" customHeight="1">
      <c r="A22" s="3149" t="s">
        <v>396</v>
      </c>
      <c r="B22" s="3156" t="s">
        <v>3462</v>
      </c>
      <c r="C22" s="3423">
        <f>ROUND(H22/1.05,4)</f>
        <v>5.33E-2</v>
      </c>
      <c r="D22" s="3424"/>
      <c r="E22" s="3421" t="s">
        <v>3449</v>
      </c>
      <c r="F22" s="3422"/>
      <c r="G22" s="3153" t="s">
        <v>3463</v>
      </c>
      <c r="H22" s="3418">
        <v>5.6000000000000001E-2</v>
      </c>
      <c r="I22" s="3418"/>
      <c r="J22" s="3186"/>
      <c r="K22" s="3143"/>
      <c r="L22" s="3143"/>
    </row>
    <row r="23" spans="1:12" s="3164" customFormat="1" ht="18" customHeight="1">
      <c r="A23" s="3149" t="s">
        <v>3464</v>
      </c>
      <c r="B23" s="3156" t="s">
        <v>3465</v>
      </c>
      <c r="C23" s="3403">
        <f ca="1">'成本法 (元)'!C49</f>
        <v>25129126</v>
      </c>
      <c r="D23" s="3404"/>
      <c r="E23" s="3404"/>
      <c r="F23" s="3405"/>
      <c r="G23" s="3403" t="s">
        <v>3466</v>
      </c>
      <c r="H23" s="3404"/>
      <c r="I23" s="3405"/>
      <c r="J23" s="3186"/>
      <c r="K23" s="3143"/>
      <c r="L23" s="3143"/>
    </row>
    <row r="24" spans="1:12" s="3164" customFormat="1" ht="18" customHeight="1">
      <c r="A24" s="3149" t="s">
        <v>3467</v>
      </c>
      <c r="B24" s="3156" t="s">
        <v>3468</v>
      </c>
      <c r="C24" s="3177">
        <f ca="1">C26+C27</f>
        <v>269384</v>
      </c>
      <c r="D24" s="3187" t="s">
        <v>3469</v>
      </c>
      <c r="E24" s="3425">
        <f>H25+H28</f>
        <v>0.13</v>
      </c>
      <c r="F24" s="3426"/>
      <c r="G24" s="3406" t="s">
        <v>3470</v>
      </c>
      <c r="H24" s="3406"/>
      <c r="I24" s="3406"/>
      <c r="J24" s="3186"/>
      <c r="K24" s="3143"/>
      <c r="L24" s="3143"/>
    </row>
    <row r="25" spans="1:12" s="3164" customFormat="1" ht="18" customHeight="1">
      <c r="A25" s="3149" t="s">
        <v>438</v>
      </c>
      <c r="B25" s="3156" t="s">
        <v>3471</v>
      </c>
      <c r="C25" s="3423" t="s">
        <v>3472</v>
      </c>
      <c r="D25" s="3424"/>
      <c r="E25" s="3425">
        <f>H25</f>
        <v>0.12</v>
      </c>
      <c r="F25" s="3426"/>
      <c r="G25" s="3153" t="s">
        <v>3473</v>
      </c>
      <c r="H25" s="3430">
        <v>0.12</v>
      </c>
      <c r="I25" s="3430"/>
      <c r="J25" s="3179"/>
      <c r="K25" s="3143"/>
      <c r="L25" s="3143"/>
    </row>
    <row r="26" spans="1:12" s="3164" customFormat="1" ht="18" customHeight="1">
      <c r="A26" s="3149" t="s">
        <v>3434</v>
      </c>
      <c r="B26" s="3156" t="s">
        <v>3474</v>
      </c>
      <c r="C26" s="3403">
        <f ca="1">ROUND(C23*H26,0)</f>
        <v>251291</v>
      </c>
      <c r="D26" s="3404"/>
      <c r="E26" s="3404"/>
      <c r="F26" s="3405"/>
      <c r="G26" s="3153" t="s">
        <v>3475</v>
      </c>
      <c r="H26" s="3430">
        <v>0.01</v>
      </c>
      <c r="I26" s="3430"/>
      <c r="J26" s="3179"/>
      <c r="K26" s="3143"/>
      <c r="L26" s="3143"/>
    </row>
    <row r="27" spans="1:12" s="3164" customFormat="1" ht="18" customHeight="1">
      <c r="A27" s="3149" t="s">
        <v>393</v>
      </c>
      <c r="B27" s="3156" t="s">
        <v>3476</v>
      </c>
      <c r="C27" s="3403">
        <f ca="1">ROUND(C7*H27,0)</f>
        <v>18093</v>
      </c>
      <c r="D27" s="3404"/>
      <c r="E27" s="3404"/>
      <c r="F27" s="3405"/>
      <c r="G27" s="3153" t="s">
        <v>3477</v>
      </c>
      <c r="H27" s="3431">
        <v>1E-3</v>
      </c>
      <c r="I27" s="3431"/>
      <c r="J27" s="3162"/>
      <c r="K27" s="3143"/>
      <c r="L27" s="3143"/>
    </row>
    <row r="28" spans="1:12" s="3164" customFormat="1" ht="18" customHeight="1">
      <c r="A28" s="3149" t="s">
        <v>394</v>
      </c>
      <c r="B28" s="3156" t="s">
        <v>3478</v>
      </c>
      <c r="C28" s="3423" t="s">
        <v>3472</v>
      </c>
      <c r="D28" s="3424"/>
      <c r="E28" s="3425">
        <f>H28</f>
        <v>0.01</v>
      </c>
      <c r="F28" s="3426"/>
      <c r="G28" s="3153" t="s">
        <v>3479</v>
      </c>
      <c r="H28" s="3430">
        <v>0.01</v>
      </c>
      <c r="I28" s="3430"/>
      <c r="J28" s="3188"/>
      <c r="K28" s="3143"/>
      <c r="L28" s="3143"/>
    </row>
    <row r="29" spans="1:12" s="3164" customFormat="1" ht="18" customHeight="1">
      <c r="A29" s="3153" t="s">
        <v>3480</v>
      </c>
      <c r="B29" s="3156" t="s">
        <v>3481</v>
      </c>
      <c r="C29" s="3403">
        <f ca="1">ROUND((C4+C24)/(1-E24),0)</f>
        <v>6102962</v>
      </c>
      <c r="D29" s="3404"/>
      <c r="E29" s="3404"/>
      <c r="F29" s="3405"/>
      <c r="G29" s="3406" t="s">
        <v>3482</v>
      </c>
      <c r="H29" s="3406"/>
      <c r="I29" s="3406"/>
      <c r="J29" s="3189" t="s">
        <v>3483</v>
      </c>
      <c r="K29" s="3143"/>
      <c r="L29" s="3143"/>
    </row>
    <row r="30" spans="1:12" s="3164" customFormat="1" ht="21" customHeight="1">
      <c r="A30" s="3406" t="s">
        <v>3484</v>
      </c>
      <c r="B30" s="3407" t="s">
        <v>3485</v>
      </c>
      <c r="C30" s="3432">
        <f ca="1">ROUND(C29/I30/I31/I3,2)</f>
        <v>3.89</v>
      </c>
      <c r="D30" s="3433"/>
      <c r="E30" s="3433"/>
      <c r="F30" s="3434"/>
      <c r="G30" s="3406" t="s">
        <v>3486</v>
      </c>
      <c r="H30" s="3156" t="s">
        <v>3487</v>
      </c>
      <c r="I30" s="3153">
        <v>365</v>
      </c>
      <c r="J30" s="3190"/>
      <c r="K30" s="3143"/>
      <c r="L30" s="3143"/>
    </row>
    <row r="31" spans="1:12" s="3164" customFormat="1" ht="18" customHeight="1">
      <c r="A31" s="3406"/>
      <c r="B31" s="3407"/>
      <c r="C31" s="3435"/>
      <c r="D31" s="3436"/>
      <c r="E31" s="3436"/>
      <c r="F31" s="3437"/>
      <c r="G31" s="3406"/>
      <c r="H31" s="3156" t="s">
        <v>3488</v>
      </c>
      <c r="I31" s="3599">
        <v>0.9</v>
      </c>
      <c r="J31" s="3191"/>
      <c r="K31" s="3143"/>
      <c r="L31" s="3143"/>
    </row>
    <row r="32" spans="1:12" s="3164" customFormat="1" ht="18" customHeight="1">
      <c r="A32" s="3148"/>
      <c r="B32" s="3144"/>
      <c r="C32" s="3148"/>
      <c r="D32" s="3148"/>
      <c r="E32" s="3148"/>
      <c r="F32" s="3148"/>
      <c r="G32" s="3192"/>
      <c r="H32" s="3148"/>
      <c r="I32" s="3148"/>
      <c r="J32" s="3162"/>
      <c r="K32" s="3143"/>
      <c r="L32" s="3600">
        <f ca="1">D37*365/'成本法 (元)'!B3</f>
        <v>8.6665833541614598E-2</v>
      </c>
    </row>
    <row r="33" spans="1:13" s="3164" customFormat="1" ht="18" customHeight="1">
      <c r="A33" s="3148"/>
      <c r="B33" s="3439" t="s">
        <v>3489</v>
      </c>
      <c r="C33" s="3439"/>
      <c r="D33" s="3439"/>
      <c r="E33" s="3439"/>
      <c r="F33" s="3439"/>
      <c r="G33" s="3193"/>
      <c r="H33" s="3194"/>
      <c r="I33" s="3148"/>
      <c r="J33" s="3162"/>
      <c r="K33" s="3143"/>
      <c r="L33" s="3143"/>
      <c r="M33" s="3148"/>
    </row>
    <row r="34" spans="1:13" s="3164" customFormat="1" ht="18" customHeight="1">
      <c r="A34" s="3148"/>
      <c r="B34" s="3195" t="s">
        <v>3490</v>
      </c>
      <c r="C34" s="3195" t="s">
        <v>3406</v>
      </c>
      <c r="D34" s="3440" t="s">
        <v>3491</v>
      </c>
      <c r="E34" s="3440"/>
      <c r="F34" s="3440"/>
      <c r="G34" s="3193" t="s">
        <v>3587</v>
      </c>
      <c r="H34" s="3194"/>
      <c r="I34" s="3148"/>
      <c r="J34" s="3186"/>
      <c r="K34" s="3148"/>
      <c r="L34" s="3148"/>
      <c r="M34" s="3148"/>
    </row>
    <row r="35" spans="1:13">
      <c r="B35" s="3195" t="s">
        <v>3492</v>
      </c>
      <c r="C35" s="3196">
        <v>0.5</v>
      </c>
      <c r="D35" s="3438">
        <f>ROUND('比较法-商业-租金'!C48*G35,2)</f>
        <v>3.7</v>
      </c>
      <c r="E35" s="3438"/>
      <c r="F35" s="3438"/>
      <c r="G35" s="3193">
        <v>0.6</v>
      </c>
      <c r="H35" s="3194"/>
      <c r="K35" s="3148"/>
      <c r="L35" s="3148"/>
    </row>
    <row r="36" spans="1:13" ht="20.100000000000001" customHeight="1">
      <c r="B36" s="3195" t="s">
        <v>3493</v>
      </c>
      <c r="C36" s="3196">
        <f>1-C35</f>
        <v>0.5</v>
      </c>
      <c r="D36" s="3438">
        <f ca="1">C30</f>
        <v>3.89</v>
      </c>
      <c r="E36" s="3438"/>
      <c r="F36" s="3438"/>
      <c r="G36" s="3193"/>
      <c r="H36" s="3194">
        <f ca="1">D35/D36</f>
        <v>0.95115681233933158</v>
      </c>
      <c r="J36" s="3148"/>
      <c r="K36" s="3148"/>
      <c r="L36" s="3148"/>
    </row>
    <row r="37" spans="1:13" ht="22.5" customHeight="1">
      <c r="B37" s="3440" t="s">
        <v>3494</v>
      </c>
      <c r="C37" s="3440"/>
      <c r="D37" s="3438">
        <f ca="1">ROUND(C35*D35+C36*D36,1)</f>
        <v>3.8</v>
      </c>
      <c r="E37" s="3438"/>
      <c r="F37" s="3438"/>
      <c r="G37" s="3193">
        <f ca="1">ROUND(D37*I3/10000,2)</f>
        <v>1.81</v>
      </c>
      <c r="H37" s="3194"/>
      <c r="J37" s="3148"/>
      <c r="K37" s="3148"/>
      <c r="L37" s="3148"/>
    </row>
    <row r="38" spans="1:13" ht="22.5" customHeight="1">
      <c r="B38" s="3195" t="s">
        <v>3495</v>
      </c>
      <c r="C38" s="3195">
        <f ca="1">ROUND(D37*0.9,1)</f>
        <v>3.4</v>
      </c>
      <c r="D38" s="3197" t="s">
        <v>3496</v>
      </c>
      <c r="E38" s="3438">
        <f ca="1">ROUND(D37*1.1,1)</f>
        <v>4.2</v>
      </c>
      <c r="F38" s="3438"/>
      <c r="G38" s="3193"/>
      <c r="H38" s="3198"/>
      <c r="J38" s="3148"/>
      <c r="K38" s="3148"/>
      <c r="L38" s="3148"/>
    </row>
    <row r="39" spans="1:13" ht="18" hidden="1" customHeight="1">
      <c r="B39" s="3195" t="s">
        <v>3498</v>
      </c>
      <c r="C39" s="3195">
        <f ca="1">ROUND(C38+H39,2)</f>
        <v>3.4</v>
      </c>
      <c r="D39" s="3197" t="s">
        <v>3496</v>
      </c>
      <c r="E39" s="3438">
        <f ca="1">ROUND(E38+H39,2)</f>
        <v>4.2</v>
      </c>
      <c r="F39" s="3438"/>
      <c r="G39" s="3199" t="s">
        <v>3499</v>
      </c>
      <c r="H39" s="3199"/>
      <c r="J39" s="3148"/>
      <c r="K39" s="3148"/>
      <c r="L39" s="3148"/>
    </row>
    <row r="40" spans="1:13" ht="18" customHeight="1">
      <c r="B40" s="3200"/>
      <c r="C40" s="3201"/>
      <c r="D40" s="3194"/>
      <c r="E40" s="3194"/>
      <c r="F40" s="3194"/>
      <c r="G40" s="3193"/>
      <c r="H40" s="3194"/>
      <c r="J40" s="3148"/>
    </row>
    <row r="41" spans="1:13" ht="18" customHeight="1">
      <c r="B41" s="3193" t="s">
        <v>3500</v>
      </c>
      <c r="C41" s="3194"/>
      <c r="D41" s="3194"/>
      <c r="E41" s="3193" t="s">
        <v>3501</v>
      </c>
      <c r="F41" s="3194"/>
      <c r="G41" s="3193"/>
      <c r="H41" s="3193" t="s">
        <v>3502</v>
      </c>
      <c r="J41" s="3148"/>
    </row>
    <row r="42" spans="1:13" ht="29.25" customHeight="1"/>
    <row r="45" spans="1:13">
      <c r="H45" s="3202"/>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19" t="str">
        <f>项目基本情况!B1</f>
        <v>北京市房地产市场价值预评估</v>
      </c>
      <c r="C37" s="3219"/>
      <c r="D37" s="3219"/>
      <c r="E37" s="3219"/>
      <c r="F37" s="3219"/>
      <c r="G37" s="3219"/>
      <c r="H37" s="3219"/>
      <c r="I37" s="321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1941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4069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95</v>
      </c>
      <c r="D10" s="795">
        <f ca="1">IF(B1="",'数据-汇总表'!E6,IF(INDIRECT("'数据-取费表'!c"&amp;$G$1)="住宅",INDIRECT("'数据-取费表'!s"&amp;$G$1),INDIRECT("'数据-取费表'!k"&amp;$G$1)+INDIRECT("'数据-取费表'!s"&amp;$G$1)))</f>
        <v>4769.92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95</v>
      </c>
      <c r="D19" s="204">
        <f ca="1">D9+D10</f>
        <v>4769.92</v>
      </c>
      <c r="E19" s="203">
        <f>'数据-取费表'!B31</f>
        <v>200</v>
      </c>
      <c r="F19" s="223"/>
      <c r="G19" s="1714"/>
    </row>
    <row r="20" spans="1:7" s="206" customFormat="1" ht="13.5" customHeight="1">
      <c r="A20" s="247" t="s">
        <v>1493</v>
      </c>
      <c r="B20" s="202" t="s">
        <v>1494</v>
      </c>
      <c r="C20" s="224">
        <f ca="1">ROUND((C5+C19)*F20,0)</f>
        <v>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7</v>
      </c>
      <c r="D22" s="227">
        <f ca="1">C26</f>
        <v>6.9999999999999999E-4</v>
      </c>
      <c r="E22" s="228" t="s">
        <v>1498</v>
      </c>
      <c r="F22" s="229">
        <f ca="1">'数据-取费表'!B40</f>
        <v>3.4500000000000003E-2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7</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19</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19</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1839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1669</v>
      </c>
      <c r="D34" s="209"/>
      <c r="E34" s="212"/>
      <c r="F34" s="249">
        <f ca="1">IF('数据-取费表'!B24=0,1,IF(B1="",'数据-取费表'!N16,INDIRECT("'数据-取费表'!n"&amp;$G$1)))</f>
        <v>1</v>
      </c>
      <c r="G34" s="211" t="s">
        <v>1526</v>
      </c>
    </row>
    <row r="35" spans="1:7" ht="13.5" customHeight="1">
      <c r="A35" s="734" t="s">
        <v>351</v>
      </c>
      <c r="B35" s="207" t="s">
        <v>1527</v>
      </c>
      <c r="C35" s="212">
        <f ca="1">ROUND(C34*F35,0)</f>
        <v>50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95</v>
      </c>
      <c r="D37" s="209">
        <f ca="1">D19</f>
        <v>4769.92</v>
      </c>
      <c r="E37" s="241">
        <f>'数据-取费表'!B35</f>
        <v>200</v>
      </c>
      <c r="F37" s="251"/>
      <c r="G37" s="253" t="s">
        <v>1532</v>
      </c>
    </row>
    <row r="38" spans="1:7" ht="13.5" customHeight="1">
      <c r="A38" s="734" t="s">
        <v>354</v>
      </c>
      <c r="B38" s="207" t="s">
        <v>1533</v>
      </c>
      <c r="C38" s="212">
        <f ca="1">ROUND(C34*F38,0)</f>
        <v>25</v>
      </c>
      <c r="D38" s="212"/>
      <c r="E38" s="212"/>
      <c r="F38" s="251">
        <f>'数据-取费表'!B36</f>
        <v>1.4999999999999999E-2</v>
      </c>
      <c r="G38" s="211" t="s">
        <v>1528</v>
      </c>
    </row>
    <row r="39" spans="1:7" s="206" customFormat="1" ht="13.5" customHeight="1">
      <c r="A39" s="247" t="s">
        <v>1534</v>
      </c>
      <c r="B39" s="202" t="s">
        <v>1535</v>
      </c>
      <c r="C39" s="224">
        <f ca="1">ROUND(C33*F20,0)</f>
        <v>37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64</v>
      </c>
      <c r="D41" s="227">
        <f ca="1">C44</f>
        <v>6.9999999999999999E-4</v>
      </c>
      <c r="E41" s="228" t="s">
        <v>1539</v>
      </c>
      <c r="F41" s="229">
        <f ca="1">F22</f>
        <v>3.4500000000000003E-2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63</v>
      </c>
      <c r="D42" s="230"/>
      <c r="E42" s="230"/>
      <c r="F42" s="231"/>
      <c r="G42" s="3441" t="s">
        <v>1544</v>
      </c>
    </row>
    <row r="43" spans="1:7" ht="13.5" customHeight="1">
      <c r="A43" s="734" t="s">
        <v>347</v>
      </c>
      <c r="B43" s="207" t="s">
        <v>1545</v>
      </c>
      <c r="C43" s="230">
        <f ca="1">ROUND(IF('数据-取费表'!B22&lt;=1,C39*F22*'数据-取费表'!B21/2,C39*(POWER((1+F22),'数据-取费表'!B21/2)-1)),0)</f>
        <v>1</v>
      </c>
      <c r="D43" s="230"/>
      <c r="E43" s="230"/>
      <c r="F43" s="231"/>
      <c r="G43" s="3442"/>
    </row>
    <row r="44" spans="1:7" ht="13.5" customHeight="1">
      <c r="A44" s="734" t="s">
        <v>348</v>
      </c>
      <c r="B44" s="207" t="s">
        <v>1546</v>
      </c>
      <c r="C44" s="230">
        <f ca="1">ROUND(IF('数据-取费表'!B22&lt;=1,C40*F22*'数据-取费表'!B21/2,C40*(POWER((1+F22),'数据-取费表'!B21/2)-1)),4)</f>
        <v>6.9999999999999999E-4</v>
      </c>
      <c r="D44" s="230"/>
      <c r="E44" s="230"/>
      <c r="F44" s="231"/>
      <c r="G44" s="3443"/>
    </row>
    <row r="45" spans="1:7" s="206" customFormat="1" ht="13.5" customHeight="1">
      <c r="A45" s="247" t="s">
        <v>1547</v>
      </c>
      <c r="B45" s="236" t="s">
        <v>1513</v>
      </c>
      <c r="C45" s="237">
        <f ca="1">C46</f>
        <v>375</v>
      </c>
      <c r="D45" s="227">
        <f ca="1">C47</f>
        <v>4.0000000000000001E-3</v>
      </c>
      <c r="E45" s="228" t="s">
        <v>1539</v>
      </c>
      <c r="F45" s="238">
        <f ca="1">F27</f>
        <v>0.2</v>
      </c>
      <c r="G45" s="239" t="s">
        <v>1548</v>
      </c>
    </row>
    <row r="46" spans="1:7" s="206" customFormat="1" ht="13.5" customHeight="1">
      <c r="A46" s="734" t="s">
        <v>346</v>
      </c>
      <c r="B46" s="240" t="s">
        <v>1549</v>
      </c>
      <c r="C46" s="241">
        <f ca="1">ROUND((C33+C39)*F27,0)</f>
        <v>375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2511</v>
      </c>
      <c r="D49" s="224"/>
      <c r="E49" s="224"/>
      <c r="F49" s="256"/>
      <c r="G49" s="226" t="s">
        <v>1554</v>
      </c>
    </row>
    <row r="50" spans="1:7" s="250" customFormat="1" ht="24">
      <c r="A50" s="247" t="s">
        <v>1555</v>
      </c>
      <c r="B50" s="202" t="s">
        <v>1556</v>
      </c>
      <c r="C50" s="224"/>
      <c r="D50" s="224"/>
      <c r="E50" s="224"/>
      <c r="F50" s="256">
        <f>IF('数据-取费表'!B24=0,'数据-取费表'!N16,1)</f>
        <v>0.72</v>
      </c>
      <c r="G50" s="239" t="s">
        <v>1557</v>
      </c>
    </row>
    <row r="51" spans="1:7" ht="16.5" customHeight="1">
      <c r="A51" s="247" t="s">
        <v>1558</v>
      </c>
      <c r="B51" s="202" t="s">
        <v>1559</v>
      </c>
      <c r="C51" s="224">
        <f ca="1">ROUND(C49*F50,0)</f>
        <v>1808</v>
      </c>
      <c r="D51" s="224"/>
      <c r="E51" s="224"/>
      <c r="F51" s="256"/>
      <c r="G51" s="226" t="s">
        <v>1560</v>
      </c>
    </row>
    <row r="52" spans="1:7" s="200" customFormat="1" ht="16.5" thickBot="1">
      <c r="A52" s="257" t="s">
        <v>1561</v>
      </c>
      <c r="B52" s="258"/>
      <c r="C52" s="259">
        <f ca="1">C31+C51</f>
        <v>1941</v>
      </c>
      <c r="D52" s="258"/>
      <c r="E52" s="258"/>
      <c r="F52" s="258"/>
      <c r="G52" s="260"/>
    </row>
    <row r="55" spans="1:7" ht="15">
      <c r="B55" s="262" t="s">
        <v>1562</v>
      </c>
      <c r="C55" s="263"/>
    </row>
    <row r="56" spans="1:7">
      <c r="B56" s="265" t="s">
        <v>802</v>
      </c>
      <c r="C56" s="267">
        <f ca="1">1-C57</f>
        <v>6.899999999999995E-2</v>
      </c>
    </row>
    <row r="57" spans="1:7">
      <c r="B57" s="265" t="s">
        <v>803</v>
      </c>
      <c r="C57" s="266">
        <f ca="1">ROUND(C51/C52,3)</f>
        <v>0.93100000000000005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31" zoomScale="80" zoomScaleNormal="70" zoomScaleSheetLayoutView="80" workbookViewId="0">
      <selection activeCell="Z57" sqref="Z5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3" t="s">
        <v>3525</v>
      </c>
      <c r="F1" s="1735" t="s">
        <v>3524</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2.9382999999999999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6.16</v>
      </c>
      <c r="C3" s="344" t="s">
        <v>1768</v>
      </c>
      <c r="D3" s="343">
        <f>IF(D1="",'数据-汇总表'!E3,SUMIF('数据-汇总表'!$C19:$C33,D1,'数据-汇总表'!$E19:$E33))</f>
        <v>4769.92</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1769</v>
      </c>
      <c r="B4" s="346"/>
      <c r="C4" s="3462" t="s">
        <v>1770</v>
      </c>
      <c r="D4" s="3463"/>
      <c r="E4" s="3464" t="s">
        <v>1771</v>
      </c>
      <c r="F4" s="3465"/>
      <c r="G4" s="3462" t="s">
        <v>1772</v>
      </c>
      <c r="H4" s="3463"/>
      <c r="I4" s="3462" t="s">
        <v>1773</v>
      </c>
      <c r="J4" s="3463"/>
      <c r="K4" s="537" t="s">
        <v>1774</v>
      </c>
      <c r="L4" s="2485"/>
      <c r="M4" s="2486"/>
      <c r="N4" s="2486"/>
      <c r="O4" s="2486"/>
      <c r="P4" s="3466" t="s">
        <v>1775</v>
      </c>
      <c r="Q4" s="3467"/>
      <c r="R4" s="3472" t="s">
        <v>1771</v>
      </c>
      <c r="S4" s="3473"/>
      <c r="T4" s="3472" t="s">
        <v>1772</v>
      </c>
      <c r="U4" s="3473"/>
      <c r="V4" s="3445" t="s">
        <v>1773</v>
      </c>
      <c r="W4" s="3445"/>
      <c r="X4" s="1265"/>
      <c r="Y4" s="3472" t="s">
        <v>1775</v>
      </c>
      <c r="Z4" s="3473"/>
      <c r="AA4" s="3459" t="s">
        <v>1771</v>
      </c>
      <c r="AB4" s="3445" t="s">
        <v>1772</v>
      </c>
      <c r="AC4" s="3459" t="s">
        <v>1773</v>
      </c>
    </row>
    <row r="5" spans="1:29" ht="15">
      <c r="A5" s="348"/>
      <c r="B5" s="349"/>
      <c r="C5" s="3485" t="s">
        <v>3567</v>
      </c>
      <c r="D5" s="3481"/>
      <c r="E5" s="3488" t="str">
        <f>Sheet2!J5</f>
        <v>上地南路</v>
      </c>
      <c r="F5" s="3489"/>
      <c r="G5" s="3480" t="str">
        <f>Sheet2!J6</f>
        <v>宏达商务中心</v>
      </c>
      <c r="H5" s="3481"/>
      <c r="I5" s="3480" t="str">
        <f>Sheet2!J7</f>
        <v>金隅嘉华大厦</v>
      </c>
      <c r="J5" s="3481"/>
      <c r="K5" s="537"/>
      <c r="L5" s="2485"/>
      <c r="M5" s="2486"/>
      <c r="N5" s="2486"/>
      <c r="O5" s="2486"/>
      <c r="P5" s="3468"/>
      <c r="Q5" s="3469"/>
      <c r="R5" s="3474"/>
      <c r="S5" s="3475"/>
      <c r="T5" s="3474"/>
      <c r="U5" s="3475"/>
      <c r="V5" s="3445"/>
      <c r="W5" s="3445"/>
      <c r="X5" s="1265"/>
      <c r="Y5" s="3474"/>
      <c r="Z5" s="3475"/>
      <c r="AA5" s="3460"/>
      <c r="AB5" s="3445"/>
      <c r="AC5" s="3460"/>
    </row>
    <row r="6" spans="1:29" ht="15.75" thickBot="1">
      <c r="A6" s="350"/>
      <c r="B6" s="351"/>
      <c r="C6" s="3478" t="s">
        <v>1677</v>
      </c>
      <c r="D6" s="3479"/>
      <c r="E6" s="3486" t="s">
        <v>1677</v>
      </c>
      <c r="F6" s="3487"/>
      <c r="G6" s="3478" t="s">
        <v>1677</v>
      </c>
      <c r="H6" s="3479"/>
      <c r="I6" s="3478" t="s">
        <v>1677</v>
      </c>
      <c r="J6" s="3479"/>
      <c r="K6" s="537" t="s">
        <v>1678</v>
      </c>
      <c r="L6" s="2485"/>
      <c r="M6" s="2486"/>
      <c r="N6" s="2486"/>
      <c r="O6" s="2486"/>
      <c r="P6" s="3470"/>
      <c r="Q6" s="3471"/>
      <c r="R6" s="3474"/>
      <c r="S6" s="3475"/>
      <c r="T6" s="3476"/>
      <c r="U6" s="3477"/>
      <c r="V6" s="3445"/>
      <c r="W6" s="3445"/>
      <c r="X6" s="1265"/>
      <c r="Y6" s="3476"/>
      <c r="Z6" s="3477"/>
      <c r="AA6" s="3461"/>
      <c r="AB6" s="3445"/>
      <c r="AC6" s="3461"/>
    </row>
    <row r="7" spans="1:29" s="102" customFormat="1" ht="15.75" thickBot="1">
      <c r="A7" s="352" t="s">
        <v>1679</v>
      </c>
      <c r="B7" s="353"/>
      <c r="C7" s="354">
        <f>'数据-取费表'!B2</f>
        <v>45352</v>
      </c>
      <c r="D7" s="355">
        <v>100</v>
      </c>
      <c r="E7" s="356">
        <v>45323</v>
      </c>
      <c r="F7" s="357">
        <f>SUMIF(58:58,YEAR(E7)&amp;"-"&amp;MONTH(E7),59:59)</f>
        <v>100</v>
      </c>
      <c r="G7" s="356">
        <v>45323</v>
      </c>
      <c r="H7" s="355">
        <f>SUMIF(58:58,YEAR(G7)&amp;"-"&amp;MONTH(G7),59:59)</f>
        <v>100</v>
      </c>
      <c r="I7" s="356">
        <v>45323</v>
      </c>
      <c r="J7" s="355">
        <f>SUMIF(58:58,YEAR(I7)&amp;"-"&amp;MONTH(I7),59:59)</f>
        <v>100</v>
      </c>
      <c r="K7" s="38"/>
      <c r="L7" s="2487"/>
      <c r="M7" s="2438"/>
      <c r="N7" s="2438"/>
      <c r="O7" s="2438"/>
      <c r="P7" s="3482" t="s">
        <v>1680</v>
      </c>
      <c r="Q7" s="3484"/>
      <c r="R7" s="664" t="s">
        <v>14</v>
      </c>
      <c r="S7" s="665">
        <f t="shared" ref="S7:S15" si="0">F7</f>
        <v>100</v>
      </c>
      <c r="T7" s="664" t="s">
        <v>14</v>
      </c>
      <c r="U7" s="665">
        <f t="shared" ref="U7:U15" si="1">H7</f>
        <v>100</v>
      </c>
      <c r="V7" s="664" t="s">
        <v>14</v>
      </c>
      <c r="W7" s="665">
        <f t="shared" ref="W7:W15" si="2">J7</f>
        <v>100</v>
      </c>
      <c r="X7" s="666"/>
      <c r="Y7" s="3482" t="s">
        <v>1680</v>
      </c>
      <c r="Z7" s="3483"/>
      <c r="AA7" s="50">
        <f>D7/F7</f>
        <v>1</v>
      </c>
      <c r="AB7" s="50">
        <f>D7/H7</f>
        <v>1</v>
      </c>
      <c r="AC7" s="50">
        <f>D7/J7</f>
        <v>1</v>
      </c>
    </row>
    <row r="8" spans="1:29" s="102" customFormat="1" ht="15.75" thickBot="1">
      <c r="A8" s="352" t="s">
        <v>1681</v>
      </c>
      <c r="B8" s="353"/>
      <c r="C8" s="358" t="s">
        <v>3547</v>
      </c>
      <c r="D8" s="355">
        <v>100</v>
      </c>
      <c r="E8" s="358" t="s">
        <v>3548</v>
      </c>
      <c r="F8" s="357">
        <f>SUMIF(61:61,E8,62:62)-SUMIF(61:61,C8,62:62)+100</f>
        <v>102</v>
      </c>
      <c r="G8" s="358" t="s">
        <v>3548</v>
      </c>
      <c r="H8" s="355">
        <f>SUMIF(61:61,G8,62:62)-SUMIF(61:61,C8,62:62)+100</f>
        <v>102</v>
      </c>
      <c r="I8" s="358" t="s">
        <v>3548</v>
      </c>
      <c r="J8" s="355">
        <f>SUMIF(61:61,I8,62:62)-SUMIF(61:61,C8,62:62)+100</f>
        <v>102</v>
      </c>
      <c r="K8" s="38"/>
      <c r="L8" s="2487"/>
      <c r="M8" s="2438"/>
      <c r="N8" s="2438"/>
      <c r="O8" s="2438"/>
      <c r="P8" s="3482" t="s">
        <v>1683</v>
      </c>
      <c r="Q8" s="3483"/>
      <c r="R8" s="664" t="s">
        <v>14</v>
      </c>
      <c r="S8" s="665">
        <f t="shared" si="0"/>
        <v>102</v>
      </c>
      <c r="T8" s="664" t="s">
        <v>14</v>
      </c>
      <c r="U8" s="665">
        <f t="shared" si="1"/>
        <v>102</v>
      </c>
      <c r="V8" s="664" t="s">
        <v>14</v>
      </c>
      <c r="W8" s="665">
        <f t="shared" si="2"/>
        <v>102</v>
      </c>
      <c r="X8" s="666"/>
      <c r="Y8" s="3482" t="s">
        <v>1683</v>
      </c>
      <c r="Z8" s="3483"/>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458"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58"/>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58"/>
      <c r="Q11" s="530" t="str">
        <f t="shared" si="6"/>
        <v>容积率</v>
      </c>
      <c r="R11" s="664" t="s">
        <v>14</v>
      </c>
      <c r="S11" s="665">
        <f t="shared" si="0"/>
        <v>100</v>
      </c>
      <c r="T11" s="664" t="s">
        <v>14</v>
      </c>
      <c r="U11" s="665">
        <f t="shared" si="1"/>
        <v>100</v>
      </c>
      <c r="V11" s="664" t="s">
        <v>14</v>
      </c>
      <c r="W11" s="665">
        <f t="shared" si="2"/>
        <v>100</v>
      </c>
      <c r="X11" s="666"/>
      <c r="Y11" s="330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458"/>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58"/>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58"/>
      <c r="Q14" s="530">
        <f t="shared" si="6"/>
        <v>111</v>
      </c>
      <c r="R14" s="664" t="s">
        <v>14</v>
      </c>
      <c r="S14" s="665">
        <f t="shared" si="0"/>
        <v>100</v>
      </c>
      <c r="T14" s="664" t="s">
        <v>14</v>
      </c>
      <c r="U14" s="665">
        <f t="shared" si="1"/>
        <v>100</v>
      </c>
      <c r="V14" s="664" t="s">
        <v>14</v>
      </c>
      <c r="W14" s="665">
        <f t="shared" si="2"/>
        <v>100</v>
      </c>
      <c r="X14" s="666"/>
      <c r="Y14" s="3308"/>
      <c r="Z14" s="50">
        <f t="shared" si="7"/>
        <v>111</v>
      </c>
      <c r="AA14" s="50">
        <f t="shared" si="3"/>
        <v>1</v>
      </c>
      <c r="AB14" s="50">
        <f t="shared" si="4"/>
        <v>1</v>
      </c>
      <c r="AC14" s="50">
        <f t="shared" si="5"/>
        <v>1</v>
      </c>
    </row>
    <row r="15" spans="1:29" ht="30" customHeight="1">
      <c r="A15" s="379" t="s">
        <v>1690</v>
      </c>
      <c r="B15" s="58" t="s">
        <v>1777</v>
      </c>
      <c r="C15" s="1750" t="str">
        <f>估价对象房地状况!C4</f>
        <v>估价对象周边多为住宅、办公配套商业、有华联商厦等商业设施，人流量较大，商业繁华度较好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49" t="s">
        <v>1691</v>
      </c>
      <c r="Q15" s="1263" t="str">
        <f t="shared" si="6"/>
        <v>商业繁华度</v>
      </c>
      <c r="R15" s="667" t="s">
        <v>14</v>
      </c>
      <c r="S15" s="668">
        <f t="shared" si="0"/>
        <v>100</v>
      </c>
      <c r="T15" s="667" t="s">
        <v>14</v>
      </c>
      <c r="U15" s="668">
        <f t="shared" si="1"/>
        <v>100</v>
      </c>
      <c r="V15" s="667" t="s">
        <v>14</v>
      </c>
      <c r="W15" s="668">
        <f t="shared" si="2"/>
        <v>100</v>
      </c>
      <c r="X15" s="1265"/>
      <c r="Y15" s="3451" t="s">
        <v>1691</v>
      </c>
      <c r="Z15" s="1264" t="str">
        <f t="shared" si="7"/>
        <v>商业繁华度</v>
      </c>
      <c r="AA15" s="1264">
        <f t="shared" si="3"/>
        <v>1</v>
      </c>
      <c r="AB15" s="1264">
        <f t="shared" si="4"/>
        <v>1</v>
      </c>
      <c r="AC15" s="1264">
        <f t="shared" si="5"/>
        <v>1</v>
      </c>
    </row>
    <row r="16" spans="1:29" ht="15">
      <c r="A16" s="367"/>
      <c r="B16" s="385"/>
      <c r="C16" s="386" t="s">
        <v>3520</v>
      </c>
      <c r="D16" s="387"/>
      <c r="E16" s="386" t="s">
        <v>3520</v>
      </c>
      <c r="F16" s="388"/>
      <c r="G16" s="386" t="s">
        <v>3520</v>
      </c>
      <c r="H16" s="389"/>
      <c r="I16" s="386" t="s">
        <v>3520</v>
      </c>
      <c r="J16" s="387"/>
      <c r="K16" s="541"/>
      <c r="L16" s="2491"/>
      <c r="M16" s="2486"/>
      <c r="N16" s="2486"/>
      <c r="O16" s="2486"/>
      <c r="P16" s="3450"/>
      <c r="Q16" s="1263"/>
      <c r="R16" s="667"/>
      <c r="S16" s="668"/>
      <c r="T16" s="667"/>
      <c r="U16" s="668"/>
      <c r="V16" s="667"/>
      <c r="W16" s="668"/>
      <c r="X16" s="1265"/>
      <c r="Y16" s="3452"/>
      <c r="Z16" s="1264"/>
      <c r="AA16" s="1264">
        <v>1</v>
      </c>
      <c r="AB16" s="1264">
        <v>1</v>
      </c>
      <c r="AC16" s="1264">
        <v>1</v>
      </c>
    </row>
    <row r="17" spans="1:29" ht="41.25" customHeight="1">
      <c r="A17" s="367"/>
      <c r="B17" s="390" t="s">
        <v>1259</v>
      </c>
      <c r="C17" s="1754" t="str">
        <f>估价对象房地状况!C6</f>
        <v>估价对象周边有305路、320路、365路、432路、614路、982路等多条公交线路，距离地铁13号线上地站约950米，周边道路网线较密集，通达度较好。综合评价交通便捷度较好。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450"/>
      <c r="Q17" s="1263" t="str">
        <f>B17</f>
        <v>交通便捷度</v>
      </c>
      <c r="R17" s="667" t="s">
        <v>14</v>
      </c>
      <c r="S17" s="668">
        <f>F17</f>
        <v>100</v>
      </c>
      <c r="T17" s="667" t="s">
        <v>14</v>
      </c>
      <c r="U17" s="668">
        <f>H17</f>
        <v>100</v>
      </c>
      <c r="V17" s="667" t="s">
        <v>14</v>
      </c>
      <c r="W17" s="668">
        <f>J17</f>
        <v>100</v>
      </c>
      <c r="X17" s="1265"/>
      <c r="Y17" s="3452"/>
      <c r="Z17" s="1264" t="str">
        <f>Q17</f>
        <v>交通便捷度</v>
      </c>
      <c r="AA17" s="1264">
        <f t="shared" si="3"/>
        <v>1</v>
      </c>
      <c r="AB17" s="1264">
        <f t="shared" si="4"/>
        <v>1</v>
      </c>
      <c r="AC17" s="1264">
        <f t="shared" si="5"/>
        <v>1</v>
      </c>
    </row>
    <row r="18" spans="1:29" ht="15">
      <c r="A18" s="367"/>
      <c r="B18" s="395"/>
      <c r="C18" s="1755" t="s">
        <v>3520</v>
      </c>
      <c r="D18" s="389"/>
      <c r="E18" s="1757" t="s">
        <v>3520</v>
      </c>
      <c r="F18" s="392"/>
      <c r="G18" s="1756" t="s">
        <v>3520</v>
      </c>
      <c r="H18" s="387"/>
      <c r="I18" s="1757" t="s">
        <v>3520</v>
      </c>
      <c r="J18" s="387"/>
      <c r="K18" s="541"/>
      <c r="L18" s="2491"/>
      <c r="M18" s="2486"/>
      <c r="N18" s="2486"/>
      <c r="O18" s="2486"/>
      <c r="P18" s="3450"/>
      <c r="Q18" s="1263"/>
      <c r="R18" s="667"/>
      <c r="S18" s="668"/>
      <c r="T18" s="667"/>
      <c r="U18" s="668"/>
      <c r="V18" s="667"/>
      <c r="W18" s="668"/>
      <c r="X18" s="1265"/>
      <c r="Y18" s="3452"/>
      <c r="Z18" s="1264"/>
      <c r="AA18" s="1264">
        <v>1</v>
      </c>
      <c r="AB18" s="1264">
        <v>1</v>
      </c>
      <c r="AC18" s="1264">
        <v>1</v>
      </c>
    </row>
    <row r="19" spans="1:29" ht="89.25" customHeight="1">
      <c r="A19" s="367"/>
      <c r="B19" s="390" t="s">
        <v>1778</v>
      </c>
      <c r="C19" s="1754" t="str">
        <f>估价对象房地状况!C7</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50"/>
      <c r="Q19" s="1263" t="str">
        <f>B19</f>
        <v>公共配套设施</v>
      </c>
      <c r="R19" s="667" t="s">
        <v>14</v>
      </c>
      <c r="S19" s="668">
        <f>F19</f>
        <v>100</v>
      </c>
      <c r="T19" s="667" t="s">
        <v>14</v>
      </c>
      <c r="U19" s="668">
        <f>H19</f>
        <v>100</v>
      </c>
      <c r="V19" s="667" t="s">
        <v>14</v>
      </c>
      <c r="W19" s="668">
        <f>J19</f>
        <v>100</v>
      </c>
      <c r="X19" s="1265"/>
      <c r="Y19" s="3452"/>
      <c r="Z19" s="1264" t="str">
        <f>Q19</f>
        <v>公共配套设施</v>
      </c>
      <c r="AA19" s="1264">
        <f t="shared" si="3"/>
        <v>1</v>
      </c>
      <c r="AB19" s="1264">
        <f t="shared" si="4"/>
        <v>1</v>
      </c>
      <c r="AC19" s="1264">
        <f t="shared" si="5"/>
        <v>1</v>
      </c>
    </row>
    <row r="20" spans="1:29" ht="15">
      <c r="A20" s="367"/>
      <c r="B20" s="395"/>
      <c r="C20" s="386" t="s">
        <v>3520</v>
      </c>
      <c r="D20" s="387"/>
      <c r="E20" s="386" t="s">
        <v>3520</v>
      </c>
      <c r="F20" s="388"/>
      <c r="G20" s="386" t="s">
        <v>3520</v>
      </c>
      <c r="H20" s="387"/>
      <c r="I20" s="386" t="s">
        <v>3520</v>
      </c>
      <c r="J20" s="387"/>
      <c r="K20" s="541"/>
      <c r="L20" s="2491"/>
      <c r="M20" s="2486"/>
      <c r="N20" s="2486"/>
      <c r="O20" s="2486"/>
      <c r="P20" s="3450"/>
      <c r="Q20" s="1263"/>
      <c r="R20" s="667"/>
      <c r="S20" s="668"/>
      <c r="T20" s="667"/>
      <c r="U20" s="668"/>
      <c r="V20" s="667"/>
      <c r="W20" s="668"/>
      <c r="X20" s="1265"/>
      <c r="Y20" s="3452"/>
      <c r="Z20" s="1264"/>
      <c r="AA20" s="1264">
        <v>1</v>
      </c>
      <c r="AB20" s="1264">
        <v>1</v>
      </c>
      <c r="AC20" s="1264">
        <v>1</v>
      </c>
    </row>
    <row r="21" spans="1:29" ht="42.75">
      <c r="A21" s="367"/>
      <c r="B21" s="586" t="s">
        <v>1779</v>
      </c>
      <c r="C21" s="1754" t="str">
        <f>估价对象房地状况!C8</f>
        <v>估价对象所在区域基础设施水平-七通</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50"/>
      <c r="Q21" s="1263" t="str">
        <f>B21</f>
        <v>基础设施水平</v>
      </c>
      <c r="R21" s="667" t="s">
        <v>14</v>
      </c>
      <c r="S21" s="668">
        <f>F21</f>
        <v>100</v>
      </c>
      <c r="T21" s="667" t="s">
        <v>14</v>
      </c>
      <c r="U21" s="668">
        <f>H21</f>
        <v>100</v>
      </c>
      <c r="V21" s="667" t="s">
        <v>14</v>
      </c>
      <c r="W21" s="668">
        <f>J21</f>
        <v>100</v>
      </c>
      <c r="X21" s="1265"/>
      <c r="Y21" s="3452"/>
      <c r="Z21" s="1264" t="str">
        <f>Q21</f>
        <v>基础设施水平</v>
      </c>
      <c r="AA21" s="1264">
        <f t="shared" ref="AA21" si="8">D21/F21</f>
        <v>1</v>
      </c>
      <c r="AB21" s="1264">
        <f t="shared" ref="AB21" si="9">D21/H21</f>
        <v>1</v>
      </c>
      <c r="AC21" s="1264">
        <f t="shared" ref="AC21" si="10">D21/J21</f>
        <v>1</v>
      </c>
    </row>
    <row r="22" spans="1:29" ht="15">
      <c r="A22" s="367"/>
      <c r="B22" s="586"/>
      <c r="C22" s="1755" t="s">
        <v>3529</v>
      </c>
      <c r="D22" s="387"/>
      <c r="E22" s="1755" t="s">
        <v>3529</v>
      </c>
      <c r="F22" s="388"/>
      <c r="G22" s="1755" t="s">
        <v>3529</v>
      </c>
      <c r="H22" s="387"/>
      <c r="I22" s="1755" t="s">
        <v>3529</v>
      </c>
      <c r="J22" s="387"/>
      <c r="K22" s="1064"/>
      <c r="L22" s="2491"/>
      <c r="M22" s="2486"/>
      <c r="N22" s="2486"/>
      <c r="O22" s="2486"/>
      <c r="P22" s="3450"/>
      <c r="Q22" s="1263"/>
      <c r="R22" s="667"/>
      <c r="S22" s="668"/>
      <c r="T22" s="667"/>
      <c r="U22" s="668"/>
      <c r="V22" s="667"/>
      <c r="W22" s="668"/>
      <c r="X22" s="1265"/>
      <c r="Y22" s="3452"/>
      <c r="Z22" s="1264"/>
      <c r="AA22" s="1264">
        <v>1</v>
      </c>
      <c r="AB22" s="1264">
        <v>1</v>
      </c>
      <c r="AC22" s="1264">
        <v>1</v>
      </c>
    </row>
    <row r="23" spans="1:29" ht="71.25">
      <c r="A23" s="367"/>
      <c r="B23" s="390" t="s">
        <v>1261</v>
      </c>
      <c r="C23" s="1806" t="str">
        <f>估价对象房地状况!C9</f>
        <v>估价对象周边有树村郊野公园、生态花谷、北京体育大学场等自然人文场所，综合评价环境状况较好。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50"/>
      <c r="Q23" s="1263" t="str">
        <f>B23</f>
        <v>自然及人文环境</v>
      </c>
      <c r="R23" s="667" t="s">
        <v>14</v>
      </c>
      <c r="S23" s="668">
        <f>F23</f>
        <v>100</v>
      </c>
      <c r="T23" s="667" t="s">
        <v>14</v>
      </c>
      <c r="U23" s="668">
        <f>H23</f>
        <v>100</v>
      </c>
      <c r="V23" s="667" t="s">
        <v>14</v>
      </c>
      <c r="W23" s="668">
        <f>J23</f>
        <v>100</v>
      </c>
      <c r="X23" s="1265"/>
      <c r="Y23" s="3452"/>
      <c r="Z23" s="1264" t="str">
        <f>Q23</f>
        <v>自然及人文环境</v>
      </c>
      <c r="AA23" s="1264">
        <f t="shared" si="3"/>
        <v>1</v>
      </c>
      <c r="AB23" s="1264">
        <f t="shared" si="4"/>
        <v>1</v>
      </c>
      <c r="AC23" s="1264">
        <f t="shared" si="5"/>
        <v>1</v>
      </c>
    </row>
    <row r="24" spans="1:29" ht="15">
      <c r="A24" s="367"/>
      <c r="B24" s="395"/>
      <c r="C24" s="386" t="s">
        <v>3520</v>
      </c>
      <c r="D24" s="387"/>
      <c r="E24" s="386" t="s">
        <v>3520</v>
      </c>
      <c r="F24" s="388"/>
      <c r="G24" s="386" t="s">
        <v>3520</v>
      </c>
      <c r="H24" s="387"/>
      <c r="I24" s="386" t="s">
        <v>3520</v>
      </c>
      <c r="J24" s="387"/>
      <c r="K24" s="541"/>
      <c r="L24" s="2491"/>
      <c r="M24" s="2486"/>
      <c r="N24" s="2486"/>
      <c r="O24" s="2486"/>
      <c r="P24" s="3450"/>
      <c r="Q24" s="1263"/>
      <c r="R24" s="667"/>
      <c r="S24" s="668"/>
      <c r="T24" s="667"/>
      <c r="U24" s="668"/>
      <c r="V24" s="667"/>
      <c r="W24" s="668"/>
      <c r="X24" s="1265"/>
      <c r="Y24" s="345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50"/>
      <c r="Q25" s="1263" t="str">
        <f t="shared" ref="Q25:Q46" si="11">B25</f>
        <v>临街状况</v>
      </c>
      <c r="R25" s="667" t="s">
        <v>14</v>
      </c>
      <c r="S25" s="668">
        <f>F25</f>
        <v>100</v>
      </c>
      <c r="T25" s="667" t="s">
        <v>14</v>
      </c>
      <c r="U25" s="668">
        <f>H25</f>
        <v>100</v>
      </c>
      <c r="V25" s="667" t="s">
        <v>14</v>
      </c>
      <c r="W25" s="668">
        <f>J25</f>
        <v>100</v>
      </c>
      <c r="X25" s="1265"/>
      <c r="Y25" s="3452"/>
      <c r="Z25" s="1264" t="str">
        <f>Q25</f>
        <v>临街状况</v>
      </c>
      <c r="AA25" s="1264">
        <f t="shared" si="3"/>
        <v>1</v>
      </c>
      <c r="AB25" s="1264">
        <f t="shared" si="4"/>
        <v>1</v>
      </c>
      <c r="AC25" s="1264">
        <f t="shared" si="5"/>
        <v>1</v>
      </c>
    </row>
    <row r="26" spans="1:29" ht="15">
      <c r="A26" s="367"/>
      <c r="B26" s="1066" t="s">
        <v>1781</v>
      </c>
      <c r="C26" s="3209" t="s">
        <v>3589</v>
      </c>
      <c r="D26" s="374">
        <v>100</v>
      </c>
      <c r="E26" s="3209" t="s">
        <v>3588</v>
      </c>
      <c r="F26" s="400">
        <f>SUMIF(88:88,E26,89:89)-SUMIF(88:88,C26,89:89)+100</f>
        <v>110</v>
      </c>
      <c r="G26" s="3209" t="s">
        <v>3588</v>
      </c>
      <c r="H26" s="374">
        <f>SUMIF(88:88,G26,89:89)-SUMIF(88:88,C26,89:89)+100</f>
        <v>110</v>
      </c>
      <c r="I26" s="3209" t="s">
        <v>3588</v>
      </c>
      <c r="J26" s="374">
        <f>SUMIF(88:88,I26,89:89)-SUMIF(88:88,C26,89:89)+100</f>
        <v>110</v>
      </c>
      <c r="K26" s="539"/>
      <c r="L26" s="2491"/>
      <c r="M26" s="2486"/>
      <c r="N26" s="2486"/>
      <c r="O26" s="2486"/>
      <c r="P26" s="3450"/>
      <c r="Q26" s="1263" t="str">
        <f t="shared" si="11"/>
        <v>平面位置/可视性</v>
      </c>
      <c r="R26" s="667" t="s">
        <v>14</v>
      </c>
      <c r="S26" s="668">
        <f>F26</f>
        <v>110</v>
      </c>
      <c r="T26" s="667" t="s">
        <v>14</v>
      </c>
      <c r="U26" s="668">
        <f>H26</f>
        <v>110</v>
      </c>
      <c r="V26" s="667" t="s">
        <v>14</v>
      </c>
      <c r="W26" s="668">
        <f>J26</f>
        <v>110</v>
      </c>
      <c r="X26" s="1265"/>
      <c r="Y26" s="3452"/>
      <c r="Z26" s="1264" t="str">
        <f>Q26</f>
        <v>平面位置/可视性</v>
      </c>
      <c r="AA26" s="1264">
        <f t="shared" si="3"/>
        <v>0.90909090909090906</v>
      </c>
      <c r="AB26" s="1264">
        <f t="shared" si="4"/>
        <v>0.90909090909090906</v>
      </c>
      <c r="AC26" s="1264">
        <f t="shared" si="5"/>
        <v>0.90909090909090906</v>
      </c>
    </row>
    <row r="27" spans="1:29" s="102" customFormat="1" ht="15">
      <c r="A27" s="370"/>
      <c r="B27" s="390" t="s">
        <v>1782</v>
      </c>
      <c r="C27" s="1807" t="s">
        <v>3526</v>
      </c>
      <c r="D27" s="401">
        <v>100</v>
      </c>
      <c r="E27" s="1807" t="s">
        <v>3526</v>
      </c>
      <c r="F27" s="395">
        <f>SUMIF(90:90,E27,91:91)-SUMIF(90:90,C27,91:91)+100</f>
        <v>100</v>
      </c>
      <c r="G27" s="1807" t="s">
        <v>3526</v>
      </c>
      <c r="H27" s="401">
        <f>SUMIF(90:90,G27,91:91)-SUMIF(90:90,C27,91:91)+100</f>
        <v>100</v>
      </c>
      <c r="I27" s="1807" t="s">
        <v>3526</v>
      </c>
      <c r="J27" s="401">
        <f>SUMIF(90:90,I27,91:91)-SUMIF(90:90,C27,91:91)+100</f>
        <v>100</v>
      </c>
      <c r="K27" s="538">
        <v>2</v>
      </c>
      <c r="L27" s="2487"/>
      <c r="M27" s="2438"/>
      <c r="N27" s="2438"/>
      <c r="O27" s="2438"/>
      <c r="P27" s="3450"/>
      <c r="Q27" s="530" t="str">
        <f t="shared" si="11"/>
        <v>人流量</v>
      </c>
      <c r="R27" s="664" t="s">
        <v>14</v>
      </c>
      <c r="S27" s="665">
        <f>F27</f>
        <v>100</v>
      </c>
      <c r="T27" s="664" t="s">
        <v>14</v>
      </c>
      <c r="U27" s="665">
        <f>H27</f>
        <v>100</v>
      </c>
      <c r="V27" s="664" t="s">
        <v>14</v>
      </c>
      <c r="W27" s="665">
        <f>J27</f>
        <v>100</v>
      </c>
      <c r="X27" s="666"/>
      <c r="Y27" s="345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5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52"/>
      <c r="Z28" s="1264" t="str">
        <f t="shared" ref="Z28:Z46" si="15">Q28</f>
        <v>楼层</v>
      </c>
      <c r="AA28" s="1264">
        <f t="shared" si="3"/>
        <v>1</v>
      </c>
      <c r="AB28" s="1264">
        <f t="shared" si="4"/>
        <v>1</v>
      </c>
      <c r="AC28" s="1264">
        <f t="shared" si="5"/>
        <v>1</v>
      </c>
    </row>
    <row r="29" spans="1:29" ht="27">
      <c r="A29" s="367"/>
      <c r="B29" s="3206" t="s">
        <v>3523</v>
      </c>
      <c r="C29" s="3209" t="s">
        <v>3577</v>
      </c>
      <c r="D29" s="374">
        <v>100</v>
      </c>
      <c r="E29" s="3209" t="s">
        <v>3578</v>
      </c>
      <c r="F29" s="400">
        <f>SUMIF(94:94,E29,95:95)-SUMIF(94:94,C29,95:95)+100</f>
        <v>101</v>
      </c>
      <c r="G29" s="3209" t="s">
        <v>3579</v>
      </c>
      <c r="H29" s="374">
        <f>SUMIF(94:94,G29,95:95)-SUMIF(94:94,C29,95:95)+100</f>
        <v>102</v>
      </c>
      <c r="I29" s="3209" t="s">
        <v>3580</v>
      </c>
      <c r="J29" s="374">
        <f>SUMIF(94:94,I29,95:95)-SUMIF(94:94,C29,95:95)+100</f>
        <v>102</v>
      </c>
      <c r="K29" s="539"/>
      <c r="L29" s="2491"/>
      <c r="M29" s="2486"/>
      <c r="N29" s="2486"/>
      <c r="O29" s="2486"/>
      <c r="P29" s="3450"/>
      <c r="Q29" s="1263" t="str">
        <f t="shared" si="11"/>
        <v>临路状况</v>
      </c>
      <c r="R29" s="667" t="s">
        <v>14</v>
      </c>
      <c r="S29" s="668">
        <f t="shared" si="12"/>
        <v>101</v>
      </c>
      <c r="T29" s="667" t="s">
        <v>14</v>
      </c>
      <c r="U29" s="668">
        <f t="shared" si="13"/>
        <v>102</v>
      </c>
      <c r="V29" s="667" t="s">
        <v>14</v>
      </c>
      <c r="W29" s="668">
        <f t="shared" si="14"/>
        <v>102</v>
      </c>
      <c r="X29" s="1265"/>
      <c r="Y29" s="3452"/>
      <c r="Z29" s="1264" t="str">
        <f t="shared" si="15"/>
        <v>临路状况</v>
      </c>
      <c r="AA29" s="1264">
        <f t="shared" si="3"/>
        <v>0.99009900990099009</v>
      </c>
      <c r="AB29" s="1264">
        <f t="shared" si="4"/>
        <v>0.98039215686274506</v>
      </c>
      <c r="AC29" s="1264">
        <f t="shared" si="5"/>
        <v>0.98039215686274506</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50"/>
      <c r="Q30" s="1263">
        <f t="shared" si="11"/>
        <v>111</v>
      </c>
      <c r="R30" s="667" t="s">
        <v>14</v>
      </c>
      <c r="S30" s="668">
        <f t="shared" si="12"/>
        <v>100</v>
      </c>
      <c r="T30" s="667" t="s">
        <v>14</v>
      </c>
      <c r="U30" s="668">
        <f t="shared" si="13"/>
        <v>100</v>
      </c>
      <c r="V30" s="667" t="s">
        <v>14</v>
      </c>
      <c r="W30" s="668">
        <f t="shared" si="14"/>
        <v>100</v>
      </c>
      <c r="X30" s="1265"/>
      <c r="Y30" s="345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50"/>
      <c r="Q31" s="1263">
        <f t="shared" si="11"/>
        <v>111</v>
      </c>
      <c r="R31" s="667" t="s">
        <v>14</v>
      </c>
      <c r="S31" s="668">
        <f t="shared" si="12"/>
        <v>100</v>
      </c>
      <c r="T31" s="667" t="s">
        <v>14</v>
      </c>
      <c r="U31" s="668">
        <f t="shared" si="13"/>
        <v>100</v>
      </c>
      <c r="V31" s="667" t="s">
        <v>14</v>
      </c>
      <c r="W31" s="668">
        <f t="shared" si="14"/>
        <v>100</v>
      </c>
      <c r="X31" s="1265"/>
      <c r="Y31" s="3452"/>
      <c r="Z31" s="1264">
        <f t="shared" si="15"/>
        <v>111</v>
      </c>
      <c r="AA31" s="1264">
        <f t="shared" si="3"/>
        <v>1</v>
      </c>
      <c r="AB31" s="1264">
        <f t="shared" si="4"/>
        <v>1</v>
      </c>
      <c r="AC31" s="1264">
        <f t="shared" si="5"/>
        <v>1</v>
      </c>
    </row>
    <row r="32" spans="1:29" ht="15">
      <c r="A32" s="379" t="s">
        <v>1694</v>
      </c>
      <c r="B32" s="60" t="s">
        <v>1784</v>
      </c>
      <c r="C32" s="1764" t="s">
        <v>3551</v>
      </c>
      <c r="D32" s="405">
        <v>100</v>
      </c>
      <c r="E32" s="1764" t="s">
        <v>3553</v>
      </c>
      <c r="F32" s="400">
        <f>SUMIF(100:100,E32,101:101)-SUMIF(100:100,C32,101:101)+100</f>
        <v>99</v>
      </c>
      <c r="G32" s="1764" t="s">
        <v>3551</v>
      </c>
      <c r="H32" s="374">
        <f>SUMIF(100:100,G32,101:101)-SUMIF(100:100,C32,101:101)+100</f>
        <v>100</v>
      </c>
      <c r="I32" s="1764" t="s">
        <v>3551</v>
      </c>
      <c r="J32" s="405">
        <f>SUMIF(100:100,I32,101:101)-SUMIF(100:100,C32,101:101)+100</f>
        <v>100</v>
      </c>
      <c r="K32" s="538">
        <v>1</v>
      </c>
      <c r="L32" s="2491"/>
      <c r="M32" s="2486"/>
      <c r="N32" s="2486"/>
      <c r="O32" s="2486"/>
      <c r="P32" s="3453" t="s">
        <v>1696</v>
      </c>
      <c r="Q32" s="1263" t="str">
        <f t="shared" si="11"/>
        <v>商业类型</v>
      </c>
      <c r="R32" s="667" t="s">
        <v>14</v>
      </c>
      <c r="S32" s="668">
        <f t="shared" si="12"/>
        <v>99</v>
      </c>
      <c r="T32" s="667" t="s">
        <v>14</v>
      </c>
      <c r="U32" s="668">
        <f t="shared" si="13"/>
        <v>100</v>
      </c>
      <c r="V32" s="667" t="s">
        <v>14</v>
      </c>
      <c r="W32" s="668">
        <f t="shared" si="14"/>
        <v>100</v>
      </c>
      <c r="X32" s="1265"/>
      <c r="Y32" s="3456" t="s">
        <v>1696</v>
      </c>
      <c r="Z32" s="1264" t="str">
        <f t="shared" si="15"/>
        <v>商业类型</v>
      </c>
      <c r="AA32" s="1264">
        <f t="shared" si="3"/>
        <v>1.0101010101010102</v>
      </c>
      <c r="AB32" s="1264">
        <f t="shared" si="4"/>
        <v>1</v>
      </c>
      <c r="AC32" s="1264">
        <f t="shared" si="5"/>
        <v>1</v>
      </c>
    </row>
    <row r="33" spans="1:29" s="408" customFormat="1" ht="15">
      <c r="A33" s="406"/>
      <c r="B33" s="364" t="s">
        <v>1697</v>
      </c>
      <c r="C33" s="407">
        <f>'数据-汇总表'!G19</f>
        <v>4769.92</v>
      </c>
      <c r="D33" s="119">
        <v>100</v>
      </c>
      <c r="E33" s="369">
        <f>Sheet2!K5</f>
        <v>350</v>
      </c>
      <c r="F33" s="364">
        <f>LOOKUP(E33,103:103,104:104)-LOOKUP(C33,103:103,104:104)+100</f>
        <v>108</v>
      </c>
      <c r="G33" s="368">
        <f>Sheet2!K6</f>
        <v>208</v>
      </c>
      <c r="H33" s="119">
        <f>LOOKUP(G33,103:103,104:104)-LOOKUP(C33,103:103,104:104)+100</f>
        <v>108</v>
      </c>
      <c r="I33" s="368">
        <f>Sheet2!K7</f>
        <v>270</v>
      </c>
      <c r="J33" s="119">
        <f>LOOKUP(I33,103:103,104:104)-LOOKUP(C33,103:103,104:104)+100</f>
        <v>108</v>
      </c>
      <c r="K33" s="539"/>
      <c r="L33" s="2490"/>
      <c r="M33" s="2492"/>
      <c r="N33" s="2492"/>
      <c r="O33" s="2492"/>
      <c r="P33" s="3454"/>
      <c r="Q33" s="531" t="str">
        <f t="shared" si="11"/>
        <v>项目建筑规模</v>
      </c>
      <c r="R33" s="669" t="s">
        <v>14</v>
      </c>
      <c r="S33" s="670">
        <f t="shared" si="12"/>
        <v>108</v>
      </c>
      <c r="T33" s="669" t="s">
        <v>14</v>
      </c>
      <c r="U33" s="670">
        <f t="shared" si="13"/>
        <v>108</v>
      </c>
      <c r="V33" s="669" t="s">
        <v>14</v>
      </c>
      <c r="W33" s="670">
        <f t="shared" si="14"/>
        <v>108</v>
      </c>
      <c r="X33" s="671"/>
      <c r="Y33" s="3456"/>
      <c r="Z33" s="672" t="str">
        <f t="shared" si="15"/>
        <v>项目建筑规模</v>
      </c>
      <c r="AA33" s="1264">
        <f t="shared" si="3"/>
        <v>0.92592592592592593</v>
      </c>
      <c r="AB33" s="1264">
        <f t="shared" si="4"/>
        <v>0.92592592592592593</v>
      </c>
      <c r="AC33" s="1264">
        <f t="shared" si="5"/>
        <v>0.92592592592592593</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54"/>
      <c r="Q34" s="1263" t="str">
        <f t="shared" si="11"/>
        <v>建筑结构</v>
      </c>
      <c r="R34" s="667" t="s">
        <v>14</v>
      </c>
      <c r="S34" s="668">
        <f t="shared" si="12"/>
        <v>100</v>
      </c>
      <c r="T34" s="667" t="s">
        <v>14</v>
      </c>
      <c r="U34" s="668">
        <f t="shared" si="13"/>
        <v>100</v>
      </c>
      <c r="V34" s="667" t="s">
        <v>14</v>
      </c>
      <c r="W34" s="668">
        <f t="shared" si="14"/>
        <v>100</v>
      </c>
      <c r="X34" s="1265"/>
      <c r="Y34" s="345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54"/>
      <c r="Q35" s="1263" t="str">
        <f t="shared" si="11"/>
        <v>公共部分装修</v>
      </c>
      <c r="R35" s="667" t="s">
        <v>14</v>
      </c>
      <c r="S35" s="668">
        <f t="shared" si="12"/>
        <v>100</v>
      </c>
      <c r="T35" s="667" t="s">
        <v>14</v>
      </c>
      <c r="U35" s="668">
        <f t="shared" si="13"/>
        <v>100</v>
      </c>
      <c r="V35" s="667" t="s">
        <v>14</v>
      </c>
      <c r="W35" s="668">
        <f t="shared" si="14"/>
        <v>100</v>
      </c>
      <c r="X35" s="1265"/>
      <c r="Y35" s="3456"/>
      <c r="Z35" s="1264" t="str">
        <f t="shared" si="15"/>
        <v>公共部分装修</v>
      </c>
      <c r="AA35" s="1264">
        <f t="shared" si="3"/>
        <v>1</v>
      </c>
      <c r="AB35" s="1264">
        <f t="shared" si="4"/>
        <v>1</v>
      </c>
      <c r="AC35" s="1264">
        <f t="shared" si="5"/>
        <v>1</v>
      </c>
    </row>
    <row r="36" spans="1:29" ht="15">
      <c r="A36" s="409"/>
      <c r="B36" s="364" t="s">
        <v>1786</v>
      </c>
      <c r="C36" s="411">
        <f>'数据-取费表'!N6</f>
        <v>0.72</v>
      </c>
      <c r="D36" s="374">
        <v>100</v>
      </c>
      <c r="E36" s="411">
        <f>C36</f>
        <v>0.72</v>
      </c>
      <c r="F36" s="400">
        <f>LOOKUP(E36,110:110,111:111)-LOOKUP(C36,110:110,111:111)+100</f>
        <v>100</v>
      </c>
      <c r="G36" s="411">
        <f>E36</f>
        <v>0.72</v>
      </c>
      <c r="H36" s="400">
        <f>LOOKUP(G36,110:110,111:111)-LOOKUP(C36,110:110,111:111)+100</f>
        <v>100</v>
      </c>
      <c r="I36" s="411">
        <f>G36</f>
        <v>0.72</v>
      </c>
      <c r="J36" s="374">
        <f>LOOKUP(I36,110:110,111:111)-LOOKUP(C36,110:110,111:111)+100</f>
        <v>100</v>
      </c>
      <c r="K36" s="538"/>
      <c r="L36" s="2491"/>
      <c r="M36" s="2486"/>
      <c r="N36" s="2486"/>
      <c r="O36" s="2486"/>
      <c r="P36" s="3454"/>
      <c r="Q36" s="1263" t="str">
        <f t="shared" si="11"/>
        <v>成新度</v>
      </c>
      <c r="R36" s="667" t="s">
        <v>14</v>
      </c>
      <c r="S36" s="668">
        <f t="shared" si="12"/>
        <v>100</v>
      </c>
      <c r="T36" s="667" t="s">
        <v>14</v>
      </c>
      <c r="U36" s="668">
        <f t="shared" si="13"/>
        <v>100</v>
      </c>
      <c r="V36" s="667" t="s">
        <v>14</v>
      </c>
      <c r="W36" s="668">
        <f t="shared" si="14"/>
        <v>100</v>
      </c>
      <c r="X36" s="1265"/>
      <c r="Y36" s="3456"/>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454"/>
      <c r="Q37" s="530" t="str">
        <f t="shared" si="11"/>
        <v>市政基础设施</v>
      </c>
      <c r="R37" s="664" t="s">
        <v>14</v>
      </c>
      <c r="S37" s="665">
        <f t="shared" si="12"/>
        <v>100</v>
      </c>
      <c r="T37" s="664" t="s">
        <v>14</v>
      </c>
      <c r="U37" s="665">
        <f t="shared" si="13"/>
        <v>100</v>
      </c>
      <c r="V37" s="664" t="s">
        <v>14</v>
      </c>
      <c r="W37" s="665">
        <f t="shared" si="14"/>
        <v>100</v>
      </c>
      <c r="X37" s="666"/>
      <c r="Y37" s="345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54" t="s">
        <v>1696</v>
      </c>
      <c r="Q38" s="1263" t="str">
        <f t="shared" si="11"/>
        <v>业态</v>
      </c>
      <c r="R38" s="667" t="s">
        <v>14</v>
      </c>
      <c r="S38" s="668">
        <f t="shared" si="12"/>
        <v>100</v>
      </c>
      <c r="T38" s="667" t="s">
        <v>14</v>
      </c>
      <c r="U38" s="668">
        <f t="shared" si="13"/>
        <v>100</v>
      </c>
      <c r="V38" s="667" t="s">
        <v>14</v>
      </c>
      <c r="W38" s="668">
        <f t="shared" si="14"/>
        <v>100</v>
      </c>
      <c r="X38" s="1265"/>
      <c r="Y38" s="345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54"/>
      <c r="Q39" s="1263" t="str">
        <f t="shared" si="11"/>
        <v>层高</v>
      </c>
      <c r="R39" s="667" t="s">
        <v>14</v>
      </c>
      <c r="S39" s="668">
        <f t="shared" si="12"/>
        <v>100</v>
      </c>
      <c r="T39" s="667" t="s">
        <v>14</v>
      </c>
      <c r="U39" s="668">
        <f t="shared" si="13"/>
        <v>100</v>
      </c>
      <c r="V39" s="667" t="s">
        <v>14</v>
      </c>
      <c r="W39" s="668">
        <f t="shared" si="14"/>
        <v>100</v>
      </c>
      <c r="X39" s="1265"/>
      <c r="Y39" s="345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54"/>
      <c r="Q40" s="1263" t="str">
        <f t="shared" si="11"/>
        <v>单套建筑面积</v>
      </c>
      <c r="R40" s="667" t="s">
        <v>14</v>
      </c>
      <c r="S40" s="668">
        <f t="shared" si="12"/>
        <v>100</v>
      </c>
      <c r="T40" s="667" t="s">
        <v>14</v>
      </c>
      <c r="U40" s="668">
        <f t="shared" si="13"/>
        <v>100</v>
      </c>
      <c r="V40" s="667" t="s">
        <v>14</v>
      </c>
      <c r="W40" s="668">
        <f t="shared" si="14"/>
        <v>100</v>
      </c>
      <c r="X40" s="1265"/>
      <c r="Y40" s="345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54"/>
      <c r="Q41" s="531" t="str">
        <f t="shared" si="11"/>
        <v>进深比</v>
      </c>
      <c r="R41" s="669" t="s">
        <v>14</v>
      </c>
      <c r="S41" s="670">
        <f t="shared" si="12"/>
        <v>100</v>
      </c>
      <c r="T41" s="669" t="s">
        <v>14</v>
      </c>
      <c r="U41" s="670">
        <f t="shared" si="13"/>
        <v>100</v>
      </c>
      <c r="V41" s="669" t="s">
        <v>14</v>
      </c>
      <c r="W41" s="670">
        <f t="shared" si="14"/>
        <v>100</v>
      </c>
      <c r="X41" s="671"/>
      <c r="Y41" s="3456"/>
      <c r="Z41" s="672" t="str">
        <f t="shared" si="15"/>
        <v>进深比</v>
      </c>
      <c r="AA41" s="1264">
        <f t="shared" si="3"/>
        <v>1</v>
      </c>
      <c r="AB41" s="1264">
        <f t="shared" si="4"/>
        <v>1</v>
      </c>
      <c r="AC41" s="1264">
        <f t="shared" si="5"/>
        <v>1</v>
      </c>
    </row>
    <row r="42" spans="1:29" ht="15">
      <c r="A42" s="409"/>
      <c r="B42" s="364" t="s">
        <v>1792</v>
      </c>
      <c r="C42" s="1760" t="s">
        <v>3581</v>
      </c>
      <c r="D42" s="374">
        <v>100</v>
      </c>
      <c r="E42" s="1760" t="s">
        <v>3581</v>
      </c>
      <c r="F42" s="400">
        <f>SUMIF(122:122,E42,123:123)-SUMIF(122:122,C42,123:123)+100</f>
        <v>100</v>
      </c>
      <c r="G42" s="1760" t="s">
        <v>3581</v>
      </c>
      <c r="H42" s="374">
        <f>SUMIF(122:122,G42,123:123)-SUMIF(122:122,C42,123:123)+100</f>
        <v>100</v>
      </c>
      <c r="I42" s="1760" t="s">
        <v>3581</v>
      </c>
      <c r="J42" s="374">
        <f>SUMIF(122:122,I42,123:123)-SUMIF(122:122,C42,123:123)+100</f>
        <v>100</v>
      </c>
      <c r="K42" s="538">
        <v>2</v>
      </c>
      <c r="L42" s="2491"/>
      <c r="M42" s="2486"/>
      <c r="N42" s="2486"/>
      <c r="O42" s="2486"/>
      <c r="P42" s="3454"/>
      <c r="Q42" s="1263" t="str">
        <f t="shared" si="11"/>
        <v>内部装修</v>
      </c>
      <c r="R42" s="667" t="s">
        <v>14</v>
      </c>
      <c r="S42" s="668">
        <f t="shared" si="12"/>
        <v>100</v>
      </c>
      <c r="T42" s="667" t="s">
        <v>14</v>
      </c>
      <c r="U42" s="668">
        <f t="shared" si="13"/>
        <v>100</v>
      </c>
      <c r="V42" s="667" t="s">
        <v>14</v>
      </c>
      <c r="W42" s="668">
        <f t="shared" si="14"/>
        <v>100</v>
      </c>
      <c r="X42" s="1265"/>
      <c r="Y42" s="345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54"/>
      <c r="Q43" s="1263" t="str">
        <f t="shared" si="11"/>
        <v>内部装修维护情况</v>
      </c>
      <c r="R43" s="667" t="s">
        <v>14</v>
      </c>
      <c r="S43" s="668">
        <f t="shared" si="12"/>
        <v>100</v>
      </c>
      <c r="T43" s="667" t="s">
        <v>14</v>
      </c>
      <c r="U43" s="668">
        <f t="shared" si="13"/>
        <v>100</v>
      </c>
      <c r="V43" s="667" t="s">
        <v>14</v>
      </c>
      <c r="W43" s="668">
        <f t="shared" si="14"/>
        <v>100</v>
      </c>
      <c r="X43" s="1265"/>
      <c r="Y43" s="345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54"/>
      <c r="Q44" s="530">
        <f t="shared" si="11"/>
        <v>111</v>
      </c>
      <c r="R44" s="664" t="s">
        <v>14</v>
      </c>
      <c r="S44" s="665">
        <f t="shared" si="12"/>
        <v>100</v>
      </c>
      <c r="T44" s="664" t="s">
        <v>14</v>
      </c>
      <c r="U44" s="665">
        <f t="shared" si="13"/>
        <v>100</v>
      </c>
      <c r="V44" s="664" t="s">
        <v>14</v>
      </c>
      <c r="W44" s="665">
        <f t="shared" si="14"/>
        <v>100</v>
      </c>
      <c r="X44" s="666"/>
      <c r="Y44" s="345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54"/>
      <c r="Q45" s="1263">
        <f t="shared" si="11"/>
        <v>111</v>
      </c>
      <c r="R45" s="667" t="s">
        <v>14</v>
      </c>
      <c r="S45" s="668">
        <f t="shared" si="12"/>
        <v>100</v>
      </c>
      <c r="T45" s="667" t="s">
        <v>14</v>
      </c>
      <c r="U45" s="668">
        <f t="shared" si="13"/>
        <v>100</v>
      </c>
      <c r="V45" s="667" t="s">
        <v>14</v>
      </c>
      <c r="W45" s="668">
        <f t="shared" si="14"/>
        <v>100</v>
      </c>
      <c r="X45" s="1265"/>
      <c r="Y45" s="345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55"/>
      <c r="Q46" s="1263">
        <f t="shared" si="11"/>
        <v>111</v>
      </c>
      <c r="R46" s="667" t="s">
        <v>14</v>
      </c>
      <c r="S46" s="668">
        <f t="shared" si="12"/>
        <v>100</v>
      </c>
      <c r="T46" s="667" t="s">
        <v>14</v>
      </c>
      <c r="U46" s="668">
        <f t="shared" si="13"/>
        <v>100</v>
      </c>
      <c r="V46" s="667" t="s">
        <v>14</v>
      </c>
      <c r="W46" s="668">
        <f t="shared" si="14"/>
        <v>100</v>
      </c>
      <c r="X46" s="1265"/>
      <c r="Y46" s="3457"/>
      <c r="Z46" s="1264">
        <f t="shared" si="15"/>
        <v>111</v>
      </c>
      <c r="AA46" s="1264">
        <f t="shared" si="3"/>
        <v>1</v>
      </c>
      <c r="AB46" s="1264">
        <f t="shared" si="4"/>
        <v>1</v>
      </c>
      <c r="AC46" s="1264">
        <f t="shared" si="5"/>
        <v>1</v>
      </c>
    </row>
    <row r="47" spans="1:29" ht="15">
      <c r="A47" s="416" t="s">
        <v>1708</v>
      </c>
      <c r="B47" s="417"/>
      <c r="C47" s="1081" t="s">
        <v>0</v>
      </c>
      <c r="D47" s="418"/>
      <c r="E47" s="419">
        <f>Sheet2!L5</f>
        <v>7.5</v>
      </c>
      <c r="F47" s="420"/>
      <c r="G47" s="421">
        <f>Sheet2!L6</f>
        <v>7.69</v>
      </c>
      <c r="H47" s="422"/>
      <c r="I47" s="419">
        <f>Sheet2!L7</f>
        <v>7.5</v>
      </c>
      <c r="J47" s="422"/>
      <c r="K47" s="674"/>
      <c r="L47" s="2493"/>
      <c r="M47" s="2486"/>
      <c r="N47" s="2486"/>
      <c r="O47" s="2486"/>
      <c r="P47" s="3444" t="str">
        <f>A47</f>
        <v>成交单价（元/平方米）</v>
      </c>
      <c r="Q47" s="3444"/>
      <c r="R47" s="3445">
        <f>E47</f>
        <v>7.5</v>
      </c>
      <c r="S47" s="3445"/>
      <c r="T47" s="3445">
        <f>G47</f>
        <v>7.69</v>
      </c>
      <c r="U47" s="3445"/>
      <c r="V47" s="3445">
        <f>I47</f>
        <v>7.5</v>
      </c>
      <c r="W47" s="3445"/>
      <c r="X47" s="385"/>
      <c r="Y47" s="673"/>
      <c r="Z47" s="385"/>
      <c r="AA47" s="385"/>
      <c r="AB47" s="385"/>
      <c r="AC47" s="385"/>
    </row>
    <row r="48" spans="1:29" ht="15.75" thickBot="1">
      <c r="A48" s="423" t="s">
        <v>1793</v>
      </c>
      <c r="B48" s="424"/>
      <c r="C48" s="1082">
        <f>R49</f>
        <v>6.16</v>
      </c>
      <c r="D48" s="2141" t="s">
        <v>2138</v>
      </c>
      <c r="E48" s="1083">
        <f>R48</f>
        <v>6.19</v>
      </c>
      <c r="F48" s="2142"/>
      <c r="G48" s="1082">
        <f>T48</f>
        <v>6.22</v>
      </c>
      <c r="H48" s="2142"/>
      <c r="I48" s="1083">
        <f>V48</f>
        <v>6.07</v>
      </c>
      <c r="J48" s="2142"/>
      <c r="K48" s="2144">
        <f>F48+H48+J48</f>
        <v>0</v>
      </c>
      <c r="L48" s="2493"/>
      <c r="M48" s="2486"/>
      <c r="N48" s="2486"/>
      <c r="O48" s="2486"/>
      <c r="P48" s="3444" t="str">
        <f>A48</f>
        <v>比较价值（元/平方米）</v>
      </c>
      <c r="Q48" s="3444"/>
      <c r="R48" s="3445">
        <f>IF(F1="售价",ROUND(PRODUCT(R47,AA7:AA46),0),ROUND(PRODUCT(R47,AA7:AA46),2))</f>
        <v>6.19</v>
      </c>
      <c r="S48" s="3445"/>
      <c r="T48" s="3445">
        <f>IF(F1="售价",ROUND(PRODUCT(T47,AB7:AB46),0),ROUND(PRODUCT(T47,AB7:AB46),2))</f>
        <v>6.22</v>
      </c>
      <c r="U48" s="3445"/>
      <c r="V48" s="3445">
        <f>IF(F1="售价",ROUND(PRODUCT(V47,AC7:AC46),0),ROUND(PRODUCT(V47,AC7:AC46),2))</f>
        <v>6.07</v>
      </c>
      <c r="W48" s="3445"/>
      <c r="X48" s="385"/>
      <c r="Y48" s="385"/>
      <c r="Z48" s="385"/>
      <c r="AA48" s="385"/>
      <c r="AB48" s="385"/>
      <c r="AC48" s="385"/>
    </row>
    <row r="49" spans="1:29" ht="15.75" thickBot="1">
      <c r="A49" s="427" t="s">
        <v>1794</v>
      </c>
      <c r="B49" s="428"/>
      <c r="C49" s="351">
        <f>R49</f>
        <v>6.16</v>
      </c>
      <c r="D49" s="351"/>
      <c r="E49" s="351"/>
      <c r="F49" s="351"/>
      <c r="G49" s="351"/>
      <c r="H49" s="351"/>
      <c r="I49" s="351"/>
      <c r="J49" s="351"/>
      <c r="K49" s="675"/>
      <c r="L49" s="2493"/>
      <c r="M49" s="2486"/>
      <c r="N49" s="2486"/>
      <c r="O49" s="2486"/>
      <c r="P49" s="3446" t="str">
        <f>A49</f>
        <v>估价对象XX用房的比较价值（楼面单价，元/平方米）</v>
      </c>
      <c r="Q49" s="3447"/>
      <c r="R49" s="3448">
        <f>IF(F1="售价",ROUND(IF(D48="简单平均",AVERAGE(R48:V48),R48*F48+T48*H48+V48*J48),0),ROUND(IF(D48="简单平均",AVERAGE(R48:V48),R48*F48+T48*H48+V48*J48),2))</f>
        <v>6.16</v>
      </c>
      <c r="S49" s="3448"/>
      <c r="T49" s="3448"/>
      <c r="U49" s="3448"/>
      <c r="V49" s="3448"/>
      <c r="W49" s="344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0.21163166397415178</v>
      </c>
      <c r="F52" s="435" t="str">
        <f>IF(OR(E52&gt;=0.3,E52&lt;=-0.3),"超过30%","")</f>
        <v/>
      </c>
      <c r="G52" s="434">
        <f>IF(G47&lt;G48,G48/G47-1,G47/G48-1)</f>
        <v>0.23633440514469473</v>
      </c>
      <c r="H52" s="435" t="str">
        <f>IF(OR(G52&gt;=0.3,G52&lt;=-0.3),"超过30%","")</f>
        <v/>
      </c>
      <c r="I52" s="434">
        <f>IF(I47&lt;I48,I48/I47-1,I47/I48-1)</f>
        <v>0.23558484349258646</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4.8465266558965769E-3</v>
      </c>
      <c r="F53" s="435" t="str">
        <f>IF(OR(E53&gt;=0.2,E53&lt;=-0.2),"超过20%","")</f>
        <v/>
      </c>
      <c r="G53" s="434">
        <f>IF(G48&lt;I48,I48/G48-1,G48/I48-1)</f>
        <v>2.4711696869851751E-2</v>
      </c>
      <c r="H53" s="435" t="str">
        <f>IF(OR(G53&gt;=0.2,G53&lt;=-0.2),"超过20%","")</f>
        <v/>
      </c>
      <c r="I53" s="434">
        <f>IF(I48&lt;E48,E48/I48-1,I48/E48-1)</f>
        <v>1.976935749588149E-2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2.533333333333343E-2</v>
      </c>
      <c r="F54" s="435" t="str">
        <f>IF(OR(E54&gt;=0.3,E54&lt;=-0.3),"超过30%","")</f>
        <v/>
      </c>
      <c r="G54" s="434">
        <f>IF(G47&lt;I47,I47/G47-1,G47/I47-1)</f>
        <v>2.533333333333343E-2</v>
      </c>
      <c r="H54" s="435" t="str">
        <f>IF(OR(G54&gt;=0.3,G54&lt;=-0.3),"超过30%","")</f>
        <v/>
      </c>
      <c r="I54" s="434">
        <f>IF(I47&lt;E47,E47/I47-1,I47/E47-1)</f>
        <v>0</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2024-3</v>
      </c>
      <c r="D58" s="1104">
        <f>EDATE(C58,-1)</f>
        <v>45323</v>
      </c>
      <c r="E58" s="1104">
        <f t="shared" ref="E58:N58" si="16">EDATE(D58,-1)</f>
        <v>45292</v>
      </c>
      <c r="F58" s="1104">
        <f t="shared" si="16"/>
        <v>45261</v>
      </c>
      <c r="G58" s="1104">
        <f t="shared" si="16"/>
        <v>45231</v>
      </c>
      <c r="H58" s="1104">
        <f t="shared" si="16"/>
        <v>45200</v>
      </c>
      <c r="I58" s="1104">
        <f t="shared" si="16"/>
        <v>45170</v>
      </c>
      <c r="J58" s="1104">
        <f t="shared" si="16"/>
        <v>45139</v>
      </c>
      <c r="K58" s="1104">
        <f t="shared" si="16"/>
        <v>45108</v>
      </c>
      <c r="L58" s="1104">
        <f t="shared" si="16"/>
        <v>45078</v>
      </c>
      <c r="M58" s="1104">
        <f t="shared" si="16"/>
        <v>45047</v>
      </c>
      <c r="N58" s="1104">
        <f t="shared" si="16"/>
        <v>45017</v>
      </c>
      <c r="O58" s="1104">
        <f>EDATE(N58,-1)</f>
        <v>44986</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v>100</v>
      </c>
      <c r="E59" s="446">
        <v>100</v>
      </c>
      <c r="F59" s="446">
        <v>100</v>
      </c>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214" t="s">
        <v>3549</v>
      </c>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v>102</v>
      </c>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1</v>
      </c>
      <c r="E68" s="480">
        <v>2</v>
      </c>
      <c r="F68" s="480">
        <v>3</v>
      </c>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3207" t="s">
        <v>3588</v>
      </c>
      <c r="D88" s="3207" t="s">
        <v>3594</v>
      </c>
      <c r="E88" s="3207" t="s">
        <v>3589</v>
      </c>
      <c r="F88" s="1780"/>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v>100</v>
      </c>
      <c r="D89" s="467">
        <f>C89-5</f>
        <v>95</v>
      </c>
      <c r="E89" s="467">
        <f>D89-5</f>
        <v>90</v>
      </c>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3207" t="s">
        <v>3550</v>
      </c>
      <c r="D90" s="3207" t="s">
        <v>3527</v>
      </c>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27.75" thickTop="1">
      <c r="A94" s="367"/>
      <c r="B94" s="469" t="str">
        <f>B29</f>
        <v>临路状况</v>
      </c>
      <c r="C94" s="3209" t="s">
        <v>3579</v>
      </c>
      <c r="D94" s="3209" t="s">
        <v>3580</v>
      </c>
      <c r="E94" s="3209" t="s">
        <v>3578</v>
      </c>
      <c r="F94" s="3207" t="s">
        <v>3577</v>
      </c>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v>100</v>
      </c>
      <c r="D95" s="467">
        <v>100</v>
      </c>
      <c r="E95" s="467">
        <v>99</v>
      </c>
      <c r="F95" s="467">
        <v>98</v>
      </c>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215" t="s">
        <v>3552</v>
      </c>
      <c r="D100" s="3215" t="s">
        <v>3554</v>
      </c>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99</v>
      </c>
      <c r="E101" s="475">
        <f t="shared" si="22"/>
        <v>98</v>
      </c>
      <c r="F101" s="475">
        <f t="shared" si="22"/>
        <v>97</v>
      </c>
      <c r="G101" s="475">
        <f t="shared" si="22"/>
        <v>96</v>
      </c>
      <c r="H101" s="475">
        <f t="shared" si="22"/>
        <v>95</v>
      </c>
      <c r="I101" s="475">
        <f t="shared" si="22"/>
        <v>94</v>
      </c>
      <c r="J101" s="475">
        <f t="shared" si="22"/>
        <v>93</v>
      </c>
      <c r="K101" s="475">
        <f t="shared" si="22"/>
        <v>92</v>
      </c>
      <c r="L101" s="475">
        <f t="shared" si="22"/>
        <v>91</v>
      </c>
      <c r="M101" s="476">
        <f t="shared" si="22"/>
        <v>90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0(含)-100</v>
      </c>
      <c r="D102" s="509" t="str">
        <f t="shared" ref="D102:L102" si="23">D103&amp;"(含)"&amp;"-"&amp;E103</f>
        <v>100(含)-500</v>
      </c>
      <c r="E102" s="509" t="str">
        <f t="shared" si="23"/>
        <v>500(含)-1000</v>
      </c>
      <c r="F102" s="509" t="str">
        <f t="shared" si="23"/>
        <v>1000(含)-2000</v>
      </c>
      <c r="G102" s="509" t="str">
        <f t="shared" si="23"/>
        <v>2000(含)-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500</v>
      </c>
      <c r="F103" s="6">
        <v>1000</v>
      </c>
      <c r="G103" s="6">
        <v>2000</v>
      </c>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96</v>
      </c>
      <c r="D104" s="467">
        <v>100</v>
      </c>
      <c r="E104" s="467">
        <v>96</v>
      </c>
      <c r="F104" s="467">
        <v>94</v>
      </c>
      <c r="G104" s="467">
        <v>92</v>
      </c>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207" t="s">
        <v>3582</v>
      </c>
      <c r="D122" s="3207" t="s">
        <v>3583</v>
      </c>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F7:F46 H7:H46 J7:J46">
    <cfRule type="cellIs" dxfId="134" priority="1" operator="notEqual">
      <formula>100</formula>
    </cfRule>
  </conditionalFormatting>
  <conditionalFormatting sqref="F48">
    <cfRule type="expression" dxfId="133" priority="4">
      <formula>$D$48="简单平均"</formula>
    </cfRule>
  </conditionalFormatting>
  <conditionalFormatting sqref="F52:F54 H52:H54">
    <cfRule type="containsText" dxfId="132" priority="17" stopIfTrue="1" operator="containsText" text="超过">
      <formula>NOT(ISERROR(SEARCH("超过",F52)))</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G54">
    <cfRule type="expression" dxfId="129" priority="13" stopIfTrue="1">
      <formula>$H$54="超过30%"</formula>
    </cfRule>
  </conditionalFormatting>
  <conditionalFormatting sqref="H48">
    <cfRule type="expression" dxfId="128" priority="3">
      <formula>$D$48="简单平均"</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J48">
    <cfRule type="expression" dxfId="124" priority="2">
      <formula>$D$48="简单平均"</formula>
    </cfRule>
  </conditionalFormatting>
  <conditionalFormatting sqref="J52:J54">
    <cfRule type="containsText" dxfId="12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I20 C20 E20 G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C24 E24 G24 I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G42 E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G16 E16 I16" xr:uid="{00000000-0002-0000-1A00-000012000000}">
      <formula1>商业繁华度</formula1>
    </dataValidation>
    <dataValidation type="list" allowBlank="1" showInputMessage="1" showErrorMessage="1" sqref="C22 I22 E22 G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28" zoomScale="90" zoomScaleNormal="70" zoomScaleSheetLayoutView="90" workbookViewId="0">
      <selection activeCell="B33" sqref="B3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7633.6806999999999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16004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41471648</v>
      </c>
      <c r="D5" s="203" t="s">
        <v>1469</v>
      </c>
      <c r="E5" s="204" t="s">
        <v>1470</v>
      </c>
      <c r="F5" s="204" t="s">
        <v>1471</v>
      </c>
      <c r="G5" s="205"/>
    </row>
    <row r="6" spans="1:8" s="206" customFormat="1" ht="13.5" customHeight="1">
      <c r="A6" s="732" t="s">
        <v>1472</v>
      </c>
      <c r="B6" s="207" t="s">
        <v>1473</v>
      </c>
      <c r="C6" s="208">
        <f>ROUND('基准地价修正-商业'!C37*'基准地价修正-商业'!D37,0)</f>
        <v>39318451</v>
      </c>
      <c r="D6" s="209"/>
      <c r="E6" s="210"/>
      <c r="F6" s="210"/>
      <c r="G6" s="211"/>
    </row>
    <row r="7" spans="1:8" s="206" customFormat="1" ht="13.5" customHeight="1">
      <c r="A7" s="732" t="s">
        <v>1474</v>
      </c>
      <c r="B7" s="207" t="s">
        <v>1475</v>
      </c>
      <c r="C7" s="212">
        <f>ROUND(C6*F7,0)</f>
        <v>1199213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953984</v>
      </c>
      <c r="D8" s="214"/>
      <c r="E8" s="212"/>
      <c r="F8" s="213"/>
      <c r="G8" s="1714" t="s">
        <v>3517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953984</v>
      </c>
      <c r="D10" s="795">
        <f ca="1">IF(B1="",'数据-汇总表'!E6,IF(INDIRECT("'数据-取费表'!c"&amp;$G$1)="住宅",INDIRECT("'数据-取费表'!s"&amp;$G$1),INDIRECT("'数据-取费表'!k"&amp;$G$1)+INDIRECT("'数据-取费表'!s"&amp;$G$1)))</f>
        <v>4769.92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4769.92</v>
      </c>
      <c r="E19" s="203">
        <f>'数据-取费表'!B31</f>
        <v>200</v>
      </c>
      <c r="F19" s="223"/>
      <c r="G19" s="1714" t="s">
        <v>3518</v>
      </c>
    </row>
    <row r="20" spans="1:7" s="206" customFormat="1" ht="13.5" customHeight="1">
      <c r="A20" s="247" t="s">
        <v>1574</v>
      </c>
      <c r="B20" s="202" t="s">
        <v>1575</v>
      </c>
      <c r="C20" s="224">
        <f ca="1">ROUND((C5+C19)*F20,0)</f>
        <v>829433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2939520</v>
      </c>
      <c r="D22" s="227">
        <f ca="1">C26</f>
        <v>6.9999999999999999E-4</v>
      </c>
      <c r="E22" s="228" t="s">
        <v>1579</v>
      </c>
      <c r="F22" s="229">
        <f ca="1">'数据-取费表'!B40</f>
        <v>3.4500000000000003E-2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2910905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28615</v>
      </c>
      <c r="D25" s="230"/>
      <c r="E25" s="233"/>
      <c r="F25" s="231"/>
      <c r="G25" s="234" t="s">
        <v>1588</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8460216</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8460216</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58243836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18399967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16694720</v>
      </c>
      <c r="D34" s="209"/>
      <c r="E34" s="212"/>
      <c r="F34" s="249"/>
      <c r="G34" s="211"/>
    </row>
    <row r="35" spans="1:7" ht="13.5" customHeight="1">
      <c r="A35" s="734" t="s">
        <v>351</v>
      </c>
      <c r="B35" s="207" t="s">
        <v>1527</v>
      </c>
      <c r="C35" s="212">
        <f ca="1">ROUND(C34*F35,0)</f>
        <v>500842</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953984</v>
      </c>
      <c r="D37" s="209">
        <f ca="1">D19</f>
        <v>4769.92</v>
      </c>
      <c r="E37" s="241">
        <f>'数据-取费表'!B35</f>
        <v>200</v>
      </c>
      <c r="F37" s="251"/>
      <c r="G37" s="253"/>
    </row>
    <row r="38" spans="1:7" ht="13.5" customHeight="1">
      <c r="A38" s="734" t="s">
        <v>354</v>
      </c>
      <c r="B38" s="207" t="s">
        <v>1533</v>
      </c>
      <c r="C38" s="212">
        <f ca="1">ROUND(C34*F38,0)</f>
        <v>250421</v>
      </c>
      <c r="D38" s="212"/>
      <c r="E38" s="212"/>
      <c r="F38" s="251">
        <f>'数据-取费表'!B36</f>
        <v>1.4999999999999999E-2</v>
      </c>
      <c r="G38" s="211" t="s">
        <v>1528</v>
      </c>
    </row>
    <row r="39" spans="1:7" s="206" customFormat="1" ht="13.5" customHeight="1">
      <c r="A39" s="247" t="s">
        <v>1534</v>
      </c>
      <c r="B39" s="202" t="s">
        <v>1535</v>
      </c>
      <c r="C39" s="224">
        <f ca="1">ROUND(C33*F20,0)</f>
        <v>367999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647495</v>
      </c>
      <c r="D41" s="227">
        <f ca="1">C44</f>
        <v>6.9999999999999999E-4</v>
      </c>
      <c r="E41" s="228" t="s">
        <v>1539</v>
      </c>
      <c r="F41" s="229">
        <f ca="1">F22</f>
        <v>3.4500000000000003E-2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634799</v>
      </c>
      <c r="D42" s="230"/>
      <c r="E42" s="230"/>
      <c r="F42" s="231"/>
      <c r="G42" s="3441" t="s">
        <v>1591</v>
      </c>
    </row>
    <row r="43" spans="1:7" ht="13.5" customHeight="1">
      <c r="A43" s="734" t="s">
        <v>347</v>
      </c>
      <c r="B43" s="207" t="s">
        <v>1545</v>
      </c>
      <c r="C43" s="230">
        <f ca="1">ROUND(IF('数据-取费表'!B22&lt;=1,C39*F22*'数据-取费表'!B20/2,C39*(POWER((1+F22),'数据-取费表'!B20/2)-1)),0)</f>
        <v>12696</v>
      </c>
      <c r="D43" s="230"/>
      <c r="E43" s="230"/>
      <c r="F43" s="231"/>
      <c r="G43" s="3442"/>
    </row>
    <row r="44" spans="1:7" ht="13.5" customHeight="1">
      <c r="A44" s="734" t="s">
        <v>348</v>
      </c>
      <c r="B44" s="207" t="s">
        <v>1546</v>
      </c>
      <c r="C44" s="230">
        <f ca="1">ROUND(IF('数据-取费表'!B22&lt;=1,C40*F22*'数据-取费表'!B20/2,C40*(POWER((1+F22),'数据-取费表'!B20/2)-1)),4)</f>
        <v>6.9999999999999999E-4</v>
      </c>
      <c r="D44" s="230"/>
      <c r="E44" s="230"/>
      <c r="F44" s="231"/>
      <c r="G44" s="3443"/>
    </row>
    <row r="45" spans="1:7" s="206" customFormat="1" ht="13.5" customHeight="1">
      <c r="A45" s="247" t="s">
        <v>1547</v>
      </c>
      <c r="B45" s="236" t="s">
        <v>1513</v>
      </c>
      <c r="C45" s="237">
        <f ca="1">C46</f>
        <v>3753593</v>
      </c>
      <c r="D45" s="227">
        <f ca="1">C47</f>
        <v>4.0000000000000001E-3</v>
      </c>
      <c r="E45" s="228" t="s">
        <v>1539</v>
      </c>
      <c r="F45" s="238">
        <f ca="1">F27</f>
        <v>0.2</v>
      </c>
      <c r="G45" s="239" t="s">
        <v>1548</v>
      </c>
    </row>
    <row r="46" spans="1:7" s="206" customFormat="1" ht="13.5" customHeight="1">
      <c r="A46" s="734" t="s">
        <v>346</v>
      </c>
      <c r="B46" s="240" t="s">
        <v>1549</v>
      </c>
      <c r="C46" s="241">
        <f ca="1">ROUND((C33+C39)*F27,0)</f>
        <v>3753593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25129126</v>
      </c>
      <c r="D49" s="224"/>
      <c r="E49" s="224"/>
      <c r="F49" s="256"/>
      <c r="G49" s="226" t="s">
        <v>1554</v>
      </c>
    </row>
    <row r="50" spans="1:7" s="250" customFormat="1">
      <c r="A50" s="247" t="s">
        <v>1555</v>
      </c>
      <c r="B50" s="202" t="s">
        <v>1556</v>
      </c>
      <c r="C50" s="224"/>
      <c r="D50" s="224"/>
      <c r="E50" s="224"/>
      <c r="F50" s="256">
        <f>IF('数据-取费表'!B24=0,'数据-取费表'!N16,1)</f>
        <v>0.72</v>
      </c>
      <c r="G50" s="239"/>
    </row>
    <row r="51" spans="1:7" ht="16.5" customHeight="1">
      <c r="A51" s="247" t="s">
        <v>1558</v>
      </c>
      <c r="B51" s="202" t="s">
        <v>1593</v>
      </c>
      <c r="C51" s="224">
        <f ca="1">ROUND(C49*F50,0)</f>
        <v>18092971</v>
      </c>
      <c r="D51" s="224"/>
      <c r="E51" s="224"/>
      <c r="F51" s="256"/>
      <c r="G51" s="226" t="s">
        <v>1560</v>
      </c>
    </row>
    <row r="52" spans="1:7" s="200" customFormat="1" ht="16.5" thickBot="1">
      <c r="A52" s="257" t="s">
        <v>1561</v>
      </c>
      <c r="B52" s="258"/>
      <c r="C52" s="259">
        <f ca="1">C31+C51</f>
        <v>76336807</v>
      </c>
      <c r="D52" s="258"/>
      <c r="E52" s="258"/>
      <c r="F52" s="258"/>
      <c r="G52" s="260"/>
    </row>
    <row r="55" spans="1:7" ht="15">
      <c r="B55" s="262" t="s">
        <v>1562</v>
      </c>
      <c r="C55" s="263"/>
    </row>
    <row r="56" spans="1:7">
      <c r="B56" s="265" t="s">
        <v>802</v>
      </c>
      <c r="C56" s="267">
        <f ca="1">1-C57</f>
        <v>0.76300000000000001</v>
      </c>
    </row>
    <row r="57" spans="1:7">
      <c r="B57" s="265" t="s">
        <v>803</v>
      </c>
      <c r="C57" s="266">
        <f ca="1">ROUND(C51/C52,3)</f>
        <v>0.23699999999999999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-113</v>
      </c>
      <c r="C2" s="268" t="s">
        <v>1595</v>
      </c>
      <c r="D2" s="268"/>
      <c r="E2" s="2566"/>
      <c r="F2" s="2566"/>
      <c r="G2" s="2566"/>
      <c r="H2" s="2566"/>
      <c r="I2" s="2566"/>
      <c r="J2" s="2566"/>
      <c r="K2" s="2566"/>
    </row>
    <row r="3" spans="1:33" ht="18" customHeight="1" thickBot="1">
      <c r="A3" s="195" t="s">
        <v>1464</v>
      </c>
      <c r="B3" s="196">
        <f ca="1">ROUND(B2*10000/IF(C1="",'数据-汇总表'!E3,INDIRECT("'数据-取费表'!K"&amp;$K$1)),0)</f>
        <v>-237</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4769.92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4769.92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95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95</v>
      </c>
      <c r="D20" s="796">
        <f ca="1">IF(C1="",'数据-汇总表'!E6,IF(INDIRECT("'数据-取费表'!c"&amp;$K$1)="住宅",INDIRECT("'数据-取费表'!s"&amp;$K$1),INDIRECT("'数据-取费表'!k"&amp;$K$1)+INDIRECT("'数据-取费表'!s"&amp;$K$1)))</f>
        <v>4769.92</v>
      </c>
      <c r="E20" s="21">
        <f>'数据-取费表'!B28</f>
        <v>200</v>
      </c>
      <c r="F20" s="756"/>
      <c r="G20" s="12"/>
      <c r="H20" s="761"/>
      <c r="I20" s="761"/>
      <c r="J20" s="761"/>
      <c r="K20" s="762"/>
    </row>
    <row r="21" spans="1:33" s="755" customFormat="1" ht="13.5" customHeight="1">
      <c r="A21" s="744" t="s">
        <v>357</v>
      </c>
      <c r="B21" s="765" t="s">
        <v>1628</v>
      </c>
      <c r="C21" s="766">
        <f ca="1">C16+C17+C18</f>
        <v>95</v>
      </c>
      <c r="D21" s="767"/>
      <c r="E21" s="273"/>
      <c r="F21" s="273"/>
      <c r="G21" s="123" t="s">
        <v>1629</v>
      </c>
      <c r="H21" s="759"/>
      <c r="I21" s="759"/>
      <c r="J21" s="759"/>
      <c r="K21" s="760"/>
    </row>
    <row r="22" spans="1:33" s="755" customFormat="1" ht="13.5" customHeight="1">
      <c r="A22" s="744" t="s">
        <v>1601</v>
      </c>
      <c r="B22" s="765" t="s">
        <v>1630</v>
      </c>
      <c r="C22" s="766">
        <f ca="1">ROUND(C21*F22,0)</f>
        <v>2</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19</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19</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-113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92" t="s">
        <v>694</v>
      </c>
      <c r="C6" s="1011">
        <f ca="1">ROUND(F6*F8*F7*(1-F9)/10000,0)</f>
        <v>0</v>
      </c>
      <c r="D6" s="147" t="s">
        <v>2109</v>
      </c>
      <c r="E6" s="294" t="s">
        <v>696</v>
      </c>
      <c r="F6" s="295">
        <f ca="1">INDIRECT("'数据-取费表'!u"&amp;$G$1)</f>
        <v>0</v>
      </c>
      <c r="G6" s="1292"/>
      <c r="H6" s="1006" t="s">
        <v>398</v>
      </c>
      <c r="I6" s="3492" t="s">
        <v>694</v>
      </c>
      <c r="J6" s="293">
        <f ca="1">ROUND(M6*M8*M7*(1-M9)/10000,0)</f>
        <v>0</v>
      </c>
      <c r="K6" s="147" t="s">
        <v>2108</v>
      </c>
      <c r="L6" s="294" t="s">
        <v>696</v>
      </c>
      <c r="M6" s="295">
        <f ca="1">INDIRECT("'数据-取费表'!z"&amp;$G$1)</f>
        <v>0</v>
      </c>
    </row>
    <row r="7" spans="1:37" ht="18" customHeight="1">
      <c r="A7" s="1010"/>
      <c r="B7" s="3493"/>
      <c r="C7" s="1012"/>
      <c r="D7" s="299"/>
      <c r="E7" s="1013" t="s">
        <v>697</v>
      </c>
      <c r="F7" s="295">
        <f ca="1">IF(INDIRECT("'数据-取费表'!ah"&amp;$G$1)="",INDIRECT("'数据-取费表'!k"&amp;$G$1),INDIRECT("'数据-取费表'!ah"&amp;$G$1))</f>
        <v>0</v>
      </c>
      <c r="G7" s="1292"/>
      <c r="H7" s="296"/>
      <c r="I7" s="3493"/>
      <c r="J7" s="298"/>
      <c r="K7" s="299"/>
      <c r="L7" s="294" t="s">
        <v>697</v>
      </c>
      <c r="M7" s="295">
        <f ca="1">F7</f>
        <v>0</v>
      </c>
    </row>
    <row r="8" spans="1:37" ht="18" customHeight="1">
      <c r="A8" s="296"/>
      <c r="B8" s="3493"/>
      <c r="C8" s="298"/>
      <c r="D8" s="299"/>
      <c r="E8" s="294" t="s">
        <v>698</v>
      </c>
      <c r="F8" s="295">
        <f ca="1">INDIRECT("'数据-取费表'!ai"&amp;$G$1)</f>
        <v>0</v>
      </c>
      <c r="G8" s="1292"/>
      <c r="H8" s="296"/>
      <c r="I8" s="3493"/>
      <c r="J8" s="298"/>
      <c r="K8" s="299"/>
      <c r="L8" s="294" t="s">
        <v>698</v>
      </c>
      <c r="M8" s="295">
        <f ca="1">INDIRECT("'数据-取费表'!ai"&amp;$G$1)</f>
        <v>0</v>
      </c>
    </row>
    <row r="9" spans="1:37" ht="18" customHeight="1">
      <c r="A9" s="296"/>
      <c r="B9" s="3494"/>
      <c r="C9" s="298"/>
      <c r="D9" s="299"/>
      <c r="E9" s="294" t="s">
        <v>699</v>
      </c>
      <c r="F9" s="304">
        <f ca="1">INDIRECT("'数据-取费表'!w"&amp;$G$1)</f>
        <v>0</v>
      </c>
      <c r="G9" s="1292"/>
      <c r="H9" s="296"/>
      <c r="I9" s="349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90" t="s">
        <v>837</v>
      </c>
      <c r="L53" s="349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7">
      <formula>$J$51&gt;$L$48</formula>
    </cfRule>
  </conditionalFormatting>
  <conditionalFormatting sqref="J11">
    <cfRule type="expression" dxfId="119" priority="2">
      <formula>$M$10="自定义"</formula>
    </cfRule>
  </conditionalFormatting>
  <conditionalFormatting sqref="K55 K60">
    <cfRule type="expression" dxfId="118"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21</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8415.5938999999998</v>
      </c>
      <c r="C2" s="1289" t="s">
        <v>879</v>
      </c>
      <c r="D2" s="1375">
        <f ca="1">C40+J29+L46</f>
        <v>84155939</v>
      </c>
      <c r="E2" s="1295" t="s">
        <v>880</v>
      </c>
      <c r="F2" s="1296"/>
      <c r="G2" s="2477"/>
      <c r="H2" s="2467"/>
      <c r="I2" s="2467"/>
      <c r="J2" s="2467"/>
      <c r="K2" s="2468"/>
      <c r="L2" s="2467"/>
      <c r="M2" s="2467"/>
    </row>
    <row r="3" spans="1:37" ht="18" customHeight="1" thickBot="1">
      <c r="A3" s="1297" t="s">
        <v>881</v>
      </c>
      <c r="B3" s="1298">
        <f ca="1">IF(ISERROR(D2/F43),0,ROUND(D2/F43,0))</f>
        <v>17643</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6275510</v>
      </c>
      <c r="D5" s="1273" t="s">
        <v>889</v>
      </c>
      <c r="E5" s="1008"/>
      <c r="F5" s="1009"/>
      <c r="G5" s="1292"/>
      <c r="H5" s="291">
        <v>1</v>
      </c>
      <c r="I5" s="292" t="s">
        <v>888</v>
      </c>
      <c r="J5" s="1007">
        <f ca="1">J6+J10+J12</f>
        <v>0</v>
      </c>
      <c r="K5" s="1273" t="s">
        <v>889</v>
      </c>
      <c r="L5" s="1008"/>
      <c r="M5" s="1009"/>
    </row>
    <row r="6" spans="1:37" ht="18" customHeight="1">
      <c r="A6" s="1006" t="s">
        <v>398</v>
      </c>
      <c r="B6" s="3492" t="s">
        <v>694</v>
      </c>
      <c r="C6" s="1011">
        <f ca="1">ROUND(F6*F8*F7*(1-F9),0)</f>
        <v>6267675</v>
      </c>
      <c r="D6" s="147" t="s">
        <v>2106</v>
      </c>
      <c r="E6" s="294" t="s">
        <v>696</v>
      </c>
      <c r="F6" s="295">
        <f ca="1">INDIRECT("'数据-取费表'!u"&amp;$G$1)</f>
        <v>4</v>
      </c>
      <c r="G6" s="1292"/>
      <c r="H6" s="1006" t="s">
        <v>398</v>
      </c>
      <c r="I6" s="3492" t="s">
        <v>694</v>
      </c>
      <c r="J6" s="293">
        <f ca="1">ROUND(M6*M8*M7*(1-M9),0)</f>
        <v>0</v>
      </c>
      <c r="K6" s="1284" t="s">
        <v>2107</v>
      </c>
      <c r="L6" s="294" t="s">
        <v>696</v>
      </c>
      <c r="M6" s="295">
        <f ca="1">INDIRECT("'数据-取费表'!z"&amp;$G$1)</f>
        <v>0</v>
      </c>
    </row>
    <row r="7" spans="1:37" ht="18" customHeight="1">
      <c r="A7" s="1010"/>
      <c r="B7" s="3493"/>
      <c r="C7" s="1012"/>
      <c r="D7" s="299"/>
      <c r="E7" s="1013" t="s">
        <v>697</v>
      </c>
      <c r="F7" s="295">
        <f ca="1">IF(INDIRECT("'数据-取费表'!ah"&amp;$G$1)="",INDIRECT("'数据-取费表'!k"&amp;$G$1),INDIRECT("'数据-取费表'!ah"&amp;$G$1))</f>
        <v>4769.92</v>
      </c>
      <c r="G7" s="1292"/>
      <c r="H7" s="296"/>
      <c r="I7" s="3493"/>
      <c r="J7" s="298"/>
      <c r="K7" s="299"/>
      <c r="L7" s="294" t="s">
        <v>697</v>
      </c>
      <c r="M7" s="295">
        <f ca="1">F7</f>
        <v>4769.92</v>
      </c>
    </row>
    <row r="8" spans="1:37" ht="18" customHeight="1">
      <c r="A8" s="296"/>
      <c r="B8" s="3493"/>
      <c r="C8" s="298"/>
      <c r="D8" s="299"/>
      <c r="E8" s="294" t="s">
        <v>698</v>
      </c>
      <c r="F8" s="295">
        <f ca="1">INDIRECT("'数据-取费表'!ai"&amp;$G$1)</f>
        <v>365</v>
      </c>
      <c r="G8" s="1292"/>
      <c r="H8" s="296"/>
      <c r="I8" s="3493"/>
      <c r="J8" s="298"/>
      <c r="K8" s="299"/>
      <c r="L8" s="294" t="s">
        <v>698</v>
      </c>
      <c r="M8" s="295">
        <f ca="1">INDIRECT("'数据-取费表'!ai"&amp;$G$1)</f>
        <v>365</v>
      </c>
    </row>
    <row r="9" spans="1:37" ht="18" customHeight="1">
      <c r="A9" s="296"/>
      <c r="B9" s="3494"/>
      <c r="C9" s="298"/>
      <c r="D9" s="299"/>
      <c r="E9" s="294" t="s">
        <v>699</v>
      </c>
      <c r="F9" s="304">
        <f ca="1">INDIRECT("'数据-取费表'!w"&amp;$G$1)</f>
        <v>0.1</v>
      </c>
      <c r="G9" s="1292"/>
      <c r="H9" s="296"/>
      <c r="I9" s="3494"/>
      <c r="J9" s="298"/>
      <c r="K9" s="299"/>
      <c r="L9" s="305" t="s">
        <v>699</v>
      </c>
      <c r="M9" s="306">
        <f ca="1">INDIRECT("'数据-取费表'!ab"&amp;$G$1)</f>
        <v>0</v>
      </c>
    </row>
    <row r="10" spans="1:37" ht="18" customHeight="1">
      <c r="A10" s="1006" t="s">
        <v>402</v>
      </c>
      <c r="B10" s="1274" t="s">
        <v>700</v>
      </c>
      <c r="C10" s="308">
        <f ca="1">ROUND(IF(F10="押一",C6/12*F11,IF(F10="押二",C6/12*2*F11,IF(F10="押三",C6/12*3*F11,C11*F11))),0)</f>
        <v>7835</v>
      </c>
      <c r="D10" s="150" t="s">
        <v>2116</v>
      </c>
      <c r="E10" s="305" t="s">
        <v>701</v>
      </c>
      <c r="F10" s="1053" t="s">
        <v>3591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18092971</v>
      </c>
      <c r="D13" s="1018" t="s">
        <v>705</v>
      </c>
      <c r="E13" s="1018" t="s">
        <v>706</v>
      </c>
      <c r="F13" s="1019">
        <f ca="1">INDIRECT("'数据-取费表'!y"&amp;$G$1)</f>
        <v>0.72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16694720</v>
      </c>
      <c r="D14" s="1257" t="s">
        <v>708</v>
      </c>
      <c r="E14" s="1255"/>
      <c r="F14" s="311"/>
      <c r="G14" s="1292"/>
      <c r="H14" s="928" t="s">
        <v>398</v>
      </c>
      <c r="I14" s="294" t="s">
        <v>709</v>
      </c>
      <c r="J14" s="21">
        <f ca="1">C29</f>
        <v>25129126</v>
      </c>
      <c r="K14" s="12"/>
      <c r="L14" s="759"/>
      <c r="M14" s="760"/>
    </row>
    <row r="15" spans="1:37" s="1304" customFormat="1" ht="18" customHeight="1" thickBot="1">
      <c r="A15" s="928" t="s">
        <v>399</v>
      </c>
      <c r="B15" s="294" t="s">
        <v>710</v>
      </c>
      <c r="C15" s="21">
        <f ca="1">ROUND(C14*F15,0)</f>
        <v>500842</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251291</v>
      </c>
      <c r="K16" s="1024" t="s">
        <v>715</v>
      </c>
      <c r="L16" s="1025"/>
      <c r="M16" s="1009"/>
    </row>
    <row r="17" spans="1:37" s="1304" customFormat="1" ht="18" customHeight="1">
      <c r="A17" s="928" t="s">
        <v>681</v>
      </c>
      <c r="B17" s="294" t="s">
        <v>716</v>
      </c>
      <c r="C17" s="21">
        <f ca="1">ROUND(F17*(F43+INDIRECT("'数据-取费表'!S"&amp;$G$1)),0)</f>
        <v>953984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250421</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18399967</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367999</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251291</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647495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-251291</v>
      </c>
      <c r="K25" s="1032" t="s">
        <v>753</v>
      </c>
      <c r="L25" s="1033"/>
      <c r="M25" s="1034"/>
    </row>
    <row r="26" spans="1:37" ht="18" customHeight="1">
      <c r="A26" s="928" t="s">
        <v>397</v>
      </c>
      <c r="B26" s="294" t="s">
        <v>754</v>
      </c>
      <c r="C26" s="21">
        <f ca="1">ROUND((C19+C20)*F26,0)</f>
        <v>3753593</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25129126</v>
      </c>
      <c r="D29" s="1029"/>
      <c r="E29" s="1027"/>
      <c r="F29" s="1030"/>
      <c r="G29" s="1303"/>
      <c r="H29" s="325" t="s">
        <v>396</v>
      </c>
      <c r="I29" s="326" t="s">
        <v>768</v>
      </c>
      <c r="J29" s="327">
        <f ca="1">ROUND(J26/(1+F40)^F41,0)</f>
        <v>0</v>
      </c>
      <c r="K29" s="328" t="s">
        <v>769</v>
      </c>
      <c r="L29" s="329"/>
      <c r="M29" s="330">
        <f ca="1">INDIRECT("'数据-取费表'!k"&amp;$G$1)</f>
        <v>4769.92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1382721</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1050582</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334276</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716306</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251291</v>
      </c>
      <c r="D36" s="1256" t="s">
        <v>771</v>
      </c>
      <c r="E36" s="294" t="s">
        <v>712</v>
      </c>
      <c r="F36" s="320">
        <f ca="1">INDIRECT("'数据-取费表'!Ak"&amp;$G$1)</f>
        <v>0.01</v>
      </c>
      <c r="G36" s="1292"/>
      <c r="H36" s="2472"/>
      <c r="I36" s="1305"/>
      <c r="J36" s="1306"/>
      <c r="K36" s="2329"/>
      <c r="L36" s="2472"/>
      <c r="M36" s="2472"/>
    </row>
    <row r="37" spans="1:18" ht="18" customHeight="1">
      <c r="A37" s="928" t="s">
        <v>437</v>
      </c>
      <c r="B37" s="294" t="s">
        <v>742</v>
      </c>
      <c r="C37" s="21">
        <f ca="1">ROUND(C13*F37,0)</f>
        <v>18093</v>
      </c>
      <c r="D37" s="1256" t="s">
        <v>743</v>
      </c>
      <c r="E37" s="294" t="s">
        <v>744</v>
      </c>
      <c r="F37" s="321">
        <f ca="1">INDIRECT("'数据-取费表'!Al"&amp;$G$1)</f>
        <v>1E-3</v>
      </c>
      <c r="G37" s="1292"/>
      <c r="H37" s="2472"/>
      <c r="I37" s="1305"/>
      <c r="J37" s="1306"/>
      <c r="K37" s="2329"/>
      <c r="L37" s="2472"/>
      <c r="M37" s="2472"/>
    </row>
    <row r="38" spans="1:18" ht="18" customHeight="1" thickBot="1">
      <c r="A38" s="1026" t="s">
        <v>684</v>
      </c>
      <c r="B38" s="1027" t="s">
        <v>728</v>
      </c>
      <c r="C38" s="1028">
        <f ca="1">ROUND(C5*F38,0)</f>
        <v>62755</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4892789</v>
      </c>
      <c r="D39" s="1032" t="s">
        <v>773</v>
      </c>
      <c r="E39" s="1033"/>
      <c r="F39" s="1034"/>
      <c r="G39" s="1292"/>
      <c r="H39" s="2472"/>
      <c r="I39" s="1305"/>
      <c r="J39" s="1306"/>
      <c r="K39" s="2470"/>
      <c r="L39" s="2472"/>
      <c r="M39" s="2472"/>
    </row>
    <row r="40" spans="1:18" ht="18" customHeight="1">
      <c r="A40" s="291" t="s">
        <v>395</v>
      </c>
      <c r="B40" s="292" t="s">
        <v>774</v>
      </c>
      <c r="C40" s="293">
        <f ca="1">ROUND(C39*(1-((1+F42)/(1+F40))^F41)/(F40-F42),0)</f>
        <v>74104289</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21</v>
      </c>
      <c r="G41" s="1292"/>
      <c r="H41" s="121"/>
      <c r="I41" s="1305"/>
      <c r="J41" s="1306"/>
      <c r="K41" s="2329"/>
      <c r="L41" s="121"/>
      <c r="M41" s="121"/>
    </row>
    <row r="42" spans="1:18" ht="18" customHeight="1">
      <c r="A42" s="300"/>
      <c r="B42" s="301"/>
      <c r="C42" s="302"/>
      <c r="D42" s="319"/>
      <c r="E42" s="294" t="s">
        <v>766</v>
      </c>
      <c r="F42" s="304">
        <f ca="1">INDIRECT("'数据-取费表'!v"&amp;$G$1)</f>
        <v>2.5000000000000001E-2</v>
      </c>
      <c r="G42" s="1292"/>
      <c r="H42" s="121"/>
      <c r="I42" s="1305"/>
      <c r="J42" s="1306"/>
      <c r="K42" s="2329"/>
      <c r="L42" s="121"/>
      <c r="M42" s="121"/>
    </row>
    <row r="43" spans="1:18" ht="18" customHeight="1" thickBot="1">
      <c r="A43" s="325" t="s">
        <v>396</v>
      </c>
      <c r="B43" s="326" t="s">
        <v>776</v>
      </c>
      <c r="C43" s="327">
        <f ca="1">ROUND(C40/F43,0)</f>
        <v>15536</v>
      </c>
      <c r="D43" s="328" t="s">
        <v>777</v>
      </c>
      <c r="E43" s="329" t="s">
        <v>778</v>
      </c>
      <c r="F43" s="330">
        <f ca="1">INDIRECT("'数据-取费表'!k"&amp;$G$1)</f>
        <v>4769.92</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f ca="1">ROUND((C68-C40)/10000,4)</f>
        <v>-7741.1043</v>
      </c>
      <c r="D45" s="3129" t="s">
        <v>3353</v>
      </c>
      <c r="E45" s="1307"/>
      <c r="F45" s="1307"/>
      <c r="O45" s="1310" t="s">
        <v>808</v>
      </c>
      <c r="P45" s="1366"/>
      <c r="Q45" s="1366"/>
      <c r="R45" s="1366"/>
    </row>
    <row r="46" spans="1:18" s="1292" customFormat="1" ht="13.5" thickBot="1">
      <c r="A46" s="1311" t="s">
        <v>809</v>
      </c>
      <c r="C46" s="1312">
        <f ca="1">ROUND(C45,0)</f>
        <v>-7741</v>
      </c>
      <c r="D46" s="1313" t="str">
        <f>C2</f>
        <v>万元</v>
      </c>
      <c r="I46" s="1314" t="s">
        <v>810</v>
      </c>
      <c r="J46" s="1315"/>
      <c r="K46" s="1316"/>
      <c r="L46" s="1317">
        <f ca="1">IF(M47="住宅",0,IF(L48&gt;J51,L60,J60))</f>
        <v>10051650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3592</v>
      </c>
      <c r="K47" s="1323" t="s">
        <v>816</v>
      </c>
      <c r="L47" s="1324">
        <f ca="1">INDIRECT("'数据-取费表'!d"&amp;$G$1)</f>
        <v>40</v>
      </c>
      <c r="M47" s="1288" t="str">
        <f>IF(ISNUMBER(FIND("住宅",C1)),"住宅","非住宅")</f>
        <v>非住宅</v>
      </c>
      <c r="O47" s="1325" t="s">
        <v>403</v>
      </c>
      <c r="P47" s="1326" t="s">
        <v>817</v>
      </c>
      <c r="Q47" s="1327">
        <f ca="1">C40+J29</f>
        <v>74104289</v>
      </c>
      <c r="R47" s="1327" t="s">
        <v>818</v>
      </c>
    </row>
    <row r="48" spans="1:18" s="1292" customFormat="1" ht="28.5" thickBot="1">
      <c r="A48" s="1047" t="s">
        <v>438</v>
      </c>
      <c r="B48" s="292" t="s">
        <v>692</v>
      </c>
      <c r="C48" s="1268">
        <f ca="1">C49+C53+C55</f>
        <v>0</v>
      </c>
      <c r="D48" s="1049"/>
      <c r="E48" s="1050"/>
      <c r="F48" s="908"/>
      <c r="G48" s="681"/>
      <c r="H48" s="682"/>
      <c r="I48" s="1328" t="s">
        <v>819</v>
      </c>
      <c r="J48" s="1329" t="s">
        <v>3593</v>
      </c>
      <c r="K48" s="1330" t="s">
        <v>820</v>
      </c>
      <c r="L48" s="1331">
        <f ca="1">INDIRECT("'数据-取费表'!f"&amp;$G$1)</f>
        <v>21</v>
      </c>
      <c r="O48" s="1325" t="s">
        <v>404</v>
      </c>
      <c r="P48" s="1326" t="s">
        <v>821</v>
      </c>
      <c r="Q48" s="1327">
        <f ca="1">J60</f>
        <v>10051650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2007</v>
      </c>
      <c r="K49" s="1330" t="s">
        <v>824</v>
      </c>
      <c r="L49" s="1333"/>
      <c r="O49" s="1334" t="s">
        <v>405</v>
      </c>
      <c r="P49" s="1326" t="s">
        <v>825</v>
      </c>
      <c r="Q49" s="1327">
        <f ca="1">C29</f>
        <v>25129126</v>
      </c>
      <c r="R49" s="1327" t="s">
        <v>818</v>
      </c>
    </row>
    <row r="50" spans="1:18" s="1292" customFormat="1" ht="13.5" thickBot="1">
      <c r="A50" s="922"/>
      <c r="B50" s="925"/>
      <c r="C50" s="926"/>
      <c r="D50" s="899"/>
      <c r="E50" s="993" t="s">
        <v>697</v>
      </c>
      <c r="F50" s="994">
        <f ca="1">F7</f>
        <v>4769.92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43</v>
      </c>
      <c r="K51" s="1339" t="s">
        <v>830</v>
      </c>
      <c r="L51" s="1340">
        <f ca="1">ROUND(-PV(INDIRECT("'数据-取费表'!h"&amp;$G$1),J51,(C39-C13*C76),0),0)</f>
        <v>60817233</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21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21</v>
      </c>
      <c r="K53" s="3490" t="s">
        <v>837</v>
      </c>
      <c r="L53" s="3491"/>
      <c r="O53" s="1325" t="s">
        <v>409</v>
      </c>
      <c r="P53" s="1326" t="s">
        <v>838</v>
      </c>
      <c r="Q53" s="1327">
        <f ca="1">Q47+Q48</f>
        <v>84155939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18092971</v>
      </c>
      <c r="D56" s="1352"/>
      <c r="E56" s="1353"/>
      <c r="F56" s="1345"/>
      <c r="I56" s="1354" t="s">
        <v>842</v>
      </c>
      <c r="J56" s="1355"/>
      <c r="K56" s="1328" t="s">
        <v>843</v>
      </c>
      <c r="L56" s="1331" t="str">
        <f ca="1">IF(L48&lt;J51,"——",L48-J51)</f>
        <v>——</v>
      </c>
      <c r="O56" s="1325" t="s">
        <v>403</v>
      </c>
      <c r="P56" s="1326" t="s">
        <v>817</v>
      </c>
      <c r="Q56" s="1327">
        <f ca="1">C40+J29</f>
        <v>74104289</v>
      </c>
      <c r="R56" s="1327" t="s">
        <v>818</v>
      </c>
    </row>
    <row r="57" spans="1:18" s="1292" customFormat="1" ht="24.75" thickBot="1">
      <c r="A57" s="1356"/>
      <c r="B57" s="896" t="s">
        <v>767</v>
      </c>
      <c r="C57" s="230">
        <f ca="1">C29</f>
        <v>25129126</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269384</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10051650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10051650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74104289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251291</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18093</v>
      </c>
      <c r="D65" s="910" t="s">
        <v>743</v>
      </c>
      <c r="E65" s="896" t="s">
        <v>744</v>
      </c>
      <c r="F65" s="321">
        <f t="shared" ca="1" si="0"/>
        <v>1E-3</v>
      </c>
      <c r="I65" s="1367" t="s">
        <v>867</v>
      </c>
      <c r="J65" s="610">
        <v>40</v>
      </c>
      <c r="K65" s="610">
        <v>30</v>
      </c>
      <c r="L65" s="610">
        <v>50</v>
      </c>
      <c r="M65" s="1369">
        <v>0.02</v>
      </c>
      <c r="O65" s="1325" t="s">
        <v>403</v>
      </c>
      <c r="P65" s="1326" t="s">
        <v>868</v>
      </c>
      <c r="Q65" s="1327">
        <f ca="1">C40+J29</f>
        <v>74104289</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-269384</v>
      </c>
      <c r="D67" s="909" t="s">
        <v>753</v>
      </c>
      <c r="E67" s="914"/>
      <c r="F67" s="915"/>
      <c r="O67" s="1334" t="s">
        <v>405</v>
      </c>
      <c r="P67" s="1326" t="s">
        <v>850</v>
      </c>
      <c r="Q67" s="1370">
        <f ca="1">L51</f>
        <v>60817233</v>
      </c>
      <c r="R67" s="1327" t="s">
        <v>870</v>
      </c>
    </row>
    <row r="68" spans="1:18" s="1292" customFormat="1" ht="16.5" thickBot="1">
      <c r="A68" s="893" t="s">
        <v>395</v>
      </c>
      <c r="B68" s="894" t="s">
        <v>774</v>
      </c>
      <c r="C68" s="293">
        <f ca="1">ROUND(C67*(1-((1+F70)/(1+F68))^F69)/(F68-F70),0)</f>
        <v>-3306754</v>
      </c>
      <c r="D68" s="911" t="s">
        <v>758</v>
      </c>
      <c r="E68" s="896" t="s">
        <v>759</v>
      </c>
      <c r="F68" s="304">
        <f ca="1">F40</f>
        <v>5.5E-2</v>
      </c>
      <c r="O68" s="1334" t="s">
        <v>406</v>
      </c>
      <c r="P68" s="1371" t="s">
        <v>871</v>
      </c>
      <c r="Q68" s="1327">
        <f ca="1">ROUND(Q69-Q70*Q71,0)</f>
        <v>3716746</v>
      </c>
      <c r="R68" s="1327" t="s">
        <v>414</v>
      </c>
    </row>
    <row r="69" spans="1:18" s="1292" customFormat="1" ht="13.5" thickBot="1">
      <c r="A69" s="897"/>
      <c r="B69" s="898"/>
      <c r="C69" s="298"/>
      <c r="D69" s="916" t="s">
        <v>762</v>
      </c>
      <c r="E69" s="896" t="s">
        <v>763</v>
      </c>
      <c r="F69" s="324">
        <f ca="1">F41</f>
        <v>21</v>
      </c>
      <c r="O69" s="1334" t="s">
        <v>411</v>
      </c>
      <c r="P69" s="1371" t="s">
        <v>872</v>
      </c>
      <c r="Q69" s="1327">
        <f ca="1">C39</f>
        <v>4892789</v>
      </c>
      <c r="R69" s="1327" t="s">
        <v>818</v>
      </c>
    </row>
    <row r="70" spans="1:18" s="1292" customFormat="1" ht="13.5" thickBot="1">
      <c r="A70" s="900"/>
      <c r="B70" s="901"/>
      <c r="C70" s="302"/>
      <c r="D70" s="912"/>
      <c r="E70" s="896" t="s">
        <v>766</v>
      </c>
      <c r="F70" s="991"/>
      <c r="O70" s="1334" t="s">
        <v>412</v>
      </c>
      <c r="P70" s="1371" t="s">
        <v>873</v>
      </c>
      <c r="Q70" s="1327">
        <f ca="1">C13</f>
        <v>18092971</v>
      </c>
      <c r="R70" s="1327" t="s">
        <v>818</v>
      </c>
    </row>
    <row r="71" spans="1:18" s="1292" customFormat="1" ht="13.5" thickBot="1">
      <c r="A71" s="917" t="s">
        <v>396</v>
      </c>
      <c r="B71" s="918" t="s">
        <v>776</v>
      </c>
      <c r="C71" s="327">
        <f ca="1">ROUND(C68/F71,0)</f>
        <v>-693</v>
      </c>
      <c r="D71" s="919" t="s">
        <v>777</v>
      </c>
      <c r="E71" s="920" t="s">
        <v>778</v>
      </c>
      <c r="F71" s="330">
        <f ca="1">F43</f>
        <v>4769.92</v>
      </c>
      <c r="O71" s="1334" t="s">
        <v>413</v>
      </c>
      <c r="P71" s="1371" t="s">
        <v>874</v>
      </c>
      <c r="Q71" s="1337">
        <f ca="1">C76</f>
        <v>6.5000000000000002E-2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1176043</v>
      </c>
      <c r="D75" s="1292"/>
      <c r="E75" s="1292"/>
      <c r="F75" s="1292"/>
      <c r="K75" s="1309"/>
      <c r="L75" s="1292"/>
      <c r="O75" s="1325" t="s">
        <v>409</v>
      </c>
      <c r="P75" s="1326" t="s">
        <v>838</v>
      </c>
      <c r="Q75" s="1327">
        <f ca="1">Q65+Q66</f>
        <v>74104289</v>
      </c>
      <c r="R75" s="1327" t="s">
        <v>410</v>
      </c>
    </row>
    <row r="76" spans="1:18">
      <c r="B76" s="333" t="s">
        <v>796</v>
      </c>
      <c r="C76" s="334">
        <f ca="1">INDIRECT("'数据-取费表'!j"&amp;$G$1)</f>
        <v>6.5000000000000002E-2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0.76</v>
      </c>
    </row>
    <row r="80" spans="1:18">
      <c r="B80" s="331" t="s">
        <v>800</v>
      </c>
      <c r="C80" s="266">
        <f ca="1">ROUND(C75/C39,3)</f>
        <v>0.24</v>
      </c>
    </row>
    <row r="81" spans="2:3">
      <c r="B81" s="262" t="s">
        <v>801</v>
      </c>
      <c r="C81" s="230"/>
    </row>
    <row r="82" spans="2:3">
      <c r="B82" s="265" t="s">
        <v>802</v>
      </c>
      <c r="C82" s="267">
        <f ca="1">1-C83</f>
        <v>0.75600000000000001</v>
      </c>
    </row>
    <row r="83" spans="2:3">
      <c r="B83" s="265" t="s">
        <v>803</v>
      </c>
      <c r="C83" s="266">
        <f ca="1">ROUND(C13/C40,3)</f>
        <v>0.24399999999999999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3359</v>
      </c>
      <c r="E2" s="3138"/>
      <c r="F2" s="2596"/>
      <c r="G2" s="2597"/>
      <c r="H2" s="2598"/>
      <c r="I2" s="2599"/>
      <c r="J2" s="3501" t="s">
        <v>2317</v>
      </c>
      <c r="K2" s="3502"/>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503" t="s">
        <v>2327</v>
      </c>
      <c r="K3" s="3504"/>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503" t="s">
        <v>2329</v>
      </c>
      <c r="K4" s="3504"/>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509" t="s">
        <v>2333</v>
      </c>
      <c r="B6" s="3510"/>
      <c r="C6" s="3511"/>
      <c r="D6" s="2620"/>
      <c r="E6" s="2621"/>
      <c r="F6" s="2622"/>
      <c r="G6" s="2623"/>
      <c r="H6" s="2598"/>
      <c r="I6" s="2599"/>
      <c r="J6" s="3495">
        <v>1</v>
      </c>
      <c r="K6" s="3496"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95"/>
      <c r="K7" s="3497"/>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512" t="s">
        <v>2347</v>
      </c>
      <c r="C8" s="3513"/>
      <c r="D8" s="2639" t="s">
        <v>2348</v>
      </c>
      <c r="E8" s="2640" t="s">
        <v>2349</v>
      </c>
      <c r="F8" s="2641" t="s">
        <v>2350</v>
      </c>
      <c r="G8" s="2642"/>
      <c r="H8" s="2598"/>
      <c r="I8" s="2599"/>
      <c r="J8" s="3495"/>
      <c r="K8" s="3497"/>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512" t="s">
        <v>2353</v>
      </c>
      <c r="C9" s="3513"/>
      <c r="D9" s="2639">
        <f>ROUND(D6*E9,0)</f>
        <v>0</v>
      </c>
      <c r="E9" s="2643"/>
      <c r="F9" s="2644" t="s">
        <v>2354</v>
      </c>
      <c r="G9" s="2623"/>
      <c r="H9" s="2598"/>
      <c r="I9" s="2599"/>
      <c r="J9" s="3495"/>
      <c r="K9" s="3497"/>
      <c r="L9" s="2633" t="s">
        <v>2355</v>
      </c>
      <c r="M9" s="2634"/>
      <c r="N9" s="2610"/>
      <c r="O9" s="2635"/>
      <c r="P9" s="2635"/>
      <c r="Q9" s="2636">
        <v>365</v>
      </c>
      <c r="R9" s="2637">
        <f t="shared" si="0"/>
        <v>0</v>
      </c>
      <c r="S9" s="2591"/>
      <c r="T9" s="2591"/>
      <c r="U9" s="2591"/>
      <c r="V9" s="2599"/>
    </row>
    <row r="10" spans="1:22" s="2603" customFormat="1" ht="13.15" customHeight="1">
      <c r="A10" s="2638">
        <v>2</v>
      </c>
      <c r="B10" s="3512" t="s">
        <v>2356</v>
      </c>
      <c r="C10" s="3513"/>
      <c r="D10" s="2639">
        <f>ROUND(D6*E10,0)</f>
        <v>0</v>
      </c>
      <c r="E10" s="2643"/>
      <c r="F10" s="2644" t="s">
        <v>2357</v>
      </c>
      <c r="G10" s="2623"/>
      <c r="H10" s="2598"/>
      <c r="I10" s="2599"/>
      <c r="J10" s="3495"/>
      <c r="K10" s="3497"/>
      <c r="L10" s="2633" t="s">
        <v>2358</v>
      </c>
      <c r="M10" s="2634"/>
      <c r="N10" s="2610"/>
      <c r="O10" s="2635"/>
      <c r="P10" s="2635"/>
      <c r="Q10" s="2636">
        <v>365</v>
      </c>
      <c r="R10" s="2637">
        <f t="shared" si="0"/>
        <v>0</v>
      </c>
      <c r="S10" s="2591"/>
      <c r="T10" s="2591"/>
      <c r="U10" s="2591"/>
      <c r="V10" s="2599"/>
    </row>
    <row r="11" spans="1:22" s="2603" customFormat="1" ht="13.15" customHeight="1">
      <c r="A11" s="2638">
        <v>3</v>
      </c>
      <c r="B11" s="3512" t="s">
        <v>2359</v>
      </c>
      <c r="C11" s="3513"/>
      <c r="D11" s="2639">
        <f>D12+D14+D15+D16</f>
        <v>0</v>
      </c>
      <c r="E11" s="2645" t="e">
        <f>D11/D6</f>
        <v>#DIV/0!</v>
      </c>
      <c r="F11" s="2641"/>
      <c r="G11" s="2642"/>
      <c r="H11" s="2598"/>
      <c r="I11" s="2599"/>
      <c r="J11" s="3495"/>
      <c r="K11" s="3497"/>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505" t="s">
        <v>2362</v>
      </c>
      <c r="C12" s="3506"/>
      <c r="D12" s="2647">
        <f>ROUND(D13*1.2%*(1-30%),0)</f>
        <v>0</v>
      </c>
      <c r="E12" s="2648">
        <v>1.2E-2</v>
      </c>
      <c r="F12" s="2641" t="s">
        <v>2363</v>
      </c>
      <c r="G12" s="2642"/>
      <c r="H12" s="2598"/>
      <c r="I12" s="2599"/>
      <c r="J12" s="3495"/>
      <c r="K12" s="3497"/>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95"/>
      <c r="K13" s="3497"/>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505" t="s">
        <v>2368</v>
      </c>
      <c r="C14" s="3506"/>
      <c r="D14" s="2647">
        <f>ROUND(E14*B5/10000,0)</f>
        <v>0</v>
      </c>
      <c r="E14" s="2636"/>
      <c r="F14" s="2641" t="s">
        <v>2369</v>
      </c>
      <c r="G14" s="2642"/>
      <c r="H14" s="2598"/>
      <c r="I14" s="2599"/>
      <c r="J14" s="3495"/>
      <c r="K14" s="3498"/>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505" t="s">
        <v>2372</v>
      </c>
      <c r="C15" s="3506"/>
      <c r="D15" s="2647">
        <f>ROUND(D6*E15,0)</f>
        <v>0</v>
      </c>
      <c r="E15" s="2648">
        <v>5.5E-2</v>
      </c>
      <c r="F15" s="2641" t="s">
        <v>2373</v>
      </c>
      <c r="G15" s="2623"/>
      <c r="H15" s="2598"/>
      <c r="I15" s="2599"/>
      <c r="J15" s="3495">
        <v>2</v>
      </c>
      <c r="K15" s="3496"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505" t="s">
        <v>2381</v>
      </c>
      <c r="C16" s="3506"/>
      <c r="D16" s="2658">
        <f>D6*E16</f>
        <v>0</v>
      </c>
      <c r="E16" s="2659"/>
      <c r="F16" s="2644" t="s">
        <v>2382</v>
      </c>
      <c r="G16" s="2623"/>
      <c r="H16" s="2598"/>
      <c r="I16" s="2599"/>
      <c r="J16" s="3495"/>
      <c r="K16" s="3497"/>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507" t="s">
        <v>2384</v>
      </c>
      <c r="C17" s="3508"/>
      <c r="D17" s="2661">
        <f>ROUND(D6*E17,0)</f>
        <v>0</v>
      </c>
      <c r="E17" s="2662"/>
      <c r="F17" s="2663" t="s">
        <v>2385</v>
      </c>
      <c r="G17" s="2623"/>
      <c r="H17" s="2598"/>
      <c r="I17" s="2599"/>
      <c r="J17" s="3495"/>
      <c r="K17" s="3497"/>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95"/>
      <c r="K18" s="3497"/>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95"/>
      <c r="K19" s="3498"/>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95">
        <v>3</v>
      </c>
      <c r="K20" s="3496"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95"/>
      <c r="K21" s="3497"/>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95"/>
      <c r="K22" s="3497"/>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95"/>
      <c r="K23" s="3497"/>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95"/>
      <c r="K24" s="3498"/>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99">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500"/>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501" t="s">
        <v>2317</v>
      </c>
      <c r="K32" s="3502"/>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503" t="s">
        <v>2327</v>
      </c>
      <c r="K33" s="3504"/>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503" t="s">
        <v>2329</v>
      </c>
      <c r="K34" s="3504"/>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95">
        <v>1</v>
      </c>
      <c r="K36" s="3496"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95"/>
      <c r="K37" s="3497"/>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95"/>
      <c r="K38" s="3497"/>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95"/>
      <c r="K39" s="3497"/>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95"/>
      <c r="K40" s="3498"/>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99">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500"/>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8415.5938999999998</v>
      </c>
      <c r="C2" s="1729" t="s">
        <v>1651</v>
      </c>
      <c r="D2" s="1730" t="s">
        <v>1652</v>
      </c>
      <c r="E2" s="2391">
        <f>SUM(E6:E13)</f>
        <v>4769.92</v>
      </c>
      <c r="F2" s="2478"/>
      <c r="G2" s="459"/>
      <c r="H2" s="459"/>
      <c r="I2" s="459"/>
      <c r="J2" s="459"/>
      <c r="K2" s="459"/>
      <c r="L2" s="459"/>
      <c r="M2" s="459"/>
      <c r="N2" s="459"/>
      <c r="O2" s="459"/>
      <c r="P2" s="459"/>
      <c r="Q2" s="459"/>
      <c r="R2" s="459"/>
      <c r="S2" s="459"/>
    </row>
    <row r="3" spans="1:22" ht="15.75">
      <c r="A3" s="1728" t="s">
        <v>686</v>
      </c>
      <c r="B3" s="2385">
        <f ca="1">ROUND(B2*10000/E2,0)</f>
        <v>17643</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514" t="s">
        <v>1654</v>
      </c>
      <c r="C5" s="3515"/>
      <c r="D5" s="2479"/>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8415.5938999999998</v>
      </c>
      <c r="C6" s="1729" t="s">
        <v>1651</v>
      </c>
      <c r="D6" s="2478"/>
      <c r="E6" s="2390">
        <f>IF(OR(A6=0,F6="否"),0,'数据-取费表'!K6+'数据-取费表'!S6)</f>
        <v>4769.92</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4769.92</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462" t="s">
        <v>1667</v>
      </c>
      <c r="D4" s="3463"/>
      <c r="E4" s="3464" t="s">
        <v>1668</v>
      </c>
      <c r="F4" s="3465"/>
      <c r="G4" s="3462" t="s">
        <v>1669</v>
      </c>
      <c r="H4" s="3463"/>
      <c r="I4" s="3462" t="s">
        <v>1670</v>
      </c>
      <c r="J4" s="3463"/>
      <c r="K4" s="1744" t="s">
        <v>1671</v>
      </c>
      <c r="L4" s="2485"/>
      <c r="M4" s="2486"/>
      <c r="N4" s="2486"/>
      <c r="O4" s="2486"/>
      <c r="P4" s="3466" t="s">
        <v>1672</v>
      </c>
      <c r="Q4" s="3467"/>
      <c r="R4" s="3472" t="s">
        <v>1668</v>
      </c>
      <c r="S4" s="3473"/>
      <c r="T4" s="3472" t="s">
        <v>1669</v>
      </c>
      <c r="U4" s="3473"/>
      <c r="V4" s="3445" t="s">
        <v>1670</v>
      </c>
      <c r="W4" s="3445"/>
      <c r="X4" s="1265"/>
      <c r="Y4" s="3472" t="s">
        <v>1672</v>
      </c>
      <c r="Z4" s="3473"/>
      <c r="AA4" s="3459" t="s">
        <v>1668</v>
      </c>
      <c r="AB4" s="3459" t="s">
        <v>1669</v>
      </c>
      <c r="AC4" s="3459" t="s">
        <v>1670</v>
      </c>
    </row>
    <row r="5" spans="1:29" ht="15">
      <c r="A5" s="348"/>
      <c r="B5" s="349"/>
      <c r="C5" s="3480" t="s">
        <v>1673</v>
      </c>
      <c r="D5" s="3481"/>
      <c r="E5" s="3516" t="s">
        <v>1674</v>
      </c>
      <c r="F5" s="3489"/>
      <c r="G5" s="3480" t="s">
        <v>1675</v>
      </c>
      <c r="H5" s="3481"/>
      <c r="I5" s="3480" t="s">
        <v>1676</v>
      </c>
      <c r="J5" s="3481"/>
      <c r="K5" s="1745"/>
      <c r="L5" s="2485"/>
      <c r="M5" s="2486"/>
      <c r="N5" s="2486"/>
      <c r="O5" s="2486"/>
      <c r="P5" s="3468"/>
      <c r="Q5" s="3469"/>
      <c r="R5" s="3474"/>
      <c r="S5" s="3475"/>
      <c r="T5" s="3474"/>
      <c r="U5" s="3475"/>
      <c r="V5" s="3445"/>
      <c r="W5" s="3445"/>
      <c r="X5" s="1265"/>
      <c r="Y5" s="3474"/>
      <c r="Z5" s="3475"/>
      <c r="AA5" s="3460"/>
      <c r="AB5" s="3460"/>
      <c r="AC5" s="3460"/>
    </row>
    <row r="6" spans="1:29" ht="15.75" thickBot="1">
      <c r="A6" s="350"/>
      <c r="B6" s="351"/>
      <c r="C6" s="3478" t="s">
        <v>1677</v>
      </c>
      <c r="D6" s="3479"/>
      <c r="E6" s="3486" t="s">
        <v>1677</v>
      </c>
      <c r="F6" s="3487"/>
      <c r="G6" s="3478" t="s">
        <v>1677</v>
      </c>
      <c r="H6" s="3479"/>
      <c r="I6" s="3478" t="s">
        <v>1677</v>
      </c>
      <c r="J6" s="3479"/>
      <c r="K6" s="1745" t="s">
        <v>1678</v>
      </c>
      <c r="L6" s="2485"/>
      <c r="M6" s="2486"/>
      <c r="N6" s="2486"/>
      <c r="O6" s="2486"/>
      <c r="P6" s="3470"/>
      <c r="Q6" s="3471"/>
      <c r="R6" s="3474"/>
      <c r="S6" s="3475"/>
      <c r="T6" s="3476"/>
      <c r="U6" s="3477"/>
      <c r="V6" s="3445"/>
      <c r="W6" s="3445"/>
      <c r="X6" s="1265"/>
      <c r="Y6" s="3476"/>
      <c r="Z6" s="3477"/>
      <c r="AA6" s="3461"/>
      <c r="AB6" s="3461"/>
      <c r="AC6" s="3461"/>
    </row>
    <row r="7" spans="1:29" s="102" customFormat="1" ht="15.75" thickBot="1">
      <c r="A7" s="352" t="s">
        <v>1679</v>
      </c>
      <c r="B7" s="353"/>
      <c r="C7" s="354">
        <f>'数据-取费表'!B2</f>
        <v>45352</v>
      </c>
      <c r="D7" s="355">
        <v>100</v>
      </c>
      <c r="E7" s="356"/>
      <c r="F7" s="357">
        <f>SUMIF(58:58,YEAR(E7)&amp;"-"&amp;MONTH(E7),59:59)</f>
        <v>0</v>
      </c>
      <c r="G7" s="356"/>
      <c r="H7" s="355">
        <f>SUMIF(58:58,YEAR(G7)&amp;"-"&amp;MONTH(G7),59:59)</f>
        <v>0</v>
      </c>
      <c r="I7" s="356"/>
      <c r="J7" s="355">
        <f>SUMIF(58:58,YEAR(I7)&amp;"-"&amp;MONTH(I7),59:59)</f>
        <v>0</v>
      </c>
      <c r="K7" s="1746"/>
      <c r="L7" s="2487"/>
      <c r="M7" s="2438"/>
      <c r="N7" s="2438"/>
      <c r="O7" s="2438"/>
      <c r="P7" s="3482" t="s">
        <v>1680</v>
      </c>
      <c r="Q7" s="3484"/>
      <c r="R7" s="664" t="s">
        <v>20</v>
      </c>
      <c r="S7" s="665">
        <f t="shared" ref="S7:S15" si="0">F7</f>
        <v>0</v>
      </c>
      <c r="T7" s="664" t="s">
        <v>20</v>
      </c>
      <c r="U7" s="665">
        <f t="shared" ref="U7:U15" si="1">H7</f>
        <v>0</v>
      </c>
      <c r="V7" s="664" t="s">
        <v>20</v>
      </c>
      <c r="W7" s="665">
        <f t="shared" ref="W7:W15" si="2">J7</f>
        <v>0</v>
      </c>
      <c r="X7" s="666"/>
      <c r="Y7" s="3482" t="s">
        <v>1680</v>
      </c>
      <c r="Z7" s="348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482" t="s">
        <v>1683</v>
      </c>
      <c r="Q8" s="3483"/>
      <c r="R8" s="664" t="s">
        <v>20</v>
      </c>
      <c r="S8" s="665">
        <f t="shared" si="0"/>
        <v>100</v>
      </c>
      <c r="T8" s="664" t="s">
        <v>20</v>
      </c>
      <c r="U8" s="665">
        <f t="shared" si="1"/>
        <v>100</v>
      </c>
      <c r="V8" s="664" t="s">
        <v>20</v>
      </c>
      <c r="W8" s="665">
        <f t="shared" si="2"/>
        <v>100</v>
      </c>
      <c r="X8" s="666"/>
      <c r="Y8" s="3482" t="s">
        <v>1683</v>
      </c>
      <c r="Z8" s="348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458"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58"/>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58"/>
      <c r="Q11" s="530" t="str">
        <f t="shared" si="6"/>
        <v>容积率</v>
      </c>
      <c r="R11" s="664" t="s">
        <v>18</v>
      </c>
      <c r="S11" s="665" t="e">
        <f t="shared" si="0"/>
        <v>#N/A</v>
      </c>
      <c r="T11" s="664" t="s">
        <v>18</v>
      </c>
      <c r="U11" s="665" t="e">
        <f t="shared" si="1"/>
        <v>#N/A</v>
      </c>
      <c r="V11" s="664" t="s">
        <v>18</v>
      </c>
      <c r="W11" s="665" t="e">
        <f t="shared" si="2"/>
        <v>#N/A</v>
      </c>
      <c r="X11" s="666"/>
      <c r="Y11" s="330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458"/>
      <c r="Q12" s="530">
        <f t="shared" si="6"/>
        <v>111</v>
      </c>
      <c r="R12" s="664" t="s">
        <v>18</v>
      </c>
      <c r="S12" s="665">
        <f t="shared" si="0"/>
        <v>100</v>
      </c>
      <c r="T12" s="664" t="s">
        <v>18</v>
      </c>
      <c r="U12" s="665">
        <f t="shared" si="1"/>
        <v>100</v>
      </c>
      <c r="V12" s="664" t="s">
        <v>18</v>
      </c>
      <c r="W12" s="665">
        <f t="shared" si="2"/>
        <v>100</v>
      </c>
      <c r="X12" s="666"/>
      <c r="Y12" s="330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58"/>
      <c r="Q13" s="530">
        <f t="shared" si="6"/>
        <v>111</v>
      </c>
      <c r="R13" s="664" t="s">
        <v>18</v>
      </c>
      <c r="S13" s="665">
        <f t="shared" si="0"/>
        <v>100</v>
      </c>
      <c r="T13" s="664" t="s">
        <v>18</v>
      </c>
      <c r="U13" s="665">
        <f t="shared" si="1"/>
        <v>100</v>
      </c>
      <c r="V13" s="664" t="s">
        <v>18</v>
      </c>
      <c r="W13" s="665">
        <f t="shared" si="2"/>
        <v>100</v>
      </c>
      <c r="X13" s="666"/>
      <c r="Y13" s="330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58"/>
      <c r="Q14" s="530">
        <f t="shared" si="6"/>
        <v>111</v>
      </c>
      <c r="R14" s="664" t="s">
        <v>18</v>
      </c>
      <c r="S14" s="665">
        <f t="shared" si="0"/>
        <v>100</v>
      </c>
      <c r="T14" s="664" t="s">
        <v>18</v>
      </c>
      <c r="U14" s="665">
        <f t="shared" si="1"/>
        <v>100</v>
      </c>
      <c r="V14" s="664" t="s">
        <v>18</v>
      </c>
      <c r="W14" s="665">
        <f t="shared" si="2"/>
        <v>100</v>
      </c>
      <c r="X14" s="666"/>
      <c r="Y14" s="3308"/>
      <c r="Z14" s="50">
        <f t="shared" si="7"/>
        <v>111</v>
      </c>
      <c r="AA14" s="50">
        <f t="shared" si="3"/>
        <v>1</v>
      </c>
      <c r="AB14" s="50">
        <f t="shared" si="4"/>
        <v>1</v>
      </c>
      <c r="AC14" s="50">
        <f t="shared" si="5"/>
        <v>1</v>
      </c>
    </row>
    <row r="15" spans="1:29" ht="85.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49" t="s">
        <v>1691</v>
      </c>
      <c r="Q15" s="1263" t="str">
        <f t="shared" si="6"/>
        <v>居住社区成熟度</v>
      </c>
      <c r="R15" s="667" t="s">
        <v>18</v>
      </c>
      <c r="S15" s="668">
        <f t="shared" si="0"/>
        <v>100</v>
      </c>
      <c r="T15" s="667" t="s">
        <v>18</v>
      </c>
      <c r="U15" s="668">
        <f t="shared" si="1"/>
        <v>100</v>
      </c>
      <c r="V15" s="667" t="s">
        <v>18</v>
      </c>
      <c r="W15" s="668">
        <f t="shared" si="2"/>
        <v>100</v>
      </c>
      <c r="X15" s="1265"/>
      <c r="Y15" s="345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50"/>
      <c r="Q16" s="1263"/>
      <c r="R16" s="667"/>
      <c r="S16" s="668"/>
      <c r="T16" s="667"/>
      <c r="U16" s="668"/>
      <c r="V16" s="667"/>
      <c r="W16" s="668"/>
      <c r="X16" s="1265"/>
      <c r="Y16" s="3452"/>
      <c r="Z16" s="1264"/>
      <c r="AA16" s="1264">
        <v>1</v>
      </c>
      <c r="AB16" s="1264">
        <v>1</v>
      </c>
      <c r="AC16" s="1264">
        <v>1</v>
      </c>
    </row>
    <row r="17" spans="1:29" ht="142.5">
      <c r="A17" s="367"/>
      <c r="B17" s="390" t="s">
        <v>1259</v>
      </c>
      <c r="C17" s="1754" t="str">
        <f>估价对象房地状况!C6</f>
        <v>估价对象周边有305路、320路、365路、432路、614路、982路等多条公交线路，距离地铁13号线上地站约950米，周边道路网线较密集，通达度较好。综合评价交通便捷度较好。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50"/>
      <c r="Q17" s="1263" t="str">
        <f>B17</f>
        <v>交通便捷度</v>
      </c>
      <c r="R17" s="667" t="s">
        <v>18</v>
      </c>
      <c r="S17" s="668">
        <f>F17</f>
        <v>100</v>
      </c>
      <c r="T17" s="667" t="s">
        <v>18</v>
      </c>
      <c r="U17" s="668">
        <f>H17</f>
        <v>100</v>
      </c>
      <c r="V17" s="667" t="s">
        <v>18</v>
      </c>
      <c r="W17" s="668">
        <f>J17</f>
        <v>100</v>
      </c>
      <c r="X17" s="1265"/>
      <c r="Y17" s="345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50"/>
      <c r="Q18" s="1263"/>
      <c r="R18" s="667"/>
      <c r="S18" s="668"/>
      <c r="T18" s="667"/>
      <c r="U18" s="668"/>
      <c r="V18" s="667"/>
      <c r="W18" s="668"/>
      <c r="X18" s="1265"/>
      <c r="Y18" s="3452"/>
      <c r="Z18" s="1264"/>
      <c r="AA18" s="1264">
        <v>1</v>
      </c>
      <c r="AB18" s="1264">
        <v>1</v>
      </c>
      <c r="AC18" s="1264">
        <v>1</v>
      </c>
    </row>
    <row r="19" spans="1:29" ht="256.5">
      <c r="A19" s="367"/>
      <c r="B19" s="390" t="s">
        <v>1258</v>
      </c>
      <c r="C19" s="1754" t="str">
        <f>估价对象房地状况!C7</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50"/>
      <c r="Q19" s="1263" t="str">
        <f>B19</f>
        <v>公共配套设施</v>
      </c>
      <c r="R19" s="667" t="s">
        <v>18</v>
      </c>
      <c r="S19" s="668">
        <f>F19</f>
        <v>100</v>
      </c>
      <c r="T19" s="667" t="s">
        <v>18</v>
      </c>
      <c r="U19" s="668">
        <f>H19</f>
        <v>100</v>
      </c>
      <c r="V19" s="667" t="s">
        <v>18</v>
      </c>
      <c r="W19" s="668">
        <f>J19</f>
        <v>100</v>
      </c>
      <c r="X19" s="1265"/>
      <c r="Y19" s="345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50"/>
      <c r="Q20" s="1263"/>
      <c r="R20" s="667"/>
      <c r="S20" s="668"/>
      <c r="T20" s="667"/>
      <c r="U20" s="668"/>
      <c r="V20" s="667"/>
      <c r="W20" s="668"/>
      <c r="X20" s="1265"/>
      <c r="Y20" s="3452"/>
      <c r="Z20" s="1264"/>
      <c r="AA20" s="1264">
        <v>1</v>
      </c>
      <c r="AB20" s="1264">
        <v>1</v>
      </c>
      <c r="AC20" s="1264">
        <v>1</v>
      </c>
    </row>
    <row r="21" spans="1:29" ht="42.75">
      <c r="A21" s="367"/>
      <c r="B21" s="586" t="s">
        <v>1260</v>
      </c>
      <c r="C21" s="1754" t="str">
        <f>估价对象房地状况!C8</f>
        <v>估价对象所在区域基础设施水平-七通</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50"/>
      <c r="Q21" s="1263" t="str">
        <f>B21</f>
        <v>基础设施水平</v>
      </c>
      <c r="R21" s="667" t="s">
        <v>14</v>
      </c>
      <c r="S21" s="668">
        <f>F21</f>
        <v>100</v>
      </c>
      <c r="T21" s="667" t="s">
        <v>14</v>
      </c>
      <c r="U21" s="668">
        <f>H21</f>
        <v>100</v>
      </c>
      <c r="V21" s="667" t="s">
        <v>14</v>
      </c>
      <c r="W21" s="668">
        <f>J21</f>
        <v>100</v>
      </c>
      <c r="X21" s="1265"/>
      <c r="Y21" s="345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50"/>
      <c r="Q22" s="1263"/>
      <c r="R22" s="667"/>
      <c r="S22" s="668"/>
      <c r="T22" s="667"/>
      <c r="U22" s="668"/>
      <c r="V22" s="667"/>
      <c r="W22" s="668"/>
      <c r="X22" s="1265"/>
      <c r="Y22" s="3452"/>
      <c r="Z22" s="1264"/>
      <c r="AA22" s="1264">
        <v>1</v>
      </c>
      <c r="AB22" s="1264">
        <v>1</v>
      </c>
      <c r="AC22" s="1264">
        <v>1</v>
      </c>
    </row>
    <row r="23" spans="1:29" ht="57">
      <c r="A23" s="367"/>
      <c r="B23" s="390" t="s">
        <v>1261</v>
      </c>
      <c r="C23" s="1754" t="str">
        <f>估价对象房地状况!C9</f>
        <v>估价对象周边有树村郊野公园、生态花谷、北京体育大学场等自然人文场所，综合评价环境状况较好。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50"/>
      <c r="Q23" s="1263" t="str">
        <f>B23</f>
        <v>自然及人文环境</v>
      </c>
      <c r="R23" s="667" t="s">
        <v>18</v>
      </c>
      <c r="S23" s="668">
        <f>F23</f>
        <v>100</v>
      </c>
      <c r="T23" s="667" t="s">
        <v>18</v>
      </c>
      <c r="U23" s="668">
        <f>H23</f>
        <v>100</v>
      </c>
      <c r="V23" s="667" t="s">
        <v>18</v>
      </c>
      <c r="W23" s="668">
        <f>J23</f>
        <v>100</v>
      </c>
      <c r="X23" s="1265"/>
      <c r="Y23" s="345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50"/>
      <c r="Q24" s="1263"/>
      <c r="R24" s="667"/>
      <c r="S24" s="668"/>
      <c r="T24" s="667"/>
      <c r="U24" s="668"/>
      <c r="V24" s="667"/>
      <c r="W24" s="668"/>
      <c r="X24" s="1265"/>
      <c r="Y24" s="345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5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5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50"/>
      <c r="Q26" s="1263" t="str">
        <f t="shared" si="11"/>
        <v>朝向</v>
      </c>
      <c r="R26" s="667" t="s">
        <v>18</v>
      </c>
      <c r="S26" s="668">
        <f t="shared" si="12"/>
        <v>100</v>
      </c>
      <c r="T26" s="667" t="s">
        <v>18</v>
      </c>
      <c r="U26" s="668">
        <f t="shared" si="13"/>
        <v>100</v>
      </c>
      <c r="V26" s="667" t="s">
        <v>18</v>
      </c>
      <c r="W26" s="668">
        <f t="shared" si="14"/>
        <v>100</v>
      </c>
      <c r="X26" s="1265"/>
      <c r="Y26" s="345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8"/>
      <c r="N27" s="2438"/>
      <c r="O27" s="2438"/>
      <c r="P27" s="3450"/>
      <c r="Q27" s="530">
        <f t="shared" si="11"/>
        <v>111</v>
      </c>
      <c r="R27" s="664" t="s">
        <v>18</v>
      </c>
      <c r="S27" s="665">
        <f t="shared" si="12"/>
        <v>100</v>
      </c>
      <c r="T27" s="664" t="s">
        <v>18</v>
      </c>
      <c r="U27" s="665">
        <f t="shared" si="13"/>
        <v>100</v>
      </c>
      <c r="V27" s="664" t="s">
        <v>18</v>
      </c>
      <c r="W27" s="665">
        <f t="shared" si="14"/>
        <v>100</v>
      </c>
      <c r="X27" s="666"/>
      <c r="Y27" s="345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50"/>
      <c r="Q28" s="1263">
        <f t="shared" si="11"/>
        <v>111</v>
      </c>
      <c r="R28" s="667" t="s">
        <v>18</v>
      </c>
      <c r="S28" s="668">
        <f t="shared" si="12"/>
        <v>100</v>
      </c>
      <c r="T28" s="667" t="s">
        <v>18</v>
      </c>
      <c r="U28" s="668">
        <f t="shared" si="13"/>
        <v>100</v>
      </c>
      <c r="V28" s="667" t="s">
        <v>18</v>
      </c>
      <c r="W28" s="668">
        <f t="shared" si="14"/>
        <v>100</v>
      </c>
      <c r="X28" s="1265"/>
      <c r="Y28" s="345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50"/>
      <c r="Q29" s="1263">
        <f t="shared" si="11"/>
        <v>111</v>
      </c>
      <c r="R29" s="667" t="s">
        <v>18</v>
      </c>
      <c r="S29" s="668">
        <f t="shared" si="12"/>
        <v>100</v>
      </c>
      <c r="T29" s="667" t="s">
        <v>18</v>
      </c>
      <c r="U29" s="668">
        <f t="shared" si="13"/>
        <v>100</v>
      </c>
      <c r="V29" s="667" t="s">
        <v>18</v>
      </c>
      <c r="W29" s="668">
        <f t="shared" si="14"/>
        <v>100</v>
      </c>
      <c r="X29" s="1265"/>
      <c r="Y29" s="345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50"/>
      <c r="Q30" s="1263">
        <f t="shared" si="11"/>
        <v>111</v>
      </c>
      <c r="R30" s="667" t="s">
        <v>18</v>
      </c>
      <c r="S30" s="668">
        <f t="shared" si="12"/>
        <v>100</v>
      </c>
      <c r="T30" s="667" t="s">
        <v>18</v>
      </c>
      <c r="U30" s="668">
        <f t="shared" si="13"/>
        <v>100</v>
      </c>
      <c r="V30" s="667" t="s">
        <v>18</v>
      </c>
      <c r="W30" s="668">
        <f t="shared" si="14"/>
        <v>100</v>
      </c>
      <c r="X30" s="1265"/>
      <c r="Y30" s="345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50"/>
      <c r="Q31" s="1263">
        <f t="shared" si="11"/>
        <v>111</v>
      </c>
      <c r="R31" s="667" t="s">
        <v>18</v>
      </c>
      <c r="S31" s="668">
        <f t="shared" si="12"/>
        <v>100</v>
      </c>
      <c r="T31" s="667" t="s">
        <v>18</v>
      </c>
      <c r="U31" s="668">
        <f t="shared" si="13"/>
        <v>100</v>
      </c>
      <c r="V31" s="667" t="s">
        <v>18</v>
      </c>
      <c r="W31" s="668">
        <f t="shared" si="14"/>
        <v>100</v>
      </c>
      <c r="X31" s="1265"/>
      <c r="Y31" s="345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53" t="s">
        <v>1696</v>
      </c>
      <c r="Q32" s="1263" t="str">
        <f t="shared" si="11"/>
        <v>建筑类型</v>
      </c>
      <c r="R32" s="667" t="s">
        <v>18</v>
      </c>
      <c r="S32" s="668">
        <f t="shared" si="12"/>
        <v>100</v>
      </c>
      <c r="T32" s="667" t="s">
        <v>18</v>
      </c>
      <c r="U32" s="668">
        <f t="shared" si="13"/>
        <v>100</v>
      </c>
      <c r="V32" s="667" t="s">
        <v>18</v>
      </c>
      <c r="W32" s="668">
        <f t="shared" si="14"/>
        <v>100</v>
      </c>
      <c r="X32" s="1265"/>
      <c r="Y32" s="345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54"/>
      <c r="Q33" s="531" t="str">
        <f t="shared" si="11"/>
        <v>项目建筑规模</v>
      </c>
      <c r="R33" s="669" t="s">
        <v>18</v>
      </c>
      <c r="S33" s="670" t="e">
        <f t="shared" si="12"/>
        <v>#N/A</v>
      </c>
      <c r="T33" s="669" t="s">
        <v>18</v>
      </c>
      <c r="U33" s="670" t="e">
        <f t="shared" si="13"/>
        <v>#N/A</v>
      </c>
      <c r="V33" s="669" t="s">
        <v>18</v>
      </c>
      <c r="W33" s="670" t="e">
        <f t="shared" si="14"/>
        <v>#N/A</v>
      </c>
      <c r="X33" s="671"/>
      <c r="Y33" s="345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54"/>
      <c r="Q34" s="1263" t="str">
        <f t="shared" si="11"/>
        <v>建筑结构</v>
      </c>
      <c r="R34" s="667" t="s">
        <v>18</v>
      </c>
      <c r="S34" s="668">
        <f t="shared" si="12"/>
        <v>100</v>
      </c>
      <c r="T34" s="667" t="s">
        <v>18</v>
      </c>
      <c r="U34" s="668">
        <f t="shared" si="13"/>
        <v>100</v>
      </c>
      <c r="V34" s="667" t="s">
        <v>18</v>
      </c>
      <c r="W34" s="668">
        <f t="shared" si="14"/>
        <v>100</v>
      </c>
      <c r="X34" s="1265"/>
      <c r="Y34" s="345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54"/>
      <c r="Q35" s="1263" t="str">
        <f t="shared" si="11"/>
        <v>建筑品质</v>
      </c>
      <c r="R35" s="667" t="s">
        <v>18</v>
      </c>
      <c r="S35" s="668">
        <f t="shared" si="12"/>
        <v>100</v>
      </c>
      <c r="T35" s="667" t="s">
        <v>18</v>
      </c>
      <c r="U35" s="668">
        <f t="shared" si="13"/>
        <v>100</v>
      </c>
      <c r="V35" s="667" t="s">
        <v>18</v>
      </c>
      <c r="W35" s="668">
        <f t="shared" si="14"/>
        <v>100</v>
      </c>
      <c r="X35" s="1265"/>
      <c r="Y35" s="345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54"/>
      <c r="Q36" s="1263" t="str">
        <f t="shared" si="11"/>
        <v>公共部分装修</v>
      </c>
      <c r="R36" s="667" t="s">
        <v>18</v>
      </c>
      <c r="S36" s="668">
        <f t="shared" si="12"/>
        <v>100</v>
      </c>
      <c r="T36" s="667" t="s">
        <v>18</v>
      </c>
      <c r="U36" s="668">
        <f t="shared" si="13"/>
        <v>100</v>
      </c>
      <c r="V36" s="667" t="s">
        <v>18</v>
      </c>
      <c r="W36" s="668">
        <f t="shared" si="14"/>
        <v>100</v>
      </c>
      <c r="X36" s="1265"/>
      <c r="Y36" s="345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454"/>
      <c r="Q37" s="530" t="str">
        <f t="shared" si="11"/>
        <v>成新度</v>
      </c>
      <c r="R37" s="664" t="s">
        <v>18</v>
      </c>
      <c r="S37" s="665" t="e">
        <f t="shared" si="12"/>
        <v>#N/A</v>
      </c>
      <c r="T37" s="664" t="s">
        <v>18</v>
      </c>
      <c r="U37" s="665" t="e">
        <f t="shared" si="13"/>
        <v>#N/A</v>
      </c>
      <c r="V37" s="664" t="s">
        <v>18</v>
      </c>
      <c r="W37" s="665" t="e">
        <f t="shared" si="14"/>
        <v>#N/A</v>
      </c>
      <c r="X37" s="666"/>
      <c r="Y37" s="345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54" t="s">
        <v>1696</v>
      </c>
      <c r="Q38" s="1263" t="str">
        <f t="shared" si="11"/>
        <v>物业管理</v>
      </c>
      <c r="R38" s="667" t="s">
        <v>18</v>
      </c>
      <c r="S38" s="668">
        <f t="shared" si="12"/>
        <v>100</v>
      </c>
      <c r="T38" s="667" t="s">
        <v>18</v>
      </c>
      <c r="U38" s="668">
        <f t="shared" si="13"/>
        <v>100</v>
      </c>
      <c r="V38" s="667" t="s">
        <v>18</v>
      </c>
      <c r="W38" s="668">
        <f t="shared" si="14"/>
        <v>100</v>
      </c>
      <c r="X38" s="1265"/>
      <c r="Y38" s="345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54"/>
      <c r="Q39" s="1263" t="str">
        <f t="shared" si="11"/>
        <v>市政基础设施</v>
      </c>
      <c r="R39" s="667" t="s">
        <v>18</v>
      </c>
      <c r="S39" s="668">
        <f t="shared" si="12"/>
        <v>100</v>
      </c>
      <c r="T39" s="667" t="s">
        <v>18</v>
      </c>
      <c r="U39" s="668">
        <f t="shared" si="13"/>
        <v>100</v>
      </c>
      <c r="V39" s="667" t="s">
        <v>18</v>
      </c>
      <c r="W39" s="668">
        <f t="shared" si="14"/>
        <v>100</v>
      </c>
      <c r="X39" s="1265"/>
      <c r="Y39" s="345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54"/>
      <c r="Q40" s="1263" t="str">
        <f t="shared" si="11"/>
        <v>房型</v>
      </c>
      <c r="R40" s="667" t="s">
        <v>18</v>
      </c>
      <c r="S40" s="668">
        <f t="shared" si="12"/>
        <v>100</v>
      </c>
      <c r="T40" s="667" t="s">
        <v>18</v>
      </c>
      <c r="U40" s="668">
        <f t="shared" si="13"/>
        <v>100</v>
      </c>
      <c r="V40" s="667" t="s">
        <v>18</v>
      </c>
      <c r="W40" s="668">
        <f t="shared" si="14"/>
        <v>100</v>
      </c>
      <c r="X40" s="1265"/>
      <c r="Y40" s="345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54"/>
      <c r="Q41" s="531" t="str">
        <f t="shared" si="11"/>
        <v>单套/主力户型建筑面积</v>
      </c>
      <c r="R41" s="669" t="s">
        <v>18</v>
      </c>
      <c r="S41" s="670">
        <f t="shared" si="12"/>
        <v>100</v>
      </c>
      <c r="T41" s="669" t="s">
        <v>18</v>
      </c>
      <c r="U41" s="670">
        <f t="shared" si="13"/>
        <v>100</v>
      </c>
      <c r="V41" s="669" t="s">
        <v>18</v>
      </c>
      <c r="W41" s="670">
        <f t="shared" si="14"/>
        <v>100</v>
      </c>
      <c r="X41" s="671"/>
      <c r="Y41" s="345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54"/>
      <c r="Q42" s="1263" t="str">
        <f t="shared" si="11"/>
        <v>内部装修</v>
      </c>
      <c r="R42" s="667" t="s">
        <v>18</v>
      </c>
      <c r="S42" s="668">
        <f t="shared" si="12"/>
        <v>100</v>
      </c>
      <c r="T42" s="667" t="s">
        <v>18</v>
      </c>
      <c r="U42" s="668">
        <f t="shared" si="13"/>
        <v>100</v>
      </c>
      <c r="V42" s="667" t="s">
        <v>18</v>
      </c>
      <c r="W42" s="668">
        <f t="shared" si="14"/>
        <v>100</v>
      </c>
      <c r="X42" s="1265"/>
      <c r="Y42" s="345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54"/>
      <c r="Q43" s="1263" t="str">
        <f t="shared" si="11"/>
        <v>内部装修维护情况</v>
      </c>
      <c r="R43" s="667" t="s">
        <v>18</v>
      </c>
      <c r="S43" s="668">
        <f t="shared" si="12"/>
        <v>100</v>
      </c>
      <c r="T43" s="667" t="s">
        <v>18</v>
      </c>
      <c r="U43" s="668">
        <f t="shared" si="13"/>
        <v>100</v>
      </c>
      <c r="V43" s="667" t="s">
        <v>18</v>
      </c>
      <c r="W43" s="668">
        <f t="shared" si="14"/>
        <v>100</v>
      </c>
      <c r="X43" s="1265"/>
      <c r="Y43" s="345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54"/>
      <c r="Q44" s="530">
        <f t="shared" si="11"/>
        <v>111</v>
      </c>
      <c r="R44" s="664" t="s">
        <v>18</v>
      </c>
      <c r="S44" s="665">
        <f t="shared" si="12"/>
        <v>100</v>
      </c>
      <c r="T44" s="664" t="s">
        <v>18</v>
      </c>
      <c r="U44" s="665">
        <f t="shared" si="13"/>
        <v>100</v>
      </c>
      <c r="V44" s="664" t="s">
        <v>18</v>
      </c>
      <c r="W44" s="665">
        <f t="shared" si="14"/>
        <v>100</v>
      </c>
      <c r="X44" s="666"/>
      <c r="Y44" s="345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54"/>
      <c r="Q45" s="1263">
        <f t="shared" si="11"/>
        <v>111</v>
      </c>
      <c r="R45" s="667" t="s">
        <v>18</v>
      </c>
      <c r="S45" s="668">
        <f t="shared" si="12"/>
        <v>100</v>
      </c>
      <c r="T45" s="667" t="s">
        <v>18</v>
      </c>
      <c r="U45" s="668">
        <f t="shared" si="13"/>
        <v>100</v>
      </c>
      <c r="V45" s="667" t="s">
        <v>18</v>
      </c>
      <c r="W45" s="668">
        <f t="shared" si="14"/>
        <v>100</v>
      </c>
      <c r="X45" s="1265"/>
      <c r="Y45" s="345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55"/>
      <c r="Q46" s="1263">
        <f t="shared" si="11"/>
        <v>111</v>
      </c>
      <c r="R46" s="667" t="s">
        <v>17</v>
      </c>
      <c r="S46" s="668">
        <f t="shared" si="12"/>
        <v>100</v>
      </c>
      <c r="T46" s="667" t="s">
        <v>17</v>
      </c>
      <c r="U46" s="668">
        <f t="shared" si="13"/>
        <v>100</v>
      </c>
      <c r="V46" s="667" t="s">
        <v>17</v>
      </c>
      <c r="W46" s="668">
        <f t="shared" si="14"/>
        <v>100</v>
      </c>
      <c r="X46" s="1265"/>
      <c r="Y46" s="345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444" t="str">
        <f>A47</f>
        <v>成交单价（元/平方米）</v>
      </c>
      <c r="Q47" s="3444"/>
      <c r="R47" s="3445">
        <f>E47</f>
        <v>0</v>
      </c>
      <c r="S47" s="3445"/>
      <c r="T47" s="3445">
        <f>G47</f>
        <v>0</v>
      </c>
      <c r="U47" s="3445"/>
      <c r="V47" s="3445">
        <f>I47</f>
        <v>0</v>
      </c>
      <c r="W47" s="3445"/>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44" t="str">
        <f>A48</f>
        <v>比较价值（元/平方米）</v>
      </c>
      <c r="Q48" s="3444"/>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446" t="str">
        <f>A49</f>
        <v>估价对象XX用房的比较价值（楼面单价，元/平方米）</v>
      </c>
      <c r="Q49" s="3447"/>
      <c r="R49" s="3448" t="e">
        <f>IF(F1="售价",ROUND(IF(D48="简单平均",AVERAGE(R48:V48),R48*F48+T48*H48+V48*J48),0),ROUND(IF(D48="简单平均",AVERAGE(R48:V48),R48*F48+T48*H48+V48*J48),1))</f>
        <v>#DIV/0!</v>
      </c>
      <c r="S49" s="3448"/>
      <c r="T49" s="3448"/>
      <c r="U49" s="3448"/>
      <c r="V49" s="3448"/>
      <c r="W49" s="344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2024-3</v>
      </c>
      <c r="D58" s="1104">
        <f>EDATE(C58,-1)</f>
        <v>45323</v>
      </c>
      <c r="E58" s="1104">
        <f>EDATE(D58,-1)</f>
        <v>45292</v>
      </c>
      <c r="F58" s="1104">
        <f t="shared" ref="F58:O58" si="19">EDATE(E58,-1)</f>
        <v>45261</v>
      </c>
      <c r="G58" s="1104">
        <f t="shared" si="19"/>
        <v>45231</v>
      </c>
      <c r="H58" s="1104">
        <f t="shared" si="19"/>
        <v>45200</v>
      </c>
      <c r="I58" s="1104">
        <f t="shared" si="19"/>
        <v>45170</v>
      </c>
      <c r="J58" s="1104">
        <f t="shared" si="19"/>
        <v>45139</v>
      </c>
      <c r="K58" s="1104">
        <f t="shared" si="19"/>
        <v>45108</v>
      </c>
      <c r="L58" s="1104">
        <f t="shared" si="19"/>
        <v>45078</v>
      </c>
      <c r="M58" s="1104">
        <f t="shared" si="19"/>
        <v>45047</v>
      </c>
      <c r="N58" s="1104">
        <f t="shared" si="19"/>
        <v>45017</v>
      </c>
      <c r="O58" s="1104">
        <f t="shared" si="19"/>
        <v>44986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4769.92</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462" t="s">
        <v>1770</v>
      </c>
      <c r="D4" s="3463"/>
      <c r="E4" s="3464" t="s">
        <v>1771</v>
      </c>
      <c r="F4" s="3465"/>
      <c r="G4" s="3462" t="s">
        <v>1772</v>
      </c>
      <c r="H4" s="3463"/>
      <c r="I4" s="3462" t="s">
        <v>1773</v>
      </c>
      <c r="J4" s="3463"/>
      <c r="K4" s="537" t="s">
        <v>1774</v>
      </c>
      <c r="L4" s="2485"/>
      <c r="M4" s="2486"/>
      <c r="N4" s="2486"/>
      <c r="O4" s="2486"/>
      <c r="P4" s="3523" t="s">
        <v>1775</v>
      </c>
      <c r="Q4" s="3524"/>
      <c r="R4" s="3527" t="s">
        <v>1771</v>
      </c>
      <c r="S4" s="3528"/>
      <c r="T4" s="3527" t="s">
        <v>1772</v>
      </c>
      <c r="U4" s="3528"/>
      <c r="V4" s="3529" t="s">
        <v>1773</v>
      </c>
      <c r="W4" s="3529"/>
      <c r="X4" s="1809"/>
      <c r="Y4" s="3527" t="s">
        <v>1775</v>
      </c>
      <c r="Z4" s="3528"/>
      <c r="AA4" s="3531" t="s">
        <v>1771</v>
      </c>
      <c r="AB4" s="3531" t="s">
        <v>1772</v>
      </c>
      <c r="AC4" s="3520" t="s">
        <v>1773</v>
      </c>
    </row>
    <row r="5" spans="1:29" ht="15">
      <c r="A5" s="348"/>
      <c r="B5" s="349"/>
      <c r="C5" s="3480" t="s">
        <v>1673</v>
      </c>
      <c r="D5" s="3481"/>
      <c r="E5" s="3516" t="s">
        <v>1674</v>
      </c>
      <c r="F5" s="3489"/>
      <c r="G5" s="3480" t="s">
        <v>1675</v>
      </c>
      <c r="H5" s="3481"/>
      <c r="I5" s="3480" t="s">
        <v>1676</v>
      </c>
      <c r="J5" s="3481"/>
      <c r="K5" s="537"/>
      <c r="L5" s="2485"/>
      <c r="M5" s="2486"/>
      <c r="N5" s="2486"/>
      <c r="O5" s="2486"/>
      <c r="P5" s="3525"/>
      <c r="Q5" s="3469"/>
      <c r="R5" s="3474"/>
      <c r="S5" s="3475"/>
      <c r="T5" s="3474"/>
      <c r="U5" s="3475"/>
      <c r="V5" s="3445"/>
      <c r="W5" s="3445"/>
      <c r="X5" s="1265"/>
      <c r="Y5" s="3474"/>
      <c r="Z5" s="3475"/>
      <c r="AA5" s="3460"/>
      <c r="AB5" s="3460"/>
      <c r="AC5" s="3521"/>
    </row>
    <row r="6" spans="1:29" ht="15.75" thickBot="1">
      <c r="A6" s="350"/>
      <c r="B6" s="351"/>
      <c r="C6" s="3478" t="s">
        <v>1677</v>
      </c>
      <c r="D6" s="3479"/>
      <c r="E6" s="3486" t="s">
        <v>1677</v>
      </c>
      <c r="F6" s="3487"/>
      <c r="G6" s="3478" t="s">
        <v>1677</v>
      </c>
      <c r="H6" s="3479"/>
      <c r="I6" s="3478" t="s">
        <v>1677</v>
      </c>
      <c r="J6" s="3479"/>
      <c r="K6" s="537" t="s">
        <v>1678</v>
      </c>
      <c r="L6" s="2485"/>
      <c r="M6" s="2486"/>
      <c r="N6" s="2486"/>
      <c r="O6" s="2486"/>
      <c r="P6" s="3526"/>
      <c r="Q6" s="3471"/>
      <c r="R6" s="3474"/>
      <c r="S6" s="3475"/>
      <c r="T6" s="3476"/>
      <c r="U6" s="3477"/>
      <c r="V6" s="3445"/>
      <c r="W6" s="3445"/>
      <c r="X6" s="1265"/>
      <c r="Y6" s="3476"/>
      <c r="Z6" s="3477"/>
      <c r="AA6" s="3461"/>
      <c r="AB6" s="3461"/>
      <c r="AC6" s="3522"/>
    </row>
    <row r="7" spans="1:29" s="102" customFormat="1" ht="15.75" thickBot="1">
      <c r="A7" s="352" t="s">
        <v>1679</v>
      </c>
      <c r="B7" s="353"/>
      <c r="C7" s="354">
        <f>'数据-取费表'!B2</f>
        <v>45352</v>
      </c>
      <c r="D7" s="355">
        <v>100</v>
      </c>
      <c r="E7" s="356"/>
      <c r="F7" s="357">
        <f>SUMIF(59:59,YEAR(E7)&amp;"-"&amp;MONTH(E7),60:60)</f>
        <v>0</v>
      </c>
      <c r="G7" s="356"/>
      <c r="H7" s="355">
        <f>SUMIF(59:59,YEAR(G7)&amp;"-"&amp;MONTH(G7),60:60)</f>
        <v>0</v>
      </c>
      <c r="I7" s="356"/>
      <c r="J7" s="355">
        <f>SUMIF(59:59,YEAR(I7)&amp;"-"&amp;MONTH(I7),60:60)</f>
        <v>0</v>
      </c>
      <c r="K7" s="38"/>
      <c r="L7" s="2487"/>
      <c r="M7" s="2438"/>
      <c r="N7" s="2438"/>
      <c r="O7" s="2438"/>
      <c r="P7" s="3530" t="s">
        <v>1680</v>
      </c>
      <c r="Q7" s="3484"/>
      <c r="R7" s="664" t="s">
        <v>14</v>
      </c>
      <c r="S7" s="665">
        <f t="shared" ref="S7:S15" si="0">F7</f>
        <v>0</v>
      </c>
      <c r="T7" s="664" t="s">
        <v>14</v>
      </c>
      <c r="U7" s="665">
        <f t="shared" ref="U7:U15" si="1">H7</f>
        <v>0</v>
      </c>
      <c r="V7" s="664" t="s">
        <v>14</v>
      </c>
      <c r="W7" s="665">
        <f t="shared" ref="W7:W15" si="2">J7</f>
        <v>0</v>
      </c>
      <c r="X7" s="666"/>
      <c r="Y7" s="3482" t="s">
        <v>1680</v>
      </c>
      <c r="Z7" s="348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530" t="s">
        <v>1683</v>
      </c>
      <c r="Q8" s="3483"/>
      <c r="R8" s="664" t="s">
        <v>14</v>
      </c>
      <c r="S8" s="665">
        <f t="shared" si="0"/>
        <v>100</v>
      </c>
      <c r="T8" s="664" t="s">
        <v>14</v>
      </c>
      <c r="U8" s="665">
        <f t="shared" si="1"/>
        <v>100</v>
      </c>
      <c r="V8" s="664" t="s">
        <v>14</v>
      </c>
      <c r="W8" s="665">
        <f t="shared" si="2"/>
        <v>100</v>
      </c>
      <c r="X8" s="666"/>
      <c r="Y8" s="3482" t="s">
        <v>1683</v>
      </c>
      <c r="Z8" s="348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458"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58"/>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58"/>
      <c r="Q11" s="530" t="str">
        <f t="shared" si="6"/>
        <v>容积率</v>
      </c>
      <c r="R11" s="664" t="s">
        <v>14</v>
      </c>
      <c r="S11" s="665">
        <f t="shared" si="0"/>
        <v>100</v>
      </c>
      <c r="T11" s="664" t="s">
        <v>14</v>
      </c>
      <c r="U11" s="665">
        <f t="shared" si="1"/>
        <v>100</v>
      </c>
      <c r="V11" s="664" t="s">
        <v>14</v>
      </c>
      <c r="W11" s="665">
        <f t="shared" si="2"/>
        <v>100</v>
      </c>
      <c r="X11" s="666"/>
      <c r="Y11" s="330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8"/>
      <c r="N12" s="2438"/>
      <c r="O12" s="2438"/>
      <c r="P12" s="3458"/>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58"/>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58"/>
      <c r="Q14" s="530">
        <f t="shared" si="6"/>
        <v>111</v>
      </c>
      <c r="R14" s="664" t="s">
        <v>14</v>
      </c>
      <c r="S14" s="665">
        <f t="shared" si="0"/>
        <v>100</v>
      </c>
      <c r="T14" s="664" t="s">
        <v>14</v>
      </c>
      <c r="U14" s="665">
        <f t="shared" si="1"/>
        <v>100</v>
      </c>
      <c r="V14" s="664" t="s">
        <v>14</v>
      </c>
      <c r="W14" s="665">
        <f t="shared" si="2"/>
        <v>100</v>
      </c>
      <c r="X14" s="666"/>
      <c r="Y14" s="3308"/>
      <c r="Z14" s="50">
        <f t="shared" si="7"/>
        <v>111</v>
      </c>
      <c r="AA14" s="50">
        <f t="shared" si="3"/>
        <v>1</v>
      </c>
      <c r="AB14" s="50">
        <f t="shared" si="4"/>
        <v>1</v>
      </c>
      <c r="AC14" s="802">
        <f t="shared" si="5"/>
        <v>1</v>
      </c>
    </row>
    <row r="15" spans="1:29" ht="57">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49" t="s">
        <v>1691</v>
      </c>
      <c r="Q15" s="1263" t="str">
        <f t="shared" si="6"/>
        <v>办公集聚程度</v>
      </c>
      <c r="R15" s="667" t="s">
        <v>14</v>
      </c>
      <c r="S15" s="668">
        <f t="shared" si="0"/>
        <v>100</v>
      </c>
      <c r="T15" s="667" t="s">
        <v>14</v>
      </c>
      <c r="U15" s="668">
        <f t="shared" si="1"/>
        <v>100</v>
      </c>
      <c r="V15" s="667" t="s">
        <v>14</v>
      </c>
      <c r="W15" s="668">
        <f t="shared" si="2"/>
        <v>100</v>
      </c>
      <c r="X15" s="1265"/>
      <c r="Y15" s="345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50"/>
      <c r="Q16" s="1263"/>
      <c r="R16" s="667"/>
      <c r="S16" s="668"/>
      <c r="T16" s="667"/>
      <c r="U16" s="668"/>
      <c r="V16" s="667"/>
      <c r="W16" s="668"/>
      <c r="X16" s="1265"/>
      <c r="Y16" s="3452"/>
      <c r="Z16" s="1264"/>
      <c r="AA16" s="1264">
        <v>1</v>
      </c>
      <c r="AB16" s="1264">
        <v>1</v>
      </c>
      <c r="AC16" s="1812">
        <v>1</v>
      </c>
    </row>
    <row r="17" spans="1:29" ht="142.5">
      <c r="A17" s="367"/>
      <c r="B17" s="556" t="s">
        <v>1259</v>
      </c>
      <c r="C17" s="1813" t="str">
        <f>估价对象房地状况!C6</f>
        <v>估价对象周边有305路、320路、365路、432路、614路、982路等多条公交线路，距离地铁13号线上地站约950米，周边道路网线较密集，通达度较好。综合评价交通便捷度较好。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50"/>
      <c r="Q17" s="1263" t="str">
        <f>B17</f>
        <v>交通便捷度</v>
      </c>
      <c r="R17" s="667" t="s">
        <v>14</v>
      </c>
      <c r="S17" s="668">
        <f>F17</f>
        <v>100</v>
      </c>
      <c r="T17" s="667" t="s">
        <v>14</v>
      </c>
      <c r="U17" s="668">
        <f>H17</f>
        <v>100</v>
      </c>
      <c r="V17" s="667" t="s">
        <v>14</v>
      </c>
      <c r="W17" s="668">
        <f>J17</f>
        <v>100</v>
      </c>
      <c r="X17" s="1265"/>
      <c r="Y17" s="345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50"/>
      <c r="Q18" s="1263"/>
      <c r="R18" s="667"/>
      <c r="S18" s="668"/>
      <c r="T18" s="667"/>
      <c r="U18" s="668"/>
      <c r="V18" s="667"/>
      <c r="W18" s="668"/>
      <c r="X18" s="1265"/>
      <c r="Y18" s="3452"/>
      <c r="Z18" s="1264"/>
      <c r="AA18" s="1264">
        <v>1</v>
      </c>
      <c r="AB18" s="1264">
        <v>1</v>
      </c>
      <c r="AC18" s="1812">
        <v>1</v>
      </c>
    </row>
    <row r="19" spans="1:29" ht="256.5">
      <c r="A19" s="367"/>
      <c r="B19" s="556" t="s">
        <v>1812</v>
      </c>
      <c r="C19" s="1813" t="str">
        <f>估价对象房地状况!C7</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50"/>
      <c r="Q19" s="1263" t="str">
        <f>B19</f>
        <v>公共配套设施</v>
      </c>
      <c r="R19" s="667" t="s">
        <v>14</v>
      </c>
      <c r="S19" s="668">
        <f>F19</f>
        <v>100</v>
      </c>
      <c r="T19" s="667" t="s">
        <v>14</v>
      </c>
      <c r="U19" s="668">
        <f>H19</f>
        <v>100</v>
      </c>
      <c r="V19" s="667" t="s">
        <v>14</v>
      </c>
      <c r="W19" s="668">
        <f>J19</f>
        <v>100</v>
      </c>
      <c r="X19" s="1265"/>
      <c r="Y19" s="345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50"/>
      <c r="Q20" s="1263"/>
      <c r="R20" s="667"/>
      <c r="S20" s="668"/>
      <c r="T20" s="667"/>
      <c r="U20" s="668"/>
      <c r="V20" s="667"/>
      <c r="W20" s="668"/>
      <c r="X20" s="1265"/>
      <c r="Y20" s="3452"/>
      <c r="Z20" s="1264"/>
      <c r="AA20" s="1264">
        <v>1</v>
      </c>
      <c r="AB20" s="1264">
        <v>1</v>
      </c>
      <c r="AC20" s="1812">
        <v>1</v>
      </c>
    </row>
    <row r="21" spans="1:29" ht="42.75">
      <c r="A21" s="367"/>
      <c r="B21" s="557" t="s">
        <v>1813</v>
      </c>
      <c r="C21" s="1813" t="str">
        <f>估价对象房地状况!C8</f>
        <v>估价对象所在区域基础设施水平-七通</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50"/>
      <c r="Q21" s="1263" t="str">
        <f>B21</f>
        <v>基础设施水平</v>
      </c>
      <c r="R21" s="667" t="s">
        <v>14</v>
      </c>
      <c r="S21" s="668">
        <f>F21</f>
        <v>100</v>
      </c>
      <c r="T21" s="667" t="s">
        <v>14</v>
      </c>
      <c r="U21" s="668">
        <f>H21</f>
        <v>100</v>
      </c>
      <c r="V21" s="667" t="s">
        <v>14</v>
      </c>
      <c r="W21" s="668">
        <f>J21</f>
        <v>100</v>
      </c>
      <c r="X21" s="1265"/>
      <c r="Y21" s="345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50"/>
      <c r="Q22" s="1263"/>
      <c r="R22" s="667"/>
      <c r="S22" s="668"/>
      <c r="T22" s="667"/>
      <c r="U22" s="668"/>
      <c r="V22" s="667"/>
      <c r="W22" s="668"/>
      <c r="X22" s="1265"/>
      <c r="Y22" s="3452"/>
      <c r="Z22" s="1264"/>
      <c r="AA22" s="1264">
        <v>1</v>
      </c>
      <c r="AB22" s="1264">
        <v>1</v>
      </c>
      <c r="AC22" s="1812">
        <v>1</v>
      </c>
    </row>
    <row r="23" spans="1:29" ht="57">
      <c r="A23" s="367"/>
      <c r="B23" s="556" t="s">
        <v>1814</v>
      </c>
      <c r="C23" s="1813" t="str">
        <f>估价对象房地状况!C9</f>
        <v>估价对象周边有树村郊野公园、生态花谷、北京体育大学场等自然人文场所，综合评价环境状况较好。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50"/>
      <c r="Q23" s="1263" t="str">
        <f>B23</f>
        <v>环境质量</v>
      </c>
      <c r="R23" s="667" t="s">
        <v>14</v>
      </c>
      <c r="S23" s="668">
        <f>F23</f>
        <v>100</v>
      </c>
      <c r="T23" s="667" t="s">
        <v>14</v>
      </c>
      <c r="U23" s="668">
        <f>H23</f>
        <v>100</v>
      </c>
      <c r="V23" s="667" t="s">
        <v>14</v>
      </c>
      <c r="W23" s="668">
        <f>J23</f>
        <v>100</v>
      </c>
      <c r="X23" s="1265"/>
      <c r="Y23" s="345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50"/>
      <c r="Q24" s="1263"/>
      <c r="R24" s="667"/>
      <c r="S24" s="668"/>
      <c r="T24" s="667"/>
      <c r="U24" s="668"/>
      <c r="V24" s="667"/>
      <c r="W24" s="668"/>
      <c r="X24" s="1265"/>
      <c r="Y24" s="345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50"/>
      <c r="Q25" s="1263" t="str">
        <f>B25</f>
        <v>毗邻道路的类型与等级</v>
      </c>
      <c r="R25" s="667" t="s">
        <v>14</v>
      </c>
      <c r="S25" s="668">
        <f>F25</f>
        <v>100</v>
      </c>
      <c r="T25" s="667" t="s">
        <v>14</v>
      </c>
      <c r="U25" s="668">
        <f>H25</f>
        <v>100</v>
      </c>
      <c r="V25" s="667" t="s">
        <v>14</v>
      </c>
      <c r="W25" s="668">
        <f>J25</f>
        <v>100</v>
      </c>
      <c r="X25" s="1265"/>
      <c r="Y25" s="345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50"/>
      <c r="Q26" s="1263"/>
      <c r="R26" s="667"/>
      <c r="S26" s="668"/>
      <c r="T26" s="667"/>
      <c r="U26" s="668"/>
      <c r="V26" s="667"/>
      <c r="W26" s="668"/>
      <c r="X26" s="1265"/>
      <c r="Y26" s="345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50"/>
      <c r="Q27" s="1263" t="str">
        <f t="shared" ref="Q27:Q47" si="11">B27</f>
        <v>楼层</v>
      </c>
      <c r="R27" s="667" t="s">
        <v>14</v>
      </c>
      <c r="S27" s="668">
        <f>F27</f>
        <v>100</v>
      </c>
      <c r="T27" s="667" t="s">
        <v>14</v>
      </c>
      <c r="U27" s="668">
        <f>H27</f>
        <v>100</v>
      </c>
      <c r="V27" s="667" t="s">
        <v>14</v>
      </c>
      <c r="W27" s="668">
        <f>J27</f>
        <v>100</v>
      </c>
      <c r="X27" s="1265"/>
      <c r="Y27" s="345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8"/>
      <c r="N28" s="2438"/>
      <c r="O28" s="2438"/>
      <c r="P28" s="3450"/>
      <c r="Q28" s="530" t="str">
        <f t="shared" si="11"/>
        <v>朝向</v>
      </c>
      <c r="R28" s="664" t="s">
        <v>14</v>
      </c>
      <c r="S28" s="665">
        <f>F28</f>
        <v>100</v>
      </c>
      <c r="T28" s="664" t="s">
        <v>14</v>
      </c>
      <c r="U28" s="665">
        <f>H28</f>
        <v>100</v>
      </c>
      <c r="V28" s="664" t="s">
        <v>14</v>
      </c>
      <c r="W28" s="665">
        <f>J28</f>
        <v>100</v>
      </c>
      <c r="X28" s="666"/>
      <c r="Y28" s="345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50"/>
      <c r="Q29" s="1263">
        <f t="shared" si="11"/>
        <v>111</v>
      </c>
      <c r="R29" s="667" t="s">
        <v>14</v>
      </c>
      <c r="S29" s="668">
        <f t="shared" ref="S29:S47" si="12">F29</f>
        <v>100</v>
      </c>
      <c r="T29" s="667" t="s">
        <v>14</v>
      </c>
      <c r="U29" s="668">
        <f t="shared" ref="U29:U47" si="13">H29</f>
        <v>100</v>
      </c>
      <c r="V29" s="667" t="s">
        <v>14</v>
      </c>
      <c r="W29" s="668">
        <f t="shared" ref="W29:W47" si="14">J29</f>
        <v>100</v>
      </c>
      <c r="X29" s="1265"/>
      <c r="Y29" s="345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50"/>
      <c r="Q30" s="1263">
        <f t="shared" si="11"/>
        <v>111</v>
      </c>
      <c r="R30" s="667" t="s">
        <v>14</v>
      </c>
      <c r="S30" s="668">
        <f t="shared" si="12"/>
        <v>100</v>
      </c>
      <c r="T30" s="667" t="s">
        <v>14</v>
      </c>
      <c r="U30" s="668">
        <f t="shared" si="13"/>
        <v>100</v>
      </c>
      <c r="V30" s="667" t="s">
        <v>14</v>
      </c>
      <c r="W30" s="668">
        <f t="shared" si="14"/>
        <v>100</v>
      </c>
      <c r="X30" s="1265"/>
      <c r="Y30" s="345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50"/>
      <c r="Q31" s="1263">
        <f t="shared" si="11"/>
        <v>111</v>
      </c>
      <c r="R31" s="667" t="s">
        <v>14</v>
      </c>
      <c r="S31" s="668">
        <f t="shared" si="12"/>
        <v>100</v>
      </c>
      <c r="T31" s="667" t="s">
        <v>14</v>
      </c>
      <c r="U31" s="668">
        <f t="shared" si="13"/>
        <v>100</v>
      </c>
      <c r="V31" s="667" t="s">
        <v>14</v>
      </c>
      <c r="W31" s="668">
        <f t="shared" si="14"/>
        <v>100</v>
      </c>
      <c r="X31" s="1265"/>
      <c r="Y31" s="345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50"/>
      <c r="Q32" s="1263">
        <f t="shared" si="11"/>
        <v>111</v>
      </c>
      <c r="R32" s="667" t="s">
        <v>14</v>
      </c>
      <c r="S32" s="668">
        <f t="shared" si="12"/>
        <v>100</v>
      </c>
      <c r="T32" s="667" t="s">
        <v>14</v>
      </c>
      <c r="U32" s="668">
        <f t="shared" si="13"/>
        <v>100</v>
      </c>
      <c r="V32" s="667" t="s">
        <v>14</v>
      </c>
      <c r="W32" s="668">
        <f t="shared" si="14"/>
        <v>100</v>
      </c>
      <c r="X32" s="1265"/>
      <c r="Y32" s="345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53" t="s">
        <v>1696</v>
      </c>
      <c r="Q33" s="1263" t="str">
        <f t="shared" si="11"/>
        <v>建筑类型</v>
      </c>
      <c r="R33" s="667" t="s">
        <v>14</v>
      </c>
      <c r="S33" s="668">
        <f t="shared" si="12"/>
        <v>100</v>
      </c>
      <c r="T33" s="667" t="s">
        <v>14</v>
      </c>
      <c r="U33" s="668">
        <f t="shared" si="13"/>
        <v>100</v>
      </c>
      <c r="V33" s="667" t="s">
        <v>14</v>
      </c>
      <c r="W33" s="668">
        <f t="shared" si="14"/>
        <v>100</v>
      </c>
      <c r="X33" s="1265"/>
      <c r="Y33" s="345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54"/>
      <c r="Q34" s="531" t="str">
        <f t="shared" si="11"/>
        <v>项目建筑规模</v>
      </c>
      <c r="R34" s="669" t="s">
        <v>14</v>
      </c>
      <c r="S34" s="670" t="e">
        <f t="shared" si="12"/>
        <v>#N/A</v>
      </c>
      <c r="T34" s="669" t="s">
        <v>14</v>
      </c>
      <c r="U34" s="670" t="e">
        <f t="shared" si="13"/>
        <v>#N/A</v>
      </c>
      <c r="V34" s="669" t="s">
        <v>14</v>
      </c>
      <c r="W34" s="670" t="e">
        <f t="shared" si="14"/>
        <v>#N/A</v>
      </c>
      <c r="X34" s="671"/>
      <c r="Y34" s="345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54"/>
      <c r="Q35" s="1263" t="str">
        <f t="shared" si="11"/>
        <v>建筑结构</v>
      </c>
      <c r="R35" s="667" t="s">
        <v>14</v>
      </c>
      <c r="S35" s="668">
        <f t="shared" si="12"/>
        <v>100</v>
      </c>
      <c r="T35" s="667" t="s">
        <v>14</v>
      </c>
      <c r="U35" s="668">
        <f t="shared" si="13"/>
        <v>100</v>
      </c>
      <c r="V35" s="667" t="s">
        <v>14</v>
      </c>
      <c r="W35" s="668">
        <f t="shared" si="14"/>
        <v>100</v>
      </c>
      <c r="X35" s="1265"/>
      <c r="Y35" s="345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54"/>
      <c r="Q36" s="1263" t="str">
        <f t="shared" si="11"/>
        <v>公共部分装修</v>
      </c>
      <c r="R36" s="667" t="s">
        <v>14</v>
      </c>
      <c r="S36" s="668">
        <f t="shared" si="12"/>
        <v>100</v>
      </c>
      <c r="T36" s="667" t="s">
        <v>14</v>
      </c>
      <c r="U36" s="668">
        <f t="shared" si="13"/>
        <v>100</v>
      </c>
      <c r="V36" s="667" t="s">
        <v>14</v>
      </c>
      <c r="W36" s="668">
        <f t="shared" si="14"/>
        <v>100</v>
      </c>
      <c r="X36" s="1265"/>
      <c r="Y36" s="345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54"/>
      <c r="Q37" s="1263" t="str">
        <f t="shared" si="11"/>
        <v>成新度</v>
      </c>
      <c r="R37" s="667" t="s">
        <v>14</v>
      </c>
      <c r="S37" s="668" t="e">
        <f t="shared" si="12"/>
        <v>#N/A</v>
      </c>
      <c r="T37" s="667" t="s">
        <v>14</v>
      </c>
      <c r="U37" s="668" t="e">
        <f t="shared" si="13"/>
        <v>#N/A</v>
      </c>
      <c r="V37" s="667" t="s">
        <v>14</v>
      </c>
      <c r="W37" s="668" t="e">
        <f t="shared" si="14"/>
        <v>#N/A</v>
      </c>
      <c r="X37" s="1265"/>
      <c r="Y37" s="345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54"/>
      <c r="Q38" s="530" t="str">
        <f t="shared" si="11"/>
        <v>写字楼等级</v>
      </c>
      <c r="R38" s="664" t="s">
        <v>14</v>
      </c>
      <c r="S38" s="665">
        <f t="shared" si="12"/>
        <v>100</v>
      </c>
      <c r="T38" s="664" t="s">
        <v>14</v>
      </c>
      <c r="U38" s="665">
        <f t="shared" si="13"/>
        <v>100</v>
      </c>
      <c r="V38" s="664" t="s">
        <v>14</v>
      </c>
      <c r="W38" s="665">
        <f t="shared" si="14"/>
        <v>100</v>
      </c>
      <c r="X38" s="666"/>
      <c r="Y38" s="345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54" t="s">
        <v>1696</v>
      </c>
      <c r="Q39" s="1263" t="str">
        <f t="shared" si="11"/>
        <v>物业管理</v>
      </c>
      <c r="R39" s="667" t="s">
        <v>14</v>
      </c>
      <c r="S39" s="668">
        <f t="shared" si="12"/>
        <v>100</v>
      </c>
      <c r="T39" s="667" t="s">
        <v>14</v>
      </c>
      <c r="U39" s="668">
        <f t="shared" si="13"/>
        <v>100</v>
      </c>
      <c r="V39" s="667" t="s">
        <v>14</v>
      </c>
      <c r="W39" s="668">
        <f t="shared" si="14"/>
        <v>100</v>
      </c>
      <c r="X39" s="1265"/>
      <c r="Y39" s="345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54"/>
      <c r="Q40" s="1263" t="str">
        <f t="shared" si="11"/>
        <v>市政基础设施</v>
      </c>
      <c r="R40" s="667" t="s">
        <v>14</v>
      </c>
      <c r="S40" s="668">
        <f t="shared" si="12"/>
        <v>100</v>
      </c>
      <c r="T40" s="667" t="s">
        <v>14</v>
      </c>
      <c r="U40" s="668">
        <f t="shared" si="13"/>
        <v>100</v>
      </c>
      <c r="V40" s="667" t="s">
        <v>14</v>
      </c>
      <c r="W40" s="668">
        <f t="shared" si="14"/>
        <v>100</v>
      </c>
      <c r="X40" s="1265"/>
      <c r="Y40" s="345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54"/>
      <c r="Q41" s="1263" t="str">
        <f t="shared" si="11"/>
        <v>层高</v>
      </c>
      <c r="R41" s="667" t="s">
        <v>14</v>
      </c>
      <c r="S41" s="668">
        <f t="shared" si="12"/>
        <v>100</v>
      </c>
      <c r="T41" s="667" t="s">
        <v>14</v>
      </c>
      <c r="U41" s="668">
        <f t="shared" si="13"/>
        <v>100</v>
      </c>
      <c r="V41" s="667" t="s">
        <v>14</v>
      </c>
      <c r="W41" s="668">
        <f t="shared" si="14"/>
        <v>100</v>
      </c>
      <c r="X41" s="1265"/>
      <c r="Y41" s="345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54"/>
      <c r="Q42" s="531" t="str">
        <f t="shared" si="11"/>
        <v>单套建筑面积</v>
      </c>
      <c r="R42" s="669" t="s">
        <v>14</v>
      </c>
      <c r="S42" s="670">
        <f t="shared" si="12"/>
        <v>100</v>
      </c>
      <c r="T42" s="669" t="s">
        <v>14</v>
      </c>
      <c r="U42" s="670">
        <f t="shared" si="13"/>
        <v>100</v>
      </c>
      <c r="V42" s="669" t="s">
        <v>14</v>
      </c>
      <c r="W42" s="670">
        <f t="shared" si="14"/>
        <v>100</v>
      </c>
      <c r="X42" s="671"/>
      <c r="Y42" s="345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54"/>
      <c r="Q43" s="1263" t="str">
        <f t="shared" si="11"/>
        <v>内部装修</v>
      </c>
      <c r="R43" s="667" t="s">
        <v>14</v>
      </c>
      <c r="S43" s="668">
        <f t="shared" si="12"/>
        <v>100</v>
      </c>
      <c r="T43" s="667" t="s">
        <v>14</v>
      </c>
      <c r="U43" s="668">
        <f t="shared" si="13"/>
        <v>100</v>
      </c>
      <c r="V43" s="667" t="s">
        <v>14</v>
      </c>
      <c r="W43" s="668">
        <f t="shared" si="14"/>
        <v>100</v>
      </c>
      <c r="X43" s="1265"/>
      <c r="Y43" s="345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54"/>
      <c r="Q44" s="1263" t="str">
        <f t="shared" si="11"/>
        <v>内部装修维护情况</v>
      </c>
      <c r="R44" s="667" t="s">
        <v>14</v>
      </c>
      <c r="S44" s="668">
        <f t="shared" si="12"/>
        <v>100</v>
      </c>
      <c r="T44" s="667" t="s">
        <v>14</v>
      </c>
      <c r="U44" s="668">
        <f t="shared" si="13"/>
        <v>100</v>
      </c>
      <c r="V44" s="667" t="s">
        <v>14</v>
      </c>
      <c r="W44" s="668">
        <f t="shared" si="14"/>
        <v>100</v>
      </c>
      <c r="X44" s="1265"/>
      <c r="Y44" s="345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54"/>
      <c r="Q45" s="530">
        <f t="shared" si="11"/>
        <v>111</v>
      </c>
      <c r="R45" s="664" t="s">
        <v>14</v>
      </c>
      <c r="S45" s="665">
        <f t="shared" si="12"/>
        <v>100</v>
      </c>
      <c r="T45" s="664" t="s">
        <v>14</v>
      </c>
      <c r="U45" s="665">
        <f t="shared" si="13"/>
        <v>100</v>
      </c>
      <c r="V45" s="664" t="s">
        <v>14</v>
      </c>
      <c r="W45" s="665">
        <f t="shared" si="14"/>
        <v>100</v>
      </c>
      <c r="X45" s="666"/>
      <c r="Y45" s="345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54"/>
      <c r="Q46" s="1263">
        <f t="shared" si="11"/>
        <v>111</v>
      </c>
      <c r="R46" s="667" t="s">
        <v>14</v>
      </c>
      <c r="S46" s="668">
        <f t="shared" si="12"/>
        <v>100</v>
      </c>
      <c r="T46" s="667" t="s">
        <v>14</v>
      </c>
      <c r="U46" s="668">
        <f t="shared" si="13"/>
        <v>100</v>
      </c>
      <c r="V46" s="667" t="s">
        <v>14</v>
      </c>
      <c r="W46" s="668">
        <f t="shared" si="14"/>
        <v>100</v>
      </c>
      <c r="X46" s="1265"/>
      <c r="Y46" s="345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55"/>
      <c r="Q47" s="1263">
        <f t="shared" si="11"/>
        <v>111</v>
      </c>
      <c r="R47" s="667" t="s">
        <v>14</v>
      </c>
      <c r="S47" s="668">
        <f t="shared" si="12"/>
        <v>100</v>
      </c>
      <c r="T47" s="667" t="s">
        <v>14</v>
      </c>
      <c r="U47" s="668">
        <f t="shared" si="13"/>
        <v>100</v>
      </c>
      <c r="V47" s="667" t="s">
        <v>14</v>
      </c>
      <c r="W47" s="668">
        <f t="shared" si="14"/>
        <v>100</v>
      </c>
      <c r="X47" s="1265"/>
      <c r="Y47" s="345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3"/>
      <c r="M48" s="2486"/>
      <c r="N48" s="2486"/>
      <c r="O48" s="2486"/>
      <c r="P48" s="3458" t="str">
        <f>A48</f>
        <v>成交单价（元/平方米）</v>
      </c>
      <c r="Q48" s="3444"/>
      <c r="R48" s="3445">
        <f>E48</f>
        <v>0</v>
      </c>
      <c r="S48" s="3445"/>
      <c r="T48" s="3445">
        <f>G48</f>
        <v>0</v>
      </c>
      <c r="U48" s="3445"/>
      <c r="V48" s="3445">
        <f>I48</f>
        <v>0</v>
      </c>
      <c r="W48" s="3445"/>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458" t="str">
        <f>A49</f>
        <v>比较价值（元/平方米）</v>
      </c>
      <c r="Q49" s="3444"/>
      <c r="R49" s="3445" t="e">
        <f>IF(F1="售价",ROUND(PRODUCT(R48,AA7:AA47),0),ROUND(PRODUCT(R48,AA7:AA47),1))</f>
        <v>#DIV/0!</v>
      </c>
      <c r="S49" s="3445"/>
      <c r="T49" s="3445" t="e">
        <f>IF(F1="售价",ROUND(PRODUCT(T48,AB7:AB47),0),ROUND(PRODUCT(T48,AB7:AB47),1))</f>
        <v>#DIV/0!</v>
      </c>
      <c r="U49" s="3445"/>
      <c r="V49" s="3445" t="e">
        <f>IF(F1="售价",ROUND(PRODUCT(V48,AC7:AC47),0),ROUND(PRODUCT(V48,AC7:AC47),1))</f>
        <v>#DIV/0!</v>
      </c>
      <c r="W49" s="344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517" t="str">
        <f>A50</f>
        <v>估价对象XX用房的比较价值（楼面单价，元/平方米）</v>
      </c>
      <c r="Q50" s="3518"/>
      <c r="R50" s="3519" t="e">
        <f>IF(F1="售价",ROUND(IF(D49="简单平均",AVERAGE(R49:V49),R49*F49+T49*H49+V49*J49),0),ROUND(IF(D49="简单平均",AVERAGE(R49:V49),R49*F49+T49*H49+V49*J49),1))</f>
        <v>#DIV/0!</v>
      </c>
      <c r="S50" s="3519"/>
      <c r="T50" s="3519"/>
      <c r="U50" s="3519"/>
      <c r="V50" s="3519"/>
      <c r="W50" s="3519"/>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2024-3</v>
      </c>
      <c r="D59" s="1104">
        <f>EDATE(C59,-1)</f>
        <v>45323</v>
      </c>
      <c r="E59" s="1104">
        <f>EDATE(D59,-1)</f>
        <v>45292</v>
      </c>
      <c r="F59" s="1104">
        <f t="shared" ref="F59:O59" si="16">EDATE(E59,-1)</f>
        <v>45261</v>
      </c>
      <c r="G59" s="1104">
        <f t="shared" si="16"/>
        <v>45231</v>
      </c>
      <c r="H59" s="1104">
        <f t="shared" si="16"/>
        <v>45200</v>
      </c>
      <c r="I59" s="1104">
        <f t="shared" si="16"/>
        <v>45170</v>
      </c>
      <c r="J59" s="1104">
        <f t="shared" si="16"/>
        <v>45139</v>
      </c>
      <c r="K59" s="1104">
        <f t="shared" si="16"/>
        <v>45108</v>
      </c>
      <c r="L59" s="1104">
        <f t="shared" si="16"/>
        <v>45078</v>
      </c>
      <c r="M59" s="1104">
        <f t="shared" si="16"/>
        <v>45047</v>
      </c>
      <c r="N59" s="1104">
        <f t="shared" si="16"/>
        <v>45017</v>
      </c>
      <c r="O59" s="1104">
        <f t="shared" si="16"/>
        <v>44986</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80"/>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8" priority="16" stopIfTrue="1">
      <formula>$F$53="超过30%"</formula>
    </cfRule>
  </conditionalFormatting>
  <conditionalFormatting sqref="E54">
    <cfRule type="expression" dxfId="97" priority="15" stopIfTrue="1">
      <formula>$F$54="超过20%"</formula>
    </cfRule>
  </conditionalFormatting>
  <conditionalFormatting sqref="E55">
    <cfRule type="expression" dxfId="96" priority="14" stopIfTrue="1">
      <formula>$F$55="超过30%"</formula>
    </cfRule>
  </conditionalFormatting>
  <conditionalFormatting sqref="F7:F47 H7:H47 J7:J47">
    <cfRule type="cellIs" dxfId="95" priority="1" operator="notEqual">
      <formula>100</formula>
    </cfRule>
  </conditionalFormatting>
  <conditionalFormatting sqref="F49">
    <cfRule type="expression" dxfId="94" priority="4">
      <formula>$D$49="简单平均"</formula>
    </cfRule>
  </conditionalFormatting>
  <conditionalFormatting sqref="F53:F55 H53:H55">
    <cfRule type="containsText" dxfId="93" priority="17" stopIfTrue="1" operator="containsText" text="超过">
      <formula>NOT(ISERROR(SEARCH("超过",F53)))</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G55">
    <cfRule type="expression" dxfId="90" priority="13" stopIfTrue="1">
      <formula>$H$55="超过30%"</formula>
    </cfRule>
  </conditionalFormatting>
  <conditionalFormatting sqref="H49">
    <cfRule type="expression" dxfId="89" priority="3">
      <formula>$D$49="简单平均"</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J49">
    <cfRule type="expression" dxfId="85" priority="2">
      <formula>$D$49="简单平均"</formula>
    </cfRule>
  </conditionalFormatting>
  <conditionalFormatting sqref="J53:J55">
    <cfRule type="containsText" dxfId="8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估价对象为北京市房地产，为所有。根据《国有土地使用证》[]，估价对象（分摊）出让国有建设用地使用权面积为0平方米，建筑面积为4769.92平方米。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估价对象为北京市房地产,属开发建设的，该项目尚在开发建设中。根据《国有土地使用证》[]，估价对象（分摊）出让国有建设用地使用权面积为0平方米，规划建筑面积为4769.92平方米。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2024年3月1日（评估专业人员实地查勘之日）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4769.92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62" t="s">
        <v>1770</v>
      </c>
      <c r="D4" s="3463"/>
      <c r="E4" s="3464" t="s">
        <v>1771</v>
      </c>
      <c r="F4" s="3465"/>
      <c r="G4" s="3462" t="s">
        <v>1772</v>
      </c>
      <c r="H4" s="3463"/>
      <c r="I4" s="3462" t="s">
        <v>1773</v>
      </c>
      <c r="J4" s="3463"/>
      <c r="K4" s="537" t="s">
        <v>1774</v>
      </c>
      <c r="L4" s="860"/>
      <c r="M4" s="861"/>
      <c r="N4" s="861"/>
      <c r="O4" s="861"/>
      <c r="P4" s="3466" t="s">
        <v>1775</v>
      </c>
      <c r="Q4" s="3467"/>
      <c r="R4" s="3472" t="s">
        <v>1771</v>
      </c>
      <c r="S4" s="3473"/>
      <c r="T4" s="3472" t="s">
        <v>1772</v>
      </c>
      <c r="U4" s="3473"/>
      <c r="V4" s="3445" t="s">
        <v>1773</v>
      </c>
      <c r="W4" s="3445"/>
      <c r="X4" s="1265"/>
      <c r="Y4" s="3472" t="s">
        <v>1775</v>
      </c>
      <c r="Z4" s="3473"/>
      <c r="AA4" s="3459" t="s">
        <v>1771</v>
      </c>
      <c r="AB4" s="3460" t="s">
        <v>1772</v>
      </c>
      <c r="AC4" s="3459" t="s">
        <v>1773</v>
      </c>
    </row>
    <row r="5" spans="1:29" ht="15">
      <c r="A5" s="348"/>
      <c r="B5" s="349"/>
      <c r="C5" s="3480" t="s">
        <v>1673</v>
      </c>
      <c r="D5" s="3481"/>
      <c r="E5" s="3516" t="s">
        <v>1674</v>
      </c>
      <c r="F5" s="3489"/>
      <c r="G5" s="3480" t="s">
        <v>1675</v>
      </c>
      <c r="H5" s="3481"/>
      <c r="I5" s="3480" t="s">
        <v>1676</v>
      </c>
      <c r="J5" s="3481"/>
      <c r="K5" s="537"/>
      <c r="L5" s="860"/>
      <c r="M5" s="861"/>
      <c r="N5" s="861"/>
      <c r="O5" s="861"/>
      <c r="P5" s="3468"/>
      <c r="Q5" s="3469"/>
      <c r="R5" s="3474"/>
      <c r="S5" s="3475"/>
      <c r="T5" s="3474"/>
      <c r="U5" s="3475"/>
      <c r="V5" s="3445"/>
      <c r="W5" s="3445"/>
      <c r="X5" s="1265"/>
      <c r="Y5" s="3474"/>
      <c r="Z5" s="3475"/>
      <c r="AA5" s="3460"/>
      <c r="AB5" s="3460"/>
      <c r="AC5" s="3460"/>
    </row>
    <row r="6" spans="1:29" ht="15.75" thickBot="1">
      <c r="A6" s="350"/>
      <c r="B6" s="351"/>
      <c r="C6" s="3478" t="s">
        <v>1677</v>
      </c>
      <c r="D6" s="3479"/>
      <c r="E6" s="3486" t="s">
        <v>1677</v>
      </c>
      <c r="F6" s="3487"/>
      <c r="G6" s="3478" t="s">
        <v>1677</v>
      </c>
      <c r="H6" s="3479"/>
      <c r="I6" s="3478" t="s">
        <v>1677</v>
      </c>
      <c r="J6" s="3479"/>
      <c r="K6" s="537" t="s">
        <v>1678</v>
      </c>
      <c r="L6" s="860"/>
      <c r="M6" s="861"/>
      <c r="N6" s="861"/>
      <c r="O6" s="861"/>
      <c r="P6" s="3470"/>
      <c r="Q6" s="3471"/>
      <c r="R6" s="3474"/>
      <c r="S6" s="3475"/>
      <c r="T6" s="3476"/>
      <c r="U6" s="3477"/>
      <c r="V6" s="3445"/>
      <c r="W6" s="3445"/>
      <c r="X6" s="1265"/>
      <c r="Y6" s="3476"/>
      <c r="Z6" s="3477"/>
      <c r="AA6" s="3461"/>
      <c r="AB6" s="3461"/>
      <c r="AC6" s="3461"/>
    </row>
    <row r="7" spans="1:29" s="102" customFormat="1" ht="15.75" thickBot="1">
      <c r="A7" s="352" t="s">
        <v>1679</v>
      </c>
      <c r="B7" s="353"/>
      <c r="C7" s="354">
        <f>'数据-取费表'!B2</f>
        <v>45352</v>
      </c>
      <c r="D7" s="355">
        <v>100</v>
      </c>
      <c r="E7" s="356"/>
      <c r="F7" s="357">
        <f>SUMIF(52:52,YEAR(E7)&amp;"-"&amp;MONTH(E7),53:53)</f>
        <v>0</v>
      </c>
      <c r="G7" s="356"/>
      <c r="H7" s="355">
        <f>SUMIF(52:52,YEAR(G7)&amp;"-"&amp;MONTH(G7),53:53)</f>
        <v>0</v>
      </c>
      <c r="I7" s="356"/>
      <c r="J7" s="355">
        <f>SUMIF(52:52,YEAR(I7)&amp;"-"&amp;MONTH(I7),53:53)</f>
        <v>0</v>
      </c>
      <c r="K7" s="38"/>
      <c r="L7" s="862"/>
      <c r="M7" s="863"/>
      <c r="N7" s="863"/>
      <c r="O7" s="863"/>
      <c r="P7" s="3482" t="s">
        <v>1680</v>
      </c>
      <c r="Q7" s="3484"/>
      <c r="R7" s="664" t="s">
        <v>14</v>
      </c>
      <c r="S7" s="665">
        <f t="shared" ref="S7:S15" si="0">F7</f>
        <v>0</v>
      </c>
      <c r="T7" s="664" t="s">
        <v>14</v>
      </c>
      <c r="U7" s="665">
        <f t="shared" ref="U7:U15" si="1">H7</f>
        <v>0</v>
      </c>
      <c r="V7" s="664" t="s">
        <v>14</v>
      </c>
      <c r="W7" s="665">
        <f t="shared" ref="W7:W15" si="2">J7</f>
        <v>0</v>
      </c>
      <c r="X7" s="666"/>
      <c r="Y7" s="3482" t="s">
        <v>1680</v>
      </c>
      <c r="Z7" s="348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82" t="s">
        <v>1683</v>
      </c>
      <c r="Q8" s="3483"/>
      <c r="R8" s="664" t="s">
        <v>14</v>
      </c>
      <c r="S8" s="665">
        <f t="shared" si="0"/>
        <v>100</v>
      </c>
      <c r="T8" s="664" t="s">
        <v>14</v>
      </c>
      <c r="U8" s="665">
        <f t="shared" si="1"/>
        <v>100</v>
      </c>
      <c r="V8" s="664" t="s">
        <v>14</v>
      </c>
      <c r="W8" s="665">
        <f t="shared" si="2"/>
        <v>100</v>
      </c>
      <c r="X8" s="666"/>
      <c r="Y8" s="3482" t="s">
        <v>1683</v>
      </c>
      <c r="Z8" s="348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44"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44"/>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44"/>
      <c r="Q11" s="530" t="str">
        <f t="shared" si="6"/>
        <v>容积率</v>
      </c>
      <c r="R11" s="664" t="s">
        <v>14</v>
      </c>
      <c r="S11" s="665">
        <f t="shared" si="0"/>
        <v>100</v>
      </c>
      <c r="T11" s="664" t="s">
        <v>14</v>
      </c>
      <c r="U11" s="665">
        <f t="shared" si="1"/>
        <v>100</v>
      </c>
      <c r="V11" s="664" t="s">
        <v>14</v>
      </c>
      <c r="W11" s="665">
        <f t="shared" si="2"/>
        <v>100</v>
      </c>
      <c r="X11" s="666"/>
      <c r="Y11" s="330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44"/>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44"/>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44"/>
      <c r="Q14" s="530">
        <f t="shared" si="6"/>
        <v>111</v>
      </c>
      <c r="R14" s="664" t="s">
        <v>14</v>
      </c>
      <c r="S14" s="665">
        <f t="shared" si="0"/>
        <v>100</v>
      </c>
      <c r="T14" s="664" t="s">
        <v>14</v>
      </c>
      <c r="U14" s="665">
        <f t="shared" si="1"/>
        <v>100</v>
      </c>
      <c r="V14" s="664" t="s">
        <v>14</v>
      </c>
      <c r="W14" s="665">
        <f t="shared" si="2"/>
        <v>100</v>
      </c>
      <c r="X14" s="666"/>
      <c r="Y14" s="3308"/>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51" t="s">
        <v>1691</v>
      </c>
      <c r="Q15" s="1263" t="str">
        <f t="shared" si="6"/>
        <v>产业集聚程度</v>
      </c>
      <c r="R15" s="667" t="s">
        <v>14</v>
      </c>
      <c r="S15" s="668">
        <f t="shared" si="0"/>
        <v>100</v>
      </c>
      <c r="T15" s="667" t="s">
        <v>14</v>
      </c>
      <c r="U15" s="668">
        <f t="shared" si="1"/>
        <v>100</v>
      </c>
      <c r="V15" s="667" t="s">
        <v>14</v>
      </c>
      <c r="W15" s="668">
        <f t="shared" si="2"/>
        <v>100</v>
      </c>
      <c r="X15" s="1265"/>
      <c r="Y15" s="345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52"/>
      <c r="Q16" s="1263"/>
      <c r="R16" s="667"/>
      <c r="S16" s="668"/>
      <c r="T16" s="667"/>
      <c r="U16" s="668"/>
      <c r="V16" s="667"/>
      <c r="W16" s="668"/>
      <c r="X16" s="1265"/>
      <c r="Y16" s="3452"/>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52"/>
      <c r="Q17" s="1263" t="str">
        <f>B17</f>
        <v>交通便捷度</v>
      </c>
      <c r="R17" s="667" t="s">
        <v>14</v>
      </c>
      <c r="S17" s="668">
        <f>F17</f>
        <v>100</v>
      </c>
      <c r="T17" s="667" t="s">
        <v>14</v>
      </c>
      <c r="U17" s="668">
        <f>H17</f>
        <v>100</v>
      </c>
      <c r="V17" s="667" t="s">
        <v>14</v>
      </c>
      <c r="W17" s="668">
        <f>J17</f>
        <v>100</v>
      </c>
      <c r="X17" s="1265"/>
      <c r="Y17" s="345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52"/>
      <c r="Q18" s="1263"/>
      <c r="R18" s="667"/>
      <c r="S18" s="668"/>
      <c r="T18" s="667"/>
      <c r="U18" s="668"/>
      <c r="V18" s="667"/>
      <c r="W18" s="668"/>
      <c r="X18" s="1265"/>
      <c r="Y18" s="3452"/>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52"/>
      <c r="Q19" s="1263" t="str">
        <f>B19</f>
        <v>公共配套设施</v>
      </c>
      <c r="R19" s="667" t="s">
        <v>14</v>
      </c>
      <c r="S19" s="668">
        <f>F19</f>
        <v>100</v>
      </c>
      <c r="T19" s="667" t="s">
        <v>14</v>
      </c>
      <c r="U19" s="668">
        <f>H19</f>
        <v>100</v>
      </c>
      <c r="V19" s="667" t="s">
        <v>14</v>
      </c>
      <c r="W19" s="668">
        <f>J19</f>
        <v>100</v>
      </c>
      <c r="X19" s="1265"/>
      <c r="Y19" s="345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52"/>
      <c r="Q20" s="1263"/>
      <c r="R20" s="667"/>
      <c r="S20" s="668"/>
      <c r="T20" s="667"/>
      <c r="U20" s="668"/>
      <c r="V20" s="667"/>
      <c r="W20" s="668"/>
      <c r="X20" s="1265"/>
      <c r="Y20" s="3452"/>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52"/>
      <c r="Q21" s="1263" t="str">
        <f>B21</f>
        <v>基础设施水平</v>
      </c>
      <c r="R21" s="667" t="s">
        <v>14</v>
      </c>
      <c r="S21" s="668">
        <f>F21</f>
        <v>100</v>
      </c>
      <c r="T21" s="667" t="s">
        <v>14</v>
      </c>
      <c r="U21" s="668">
        <f>H21</f>
        <v>100</v>
      </c>
      <c r="V21" s="667" t="s">
        <v>14</v>
      </c>
      <c r="W21" s="668">
        <f>J21</f>
        <v>100</v>
      </c>
      <c r="X21" s="1265"/>
      <c r="Y21" s="345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52"/>
      <c r="Q22" s="1263"/>
      <c r="R22" s="667"/>
      <c r="S22" s="668"/>
      <c r="T22" s="667"/>
      <c r="U22" s="668"/>
      <c r="V22" s="667"/>
      <c r="W22" s="668"/>
      <c r="X22" s="1265"/>
      <c r="Y22" s="3452"/>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52"/>
      <c r="Q23" s="1263" t="str">
        <f>B23</f>
        <v>环境质量</v>
      </c>
      <c r="R23" s="667" t="s">
        <v>14</v>
      </c>
      <c r="S23" s="668">
        <f>F23</f>
        <v>100</v>
      </c>
      <c r="T23" s="667" t="s">
        <v>14</v>
      </c>
      <c r="U23" s="668">
        <f>H23</f>
        <v>100</v>
      </c>
      <c r="V23" s="667" t="s">
        <v>14</v>
      </c>
      <c r="W23" s="668">
        <f>J23</f>
        <v>100</v>
      </c>
      <c r="X23" s="1265"/>
      <c r="Y23" s="345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52"/>
      <c r="Q24" s="1263"/>
      <c r="R24" s="667"/>
      <c r="S24" s="668"/>
      <c r="T24" s="667"/>
      <c r="U24" s="668"/>
      <c r="V24" s="667"/>
      <c r="W24" s="668"/>
      <c r="X24" s="1265"/>
      <c r="Y24" s="345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52"/>
      <c r="Q25" s="1263">
        <f>B25</f>
        <v>111</v>
      </c>
      <c r="R25" s="667" t="s">
        <v>14</v>
      </c>
      <c r="S25" s="668">
        <f>F25</f>
        <v>100</v>
      </c>
      <c r="T25" s="667" t="s">
        <v>14</v>
      </c>
      <c r="U25" s="668">
        <f>H25</f>
        <v>100</v>
      </c>
      <c r="V25" s="667" t="s">
        <v>14</v>
      </c>
      <c r="W25" s="668">
        <f>J25</f>
        <v>100</v>
      </c>
      <c r="X25" s="1265"/>
      <c r="Y25" s="345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52"/>
      <c r="Q26" s="1263">
        <f t="shared" ref="Q26:Q40" si="11">B26</f>
        <v>111</v>
      </c>
      <c r="R26" s="667" t="s">
        <v>14</v>
      </c>
      <c r="S26" s="668">
        <f>F26</f>
        <v>100</v>
      </c>
      <c r="T26" s="667" t="s">
        <v>14</v>
      </c>
      <c r="U26" s="668">
        <f>H26</f>
        <v>100</v>
      </c>
      <c r="V26" s="667" t="s">
        <v>14</v>
      </c>
      <c r="W26" s="668">
        <f>J26</f>
        <v>100</v>
      </c>
      <c r="X26" s="1265"/>
      <c r="Y26" s="345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52"/>
      <c r="Q27" s="530">
        <f t="shared" si="11"/>
        <v>111</v>
      </c>
      <c r="R27" s="664" t="s">
        <v>14</v>
      </c>
      <c r="S27" s="665">
        <f>F27</f>
        <v>100</v>
      </c>
      <c r="T27" s="664" t="s">
        <v>14</v>
      </c>
      <c r="U27" s="665">
        <f>H27</f>
        <v>100</v>
      </c>
      <c r="V27" s="664" t="s">
        <v>14</v>
      </c>
      <c r="W27" s="665">
        <f>J27</f>
        <v>100</v>
      </c>
      <c r="X27" s="666"/>
      <c r="Y27" s="345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52"/>
      <c r="Q28" s="1263">
        <f t="shared" si="11"/>
        <v>111</v>
      </c>
      <c r="R28" s="667" t="s">
        <v>14</v>
      </c>
      <c r="S28" s="668">
        <f t="shared" ref="S28:S40" si="12">F28</f>
        <v>100</v>
      </c>
      <c r="T28" s="667" t="s">
        <v>14</v>
      </c>
      <c r="U28" s="668">
        <f t="shared" ref="U28:U40" si="13">H28</f>
        <v>100</v>
      </c>
      <c r="V28" s="667" t="s">
        <v>14</v>
      </c>
      <c r="W28" s="668">
        <f t="shared" ref="W28:W40" si="14">J28</f>
        <v>100</v>
      </c>
      <c r="X28" s="1265"/>
      <c r="Y28" s="345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32" t="s">
        <v>1696</v>
      </c>
      <c r="Q29" s="1263" t="str">
        <f t="shared" si="11"/>
        <v>建筑类型</v>
      </c>
      <c r="R29" s="667" t="s">
        <v>14</v>
      </c>
      <c r="S29" s="668">
        <f t="shared" si="12"/>
        <v>100</v>
      </c>
      <c r="T29" s="667" t="s">
        <v>14</v>
      </c>
      <c r="U29" s="668">
        <f t="shared" si="13"/>
        <v>100</v>
      </c>
      <c r="V29" s="667" t="s">
        <v>14</v>
      </c>
      <c r="W29" s="668">
        <f t="shared" si="14"/>
        <v>100</v>
      </c>
      <c r="X29" s="1265"/>
      <c r="Y29" s="345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56"/>
      <c r="Q30" s="531" t="str">
        <f t="shared" si="11"/>
        <v>项目建筑规模</v>
      </c>
      <c r="R30" s="669" t="s">
        <v>14</v>
      </c>
      <c r="S30" s="670" t="e">
        <f t="shared" si="12"/>
        <v>#N/A</v>
      </c>
      <c r="T30" s="669" t="s">
        <v>14</v>
      </c>
      <c r="U30" s="670" t="e">
        <f t="shared" si="13"/>
        <v>#N/A</v>
      </c>
      <c r="V30" s="669" t="s">
        <v>14</v>
      </c>
      <c r="W30" s="670" t="e">
        <f t="shared" si="14"/>
        <v>#N/A</v>
      </c>
      <c r="X30" s="671"/>
      <c r="Y30" s="345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56"/>
      <c r="Q31" s="1263" t="str">
        <f t="shared" si="11"/>
        <v>建筑结构</v>
      </c>
      <c r="R31" s="667" t="s">
        <v>14</v>
      </c>
      <c r="S31" s="668">
        <f t="shared" si="12"/>
        <v>100</v>
      </c>
      <c r="T31" s="667" t="s">
        <v>14</v>
      </c>
      <c r="U31" s="668">
        <f t="shared" si="13"/>
        <v>100</v>
      </c>
      <c r="V31" s="667" t="s">
        <v>14</v>
      </c>
      <c r="W31" s="668">
        <f t="shared" si="14"/>
        <v>100</v>
      </c>
      <c r="X31" s="1265"/>
      <c r="Y31" s="345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56"/>
      <c r="Q32" s="1263" t="str">
        <f t="shared" si="11"/>
        <v>公共部分装修</v>
      </c>
      <c r="R32" s="667" t="s">
        <v>14</v>
      </c>
      <c r="S32" s="668">
        <f t="shared" si="12"/>
        <v>100</v>
      </c>
      <c r="T32" s="667" t="s">
        <v>14</v>
      </c>
      <c r="U32" s="668">
        <f t="shared" si="13"/>
        <v>100</v>
      </c>
      <c r="V32" s="667" t="s">
        <v>14</v>
      </c>
      <c r="W32" s="668">
        <f t="shared" si="14"/>
        <v>100</v>
      </c>
      <c r="X32" s="1265"/>
      <c r="Y32" s="345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56"/>
      <c r="Q33" s="1263" t="str">
        <f t="shared" si="11"/>
        <v>成新度</v>
      </c>
      <c r="R33" s="667" t="s">
        <v>14</v>
      </c>
      <c r="S33" s="668" t="e">
        <f t="shared" si="12"/>
        <v>#N/A</v>
      </c>
      <c r="T33" s="667" t="s">
        <v>14</v>
      </c>
      <c r="U33" s="668" t="e">
        <f t="shared" si="13"/>
        <v>#N/A</v>
      </c>
      <c r="V33" s="667" t="s">
        <v>14</v>
      </c>
      <c r="W33" s="668" t="e">
        <f t="shared" si="14"/>
        <v>#N/A</v>
      </c>
      <c r="X33" s="1265"/>
      <c r="Y33" s="345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56"/>
      <c r="Q34" s="530" t="str">
        <f t="shared" si="11"/>
        <v>物业管理</v>
      </c>
      <c r="R34" s="664" t="s">
        <v>14</v>
      </c>
      <c r="S34" s="665">
        <f t="shared" si="12"/>
        <v>100</v>
      </c>
      <c r="T34" s="664" t="s">
        <v>14</v>
      </c>
      <c r="U34" s="665">
        <f t="shared" si="13"/>
        <v>100</v>
      </c>
      <c r="V34" s="664" t="s">
        <v>14</v>
      </c>
      <c r="W34" s="665">
        <f t="shared" si="14"/>
        <v>100</v>
      </c>
      <c r="X34" s="666"/>
      <c r="Y34" s="345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56" t="s">
        <v>1696</v>
      </c>
      <c r="Q35" s="1263" t="str">
        <f t="shared" si="11"/>
        <v>市政基础设施</v>
      </c>
      <c r="R35" s="667" t="s">
        <v>14</v>
      </c>
      <c r="S35" s="668">
        <f t="shared" si="12"/>
        <v>100</v>
      </c>
      <c r="T35" s="667" t="s">
        <v>14</v>
      </c>
      <c r="U35" s="668">
        <f t="shared" si="13"/>
        <v>100</v>
      </c>
      <c r="V35" s="667" t="s">
        <v>14</v>
      </c>
      <c r="W35" s="668">
        <f t="shared" si="14"/>
        <v>100</v>
      </c>
      <c r="X35" s="1265"/>
      <c r="Y35" s="345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56"/>
      <c r="Q36" s="1263" t="str">
        <f t="shared" si="11"/>
        <v>内部装修</v>
      </c>
      <c r="R36" s="667" t="s">
        <v>14</v>
      </c>
      <c r="S36" s="668">
        <f t="shared" si="12"/>
        <v>100</v>
      </c>
      <c r="T36" s="667" t="s">
        <v>14</v>
      </c>
      <c r="U36" s="668">
        <f t="shared" si="13"/>
        <v>100</v>
      </c>
      <c r="V36" s="667" t="s">
        <v>14</v>
      </c>
      <c r="W36" s="668">
        <f t="shared" si="14"/>
        <v>100</v>
      </c>
      <c r="X36" s="1265"/>
      <c r="Y36" s="345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56"/>
      <c r="Q37" s="1263" t="str">
        <f t="shared" si="11"/>
        <v>内部装修状况</v>
      </c>
      <c r="R37" s="667" t="s">
        <v>14</v>
      </c>
      <c r="S37" s="668">
        <f t="shared" si="12"/>
        <v>100</v>
      </c>
      <c r="T37" s="667" t="s">
        <v>14</v>
      </c>
      <c r="U37" s="668">
        <f t="shared" si="13"/>
        <v>100</v>
      </c>
      <c r="V37" s="667" t="s">
        <v>14</v>
      </c>
      <c r="W37" s="668">
        <f t="shared" si="14"/>
        <v>100</v>
      </c>
      <c r="X37" s="1265"/>
      <c r="Y37" s="345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56"/>
      <c r="Q38" s="531">
        <f t="shared" si="11"/>
        <v>111</v>
      </c>
      <c r="R38" s="669" t="s">
        <v>14</v>
      </c>
      <c r="S38" s="670">
        <f t="shared" si="12"/>
        <v>100</v>
      </c>
      <c r="T38" s="669" t="s">
        <v>14</v>
      </c>
      <c r="U38" s="670">
        <f t="shared" si="13"/>
        <v>100</v>
      </c>
      <c r="V38" s="669" t="s">
        <v>14</v>
      </c>
      <c r="W38" s="670">
        <f t="shared" si="14"/>
        <v>100</v>
      </c>
      <c r="X38" s="671"/>
      <c r="Y38" s="345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56"/>
      <c r="Q39" s="1263">
        <f t="shared" si="11"/>
        <v>111</v>
      </c>
      <c r="R39" s="667" t="s">
        <v>14</v>
      </c>
      <c r="S39" s="668">
        <f t="shared" si="12"/>
        <v>100</v>
      </c>
      <c r="T39" s="667" t="s">
        <v>14</v>
      </c>
      <c r="U39" s="668">
        <f t="shared" si="13"/>
        <v>100</v>
      </c>
      <c r="V39" s="667" t="s">
        <v>14</v>
      </c>
      <c r="W39" s="668">
        <f t="shared" si="14"/>
        <v>100</v>
      </c>
      <c r="X39" s="1265"/>
      <c r="Y39" s="345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57"/>
      <c r="Q40" s="1263">
        <f t="shared" si="11"/>
        <v>111</v>
      </c>
      <c r="R40" s="667" t="s">
        <v>14</v>
      </c>
      <c r="S40" s="668">
        <f t="shared" si="12"/>
        <v>100</v>
      </c>
      <c r="T40" s="667" t="s">
        <v>14</v>
      </c>
      <c r="U40" s="668">
        <f t="shared" si="13"/>
        <v>100</v>
      </c>
      <c r="V40" s="667" t="s">
        <v>14</v>
      </c>
      <c r="W40" s="668">
        <f t="shared" si="14"/>
        <v>100</v>
      </c>
      <c r="X40" s="1265"/>
      <c r="Y40" s="345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44" t="str">
        <f>A41</f>
        <v>成交单价（元/平方米）</v>
      </c>
      <c r="Q41" s="3444"/>
      <c r="R41" s="3445">
        <f>E41</f>
        <v>0</v>
      </c>
      <c r="S41" s="3445"/>
      <c r="T41" s="3445">
        <f>G41</f>
        <v>0</v>
      </c>
      <c r="U41" s="3445"/>
      <c r="V41" s="3445">
        <f>I41</f>
        <v>0</v>
      </c>
      <c r="W41" s="344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44" t="str">
        <f>A42</f>
        <v>比较价值（元/平方米）</v>
      </c>
      <c r="Q42" s="3444"/>
      <c r="R42" s="3445" t="e">
        <f>IF(F1="售价",ROUND(PRODUCT(R41,AA7:AA40),0),ROUND(PRODUCT(R41,AA7:AA40),1))</f>
        <v>#DIV/0!</v>
      </c>
      <c r="S42" s="3445"/>
      <c r="T42" s="3445" t="e">
        <f>IF(F1="售价",ROUND(PRODUCT(T41,AB7:AB40),0),ROUND(PRODUCT(T41,AB7:AB40),1))</f>
        <v>#DIV/0!</v>
      </c>
      <c r="U42" s="3445"/>
      <c r="V42" s="3445" t="e">
        <f>IF(F1="售价",ROUND(PRODUCT(V41,AC7:AC40),0),ROUND(PRODUCT(V41,AC7:AC40),1))</f>
        <v>#DIV/0!</v>
      </c>
      <c r="W42" s="344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46" t="str">
        <f>A43</f>
        <v>估价对象XX用房的比较价值（楼面单价，元/平方米）</v>
      </c>
      <c r="Q43" s="3447"/>
      <c r="R43" s="3448" t="e">
        <f>IF(F1="售价",ROUND(IF(D42="简单平均",AVERAGE(R42:V42),R42*F42+T42*H42+V42*J42),0),ROUND(IF(D42="简单平均",AVERAGE(R42:V42),R42*F42+T42*H42+V42*J42),1))</f>
        <v>#DIV/0!</v>
      </c>
      <c r="S43" s="3448"/>
      <c r="T43" s="3448"/>
      <c r="U43" s="3448"/>
      <c r="V43" s="3448"/>
      <c r="W43" s="3448"/>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2024-3</v>
      </c>
      <c r="D52" s="1104">
        <f>EDATE(C52,-1)</f>
        <v>45323</v>
      </c>
      <c r="E52" s="1104">
        <f t="shared" ref="E52:O52" si="16">EDATE(D52,-1)</f>
        <v>45292</v>
      </c>
      <c r="F52" s="1104">
        <f t="shared" si="16"/>
        <v>45261</v>
      </c>
      <c r="G52" s="1104">
        <f t="shared" si="16"/>
        <v>45231</v>
      </c>
      <c r="H52" s="1104">
        <f t="shared" si="16"/>
        <v>45200</v>
      </c>
      <c r="I52" s="1104">
        <f t="shared" si="16"/>
        <v>45170</v>
      </c>
      <c r="J52" s="1104">
        <f t="shared" si="16"/>
        <v>45139</v>
      </c>
      <c r="K52" s="1104">
        <f t="shared" si="16"/>
        <v>45108</v>
      </c>
      <c r="L52" s="1104">
        <f t="shared" si="16"/>
        <v>45078</v>
      </c>
      <c r="M52" s="1104">
        <f t="shared" si="16"/>
        <v>45047</v>
      </c>
      <c r="N52" s="1104">
        <f t="shared" si="16"/>
        <v>45017</v>
      </c>
      <c r="O52" s="1104">
        <f t="shared" si="16"/>
        <v>44986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462" t="s">
        <v>1770</v>
      </c>
      <c r="D4" s="3463"/>
      <c r="E4" s="3464" t="s">
        <v>1771</v>
      </c>
      <c r="F4" s="3465"/>
      <c r="G4" s="3462" t="s">
        <v>1772</v>
      </c>
      <c r="H4" s="3463"/>
      <c r="I4" s="3462" t="s">
        <v>1773</v>
      </c>
      <c r="J4" s="3463"/>
      <c r="K4" s="537" t="s">
        <v>1774</v>
      </c>
      <c r="L4" s="2485"/>
      <c r="M4" s="2486"/>
      <c r="N4" s="2486"/>
      <c r="O4" s="2486"/>
      <c r="P4" s="3466" t="s">
        <v>1775</v>
      </c>
      <c r="Q4" s="3467"/>
      <c r="R4" s="3472" t="s">
        <v>1771</v>
      </c>
      <c r="S4" s="3473"/>
      <c r="T4" s="3472" t="s">
        <v>1772</v>
      </c>
      <c r="U4" s="3473"/>
      <c r="V4" s="3445" t="s">
        <v>1773</v>
      </c>
      <c r="W4" s="3445"/>
      <c r="X4" s="1265"/>
      <c r="Y4" s="3472" t="s">
        <v>1775</v>
      </c>
      <c r="Z4" s="3473"/>
      <c r="AA4" s="3459" t="s">
        <v>1771</v>
      </c>
      <c r="AB4" s="3460" t="s">
        <v>1772</v>
      </c>
      <c r="AC4" s="3459" t="s">
        <v>1773</v>
      </c>
    </row>
    <row r="5" spans="1:29" ht="15">
      <c r="A5" s="348"/>
      <c r="B5" s="349"/>
      <c r="C5" s="3480" t="s">
        <v>1673</v>
      </c>
      <c r="D5" s="3481"/>
      <c r="E5" s="3516" t="s">
        <v>1674</v>
      </c>
      <c r="F5" s="3489"/>
      <c r="G5" s="3480" t="s">
        <v>1675</v>
      </c>
      <c r="H5" s="3481"/>
      <c r="I5" s="3480" t="s">
        <v>1676</v>
      </c>
      <c r="J5" s="3481"/>
      <c r="K5" s="537"/>
      <c r="L5" s="2485"/>
      <c r="M5" s="2486"/>
      <c r="N5" s="2486"/>
      <c r="O5" s="2486"/>
      <c r="P5" s="3468"/>
      <c r="Q5" s="3469"/>
      <c r="R5" s="3474"/>
      <c r="S5" s="3475"/>
      <c r="T5" s="3474"/>
      <c r="U5" s="3475"/>
      <c r="V5" s="3445"/>
      <c r="W5" s="3445"/>
      <c r="X5" s="1265"/>
      <c r="Y5" s="3474"/>
      <c r="Z5" s="3475"/>
      <c r="AA5" s="3460"/>
      <c r="AB5" s="3460"/>
      <c r="AC5" s="3460"/>
    </row>
    <row r="6" spans="1:29" ht="15.75" thickBot="1">
      <c r="A6" s="350"/>
      <c r="B6" s="351"/>
      <c r="C6" s="3478" t="s">
        <v>1677</v>
      </c>
      <c r="D6" s="3479"/>
      <c r="E6" s="3486" t="s">
        <v>1677</v>
      </c>
      <c r="F6" s="3487"/>
      <c r="G6" s="3478" t="s">
        <v>1677</v>
      </c>
      <c r="H6" s="3479"/>
      <c r="I6" s="3478" t="s">
        <v>1677</v>
      </c>
      <c r="J6" s="3479"/>
      <c r="K6" s="537" t="s">
        <v>1678</v>
      </c>
      <c r="L6" s="2485"/>
      <c r="M6" s="2486"/>
      <c r="N6" s="2486"/>
      <c r="O6" s="2486"/>
      <c r="P6" s="3470"/>
      <c r="Q6" s="3471"/>
      <c r="R6" s="3474"/>
      <c r="S6" s="3475"/>
      <c r="T6" s="3476"/>
      <c r="U6" s="3477"/>
      <c r="V6" s="3445"/>
      <c r="W6" s="3445"/>
      <c r="X6" s="1265"/>
      <c r="Y6" s="3476"/>
      <c r="Z6" s="3477"/>
      <c r="AA6" s="3461"/>
      <c r="AB6" s="3461"/>
      <c r="AC6" s="3461"/>
    </row>
    <row r="7" spans="1:29" s="102" customFormat="1" ht="15.75" thickBot="1">
      <c r="A7" s="352" t="s">
        <v>1679</v>
      </c>
      <c r="B7" s="353"/>
      <c r="C7" s="354">
        <f>'数据-取费表'!B2</f>
        <v>45352</v>
      </c>
      <c r="D7" s="355">
        <v>100</v>
      </c>
      <c r="E7" s="356"/>
      <c r="F7" s="357">
        <f>SUMIF(48:48,YEAR(E7)&amp;"-"&amp;MONTH(E7),49:49)</f>
        <v>0</v>
      </c>
      <c r="G7" s="356"/>
      <c r="H7" s="355">
        <f>SUMIF(48:48,YEAR(G7)&amp;"-"&amp;MONTH(G7),49:49)</f>
        <v>0</v>
      </c>
      <c r="I7" s="356"/>
      <c r="J7" s="355">
        <f>SUMIF(48:48,YEAR(I7)&amp;"-"&amp;MONTH(I7),49:49)</f>
        <v>0</v>
      </c>
      <c r="K7" s="38"/>
      <c r="L7" s="2487"/>
      <c r="M7" s="2438"/>
      <c r="N7" s="2438"/>
      <c r="O7" s="2438"/>
      <c r="P7" s="3482" t="s">
        <v>1680</v>
      </c>
      <c r="Q7" s="3484"/>
      <c r="R7" s="664" t="s">
        <v>14</v>
      </c>
      <c r="S7" s="665">
        <f t="shared" ref="S7:S14" si="0">F7</f>
        <v>0</v>
      </c>
      <c r="T7" s="664" t="s">
        <v>14</v>
      </c>
      <c r="U7" s="665">
        <f t="shared" ref="U7:U14" si="1">H7</f>
        <v>0</v>
      </c>
      <c r="V7" s="664" t="s">
        <v>14</v>
      </c>
      <c r="W7" s="665">
        <f t="shared" ref="W7:W14" si="2">J7</f>
        <v>0</v>
      </c>
      <c r="X7" s="666"/>
      <c r="Y7" s="3482" t="s">
        <v>1680</v>
      </c>
      <c r="Z7" s="348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82" t="s">
        <v>1683</v>
      </c>
      <c r="Q8" s="3483"/>
      <c r="R8" s="664" t="s">
        <v>14</v>
      </c>
      <c r="S8" s="665">
        <f t="shared" si="0"/>
        <v>100</v>
      </c>
      <c r="T8" s="664" t="s">
        <v>14</v>
      </c>
      <c r="U8" s="665">
        <f t="shared" si="1"/>
        <v>100</v>
      </c>
      <c r="V8" s="664" t="s">
        <v>14</v>
      </c>
      <c r="W8" s="665">
        <f t="shared" si="2"/>
        <v>100</v>
      </c>
      <c r="X8" s="666"/>
      <c r="Y8" s="3482" t="s">
        <v>1683</v>
      </c>
      <c r="Z8" s="348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44" t="s">
        <v>1686</v>
      </c>
      <c r="Q9" s="530" t="str">
        <f t="shared" ref="Q9:Q14" si="6">B9</f>
        <v>用途</v>
      </c>
      <c r="R9" s="664" t="s">
        <v>14</v>
      </c>
      <c r="S9" s="665">
        <f t="shared" si="0"/>
        <v>100</v>
      </c>
      <c r="T9" s="664" t="s">
        <v>14</v>
      </c>
      <c r="U9" s="665">
        <f t="shared" si="1"/>
        <v>100</v>
      </c>
      <c r="V9" s="664" t="s">
        <v>14</v>
      </c>
      <c r="W9" s="665">
        <f t="shared" si="2"/>
        <v>100</v>
      </c>
      <c r="X9" s="666"/>
      <c r="Y9" s="3308"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44"/>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44"/>
      <c r="Q11" s="530">
        <f t="shared" si="6"/>
        <v>111</v>
      </c>
      <c r="R11" s="664" t="s">
        <v>14</v>
      </c>
      <c r="S11" s="665">
        <f t="shared" si="0"/>
        <v>100</v>
      </c>
      <c r="T11" s="664" t="s">
        <v>14</v>
      </c>
      <c r="U11" s="665">
        <f t="shared" si="1"/>
        <v>100</v>
      </c>
      <c r="V11" s="664" t="s">
        <v>14</v>
      </c>
      <c r="W11" s="665">
        <f t="shared" si="2"/>
        <v>100</v>
      </c>
      <c r="X11" s="666"/>
      <c r="Y11" s="330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44"/>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44"/>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156.75">
      <c r="A14" s="345" t="s">
        <v>1690</v>
      </c>
      <c r="B14" s="554" t="s">
        <v>1833</v>
      </c>
      <c r="C14" s="1819" t="str">
        <f>IF(B1="工业",估价对象房地状况!G4,估价对象房地状况!C6)</f>
        <v>估价对象周边有305路、320路、365路、432路、614路、982路等多条公交线路，距离地铁13号线上地站约950米，周边道路网线较密集，通达度较好。综合评价交通便捷度较好。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51" t="s">
        <v>1691</v>
      </c>
      <c r="Q14" s="1263" t="str">
        <f t="shared" si="6"/>
        <v>交通便捷度</v>
      </c>
      <c r="R14" s="667" t="s">
        <v>14</v>
      </c>
      <c r="S14" s="668">
        <f t="shared" si="0"/>
        <v>100</v>
      </c>
      <c r="T14" s="667" t="s">
        <v>14</v>
      </c>
      <c r="U14" s="668">
        <f t="shared" si="1"/>
        <v>100</v>
      </c>
      <c r="V14" s="667" t="s">
        <v>14</v>
      </c>
      <c r="W14" s="668">
        <f t="shared" si="2"/>
        <v>100</v>
      </c>
      <c r="X14" s="1265"/>
      <c r="Y14" s="345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52"/>
      <c r="Q15" s="1263"/>
      <c r="R15" s="667"/>
      <c r="S15" s="668"/>
      <c r="T15" s="667"/>
      <c r="U15" s="668"/>
      <c r="V15" s="667"/>
      <c r="W15" s="668"/>
      <c r="X15" s="1265"/>
      <c r="Y15" s="3452"/>
      <c r="Z15" s="1264"/>
      <c r="AA15" s="1264">
        <v>1</v>
      </c>
      <c r="AB15" s="1264">
        <v>1</v>
      </c>
      <c r="AC15" s="1264">
        <v>1</v>
      </c>
    </row>
    <row r="16" spans="1:29" ht="285">
      <c r="A16" s="348"/>
      <c r="B16" s="556" t="s">
        <v>1812</v>
      </c>
      <c r="C16" s="1754" t="str">
        <f>IF(B1="工业",估价对象房地状况!G5,估价对象房地状况!C7)</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52"/>
      <c r="Q16" s="1263" t="str">
        <f>B16</f>
        <v>公共配套设施</v>
      </c>
      <c r="R16" s="667" t="s">
        <v>14</v>
      </c>
      <c r="S16" s="668">
        <f>F16</f>
        <v>100</v>
      </c>
      <c r="T16" s="667" t="s">
        <v>14</v>
      </c>
      <c r="U16" s="668">
        <f>H16</f>
        <v>100</v>
      </c>
      <c r="V16" s="667" t="s">
        <v>14</v>
      </c>
      <c r="W16" s="668">
        <f>J16</f>
        <v>100</v>
      </c>
      <c r="X16" s="1265"/>
      <c r="Y16" s="345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52"/>
      <c r="Q17" s="1263"/>
      <c r="R17" s="667"/>
      <c r="S17" s="668"/>
      <c r="T17" s="667"/>
      <c r="U17" s="668"/>
      <c r="V17" s="667"/>
      <c r="W17" s="668"/>
      <c r="X17" s="1265"/>
      <c r="Y17" s="3452"/>
      <c r="Z17" s="1264"/>
      <c r="AA17" s="1264">
        <v>1</v>
      </c>
      <c r="AB17" s="1264">
        <v>1</v>
      </c>
      <c r="AC17" s="1264">
        <v>1</v>
      </c>
    </row>
    <row r="18" spans="1:29" ht="42.75">
      <c r="A18" s="348"/>
      <c r="B18" s="557" t="s">
        <v>1813</v>
      </c>
      <c r="C18" s="1754" t="str">
        <f>IF(B1="工业",估价对象房地状况!G6,估价对象房地状况!C8)</f>
        <v>估价对象所在区域基础设施水平-七通</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52"/>
      <c r="Q18" s="1263" t="str">
        <f>B18</f>
        <v>基础设施水平</v>
      </c>
      <c r="R18" s="667" t="s">
        <v>14</v>
      </c>
      <c r="S18" s="668">
        <f>F18</f>
        <v>100</v>
      </c>
      <c r="T18" s="667" t="s">
        <v>14</v>
      </c>
      <c r="U18" s="668">
        <f>H18</f>
        <v>100</v>
      </c>
      <c r="V18" s="667" t="s">
        <v>14</v>
      </c>
      <c r="W18" s="668">
        <f>J18</f>
        <v>100</v>
      </c>
      <c r="X18" s="1265"/>
      <c r="Y18" s="345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52"/>
      <c r="Q19" s="1263"/>
      <c r="R19" s="667"/>
      <c r="S19" s="668"/>
      <c r="T19" s="667"/>
      <c r="U19" s="668"/>
      <c r="V19" s="667"/>
      <c r="W19" s="668"/>
      <c r="X19" s="1265"/>
      <c r="Y19" s="3452"/>
      <c r="Z19" s="1264"/>
      <c r="AA19" s="1264">
        <v>1</v>
      </c>
      <c r="AB19" s="1264">
        <v>1</v>
      </c>
      <c r="AC19" s="1264">
        <v>1</v>
      </c>
    </row>
    <row r="20" spans="1:29" ht="71.25">
      <c r="A20" s="348"/>
      <c r="B20" s="556" t="s">
        <v>1834</v>
      </c>
      <c r="C20" s="1754" t="str">
        <f>IF(B1="工业",估价对象房地状况!G7,估价对象房地状况!C9)</f>
        <v>估价对象周边有树村郊野公园、生态花谷、北京体育大学场等自然人文场所，综合评价环境状况较好。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52"/>
      <c r="Q20" s="1263" t="str">
        <f>B20</f>
        <v>自然及人文环境</v>
      </c>
      <c r="R20" s="667" t="s">
        <v>14</v>
      </c>
      <c r="S20" s="668">
        <f>F20</f>
        <v>100</v>
      </c>
      <c r="T20" s="667" t="s">
        <v>14</v>
      </c>
      <c r="U20" s="668">
        <f>H20</f>
        <v>100</v>
      </c>
      <c r="V20" s="667" t="s">
        <v>14</v>
      </c>
      <c r="W20" s="668">
        <f>J20</f>
        <v>100</v>
      </c>
      <c r="X20" s="1265"/>
      <c r="Y20" s="345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52"/>
      <c r="Q21" s="1263"/>
      <c r="R21" s="667"/>
      <c r="S21" s="668"/>
      <c r="T21" s="667"/>
      <c r="U21" s="668"/>
      <c r="V21" s="667"/>
      <c r="W21" s="668"/>
      <c r="X21" s="1265"/>
      <c r="Y21" s="345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52"/>
      <c r="Q22" s="1263" t="str">
        <f>B22</f>
        <v>楼层</v>
      </c>
      <c r="R22" s="667" t="s">
        <v>14</v>
      </c>
      <c r="S22" s="668">
        <f>F22</f>
        <v>100</v>
      </c>
      <c r="T22" s="667" t="s">
        <v>14</v>
      </c>
      <c r="U22" s="668">
        <f>H22</f>
        <v>100</v>
      </c>
      <c r="V22" s="667" t="s">
        <v>14</v>
      </c>
      <c r="W22" s="668">
        <f>J22</f>
        <v>100</v>
      </c>
      <c r="X22" s="1265"/>
      <c r="Y22" s="345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52"/>
      <c r="Q23" s="1263">
        <f>B23</f>
        <v>111</v>
      </c>
      <c r="R23" s="667" t="s">
        <v>14</v>
      </c>
      <c r="S23" s="668">
        <f>F23</f>
        <v>100</v>
      </c>
      <c r="T23" s="667" t="s">
        <v>14</v>
      </c>
      <c r="U23" s="668">
        <f>H23</f>
        <v>100</v>
      </c>
      <c r="V23" s="667" t="s">
        <v>14</v>
      </c>
      <c r="W23" s="668">
        <f>J23</f>
        <v>100</v>
      </c>
      <c r="X23" s="1265"/>
      <c r="Y23" s="345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52"/>
      <c r="Q24" s="1263">
        <f t="shared" ref="Q24:Q36" si="11">B24</f>
        <v>111</v>
      </c>
      <c r="R24" s="667" t="s">
        <v>14</v>
      </c>
      <c r="S24" s="668">
        <f>F24</f>
        <v>100</v>
      </c>
      <c r="T24" s="667" t="s">
        <v>14</v>
      </c>
      <c r="U24" s="668">
        <f>H24</f>
        <v>100</v>
      </c>
      <c r="V24" s="667" t="s">
        <v>14</v>
      </c>
      <c r="W24" s="668">
        <f>J24</f>
        <v>100</v>
      </c>
      <c r="X24" s="1265"/>
      <c r="Y24" s="345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52"/>
      <c r="Q25" s="530">
        <f t="shared" si="11"/>
        <v>111</v>
      </c>
      <c r="R25" s="664" t="s">
        <v>14</v>
      </c>
      <c r="S25" s="665">
        <f>F25</f>
        <v>100</v>
      </c>
      <c r="T25" s="664" t="s">
        <v>14</v>
      </c>
      <c r="U25" s="665">
        <f>H25</f>
        <v>100</v>
      </c>
      <c r="V25" s="664" t="s">
        <v>14</v>
      </c>
      <c r="W25" s="665">
        <f>J25</f>
        <v>100</v>
      </c>
      <c r="X25" s="666"/>
      <c r="Y25" s="345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53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5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56"/>
      <c r="Q27" s="531" t="str">
        <f t="shared" si="11"/>
        <v>项目停车位配比</v>
      </c>
      <c r="R27" s="669" t="s">
        <v>14</v>
      </c>
      <c r="S27" s="670">
        <f t="shared" si="12"/>
        <v>100</v>
      </c>
      <c r="T27" s="669" t="s">
        <v>14</v>
      </c>
      <c r="U27" s="670">
        <f t="shared" si="13"/>
        <v>100</v>
      </c>
      <c r="V27" s="669" t="s">
        <v>14</v>
      </c>
      <c r="W27" s="670">
        <f t="shared" si="14"/>
        <v>100</v>
      </c>
      <c r="X27" s="671"/>
      <c r="Y27" s="345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56"/>
      <c r="Q28" s="1263" t="str">
        <f t="shared" si="11"/>
        <v>公共部分装修</v>
      </c>
      <c r="R28" s="667" t="s">
        <v>14</v>
      </c>
      <c r="S28" s="668">
        <f t="shared" si="12"/>
        <v>100</v>
      </c>
      <c r="T28" s="667" t="s">
        <v>14</v>
      </c>
      <c r="U28" s="668">
        <f t="shared" si="13"/>
        <v>100</v>
      </c>
      <c r="V28" s="667" t="s">
        <v>14</v>
      </c>
      <c r="W28" s="668">
        <f t="shared" si="14"/>
        <v>100</v>
      </c>
      <c r="X28" s="1265"/>
      <c r="Y28" s="345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56"/>
      <c r="Q29" s="1263" t="str">
        <f t="shared" si="11"/>
        <v>成新率</v>
      </c>
      <c r="R29" s="667" t="s">
        <v>14</v>
      </c>
      <c r="S29" s="668" t="e">
        <f t="shared" si="12"/>
        <v>#N/A</v>
      </c>
      <c r="T29" s="667" t="s">
        <v>14</v>
      </c>
      <c r="U29" s="668" t="e">
        <f t="shared" si="13"/>
        <v>#N/A</v>
      </c>
      <c r="V29" s="667" t="s">
        <v>14</v>
      </c>
      <c r="W29" s="668" t="e">
        <f t="shared" si="14"/>
        <v>#N/A</v>
      </c>
      <c r="X29" s="1265"/>
      <c r="Y29" s="345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56"/>
      <c r="Q30" s="1263" t="str">
        <f t="shared" si="11"/>
        <v>物业等级</v>
      </c>
      <c r="R30" s="667" t="s">
        <v>14</v>
      </c>
      <c r="S30" s="668">
        <f t="shared" si="12"/>
        <v>100</v>
      </c>
      <c r="T30" s="667" t="s">
        <v>14</v>
      </c>
      <c r="U30" s="668">
        <f t="shared" si="13"/>
        <v>100</v>
      </c>
      <c r="V30" s="667" t="s">
        <v>14</v>
      </c>
      <c r="W30" s="668">
        <f t="shared" si="14"/>
        <v>100</v>
      </c>
      <c r="X30" s="1265"/>
      <c r="Y30" s="345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56"/>
      <c r="Q31" s="530" t="str">
        <f t="shared" si="11"/>
        <v>停车位面积</v>
      </c>
      <c r="R31" s="664" t="s">
        <v>14</v>
      </c>
      <c r="S31" s="665" t="e">
        <f t="shared" si="12"/>
        <v>#N/A</v>
      </c>
      <c r="T31" s="664" t="s">
        <v>14</v>
      </c>
      <c r="U31" s="665" t="e">
        <f t="shared" si="13"/>
        <v>#N/A</v>
      </c>
      <c r="V31" s="664" t="s">
        <v>14</v>
      </c>
      <c r="W31" s="665" t="e">
        <f t="shared" si="14"/>
        <v>#N/A</v>
      </c>
      <c r="X31" s="666"/>
      <c r="Y31" s="345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56" t="s">
        <v>1696</v>
      </c>
      <c r="Q32" s="1263" t="str">
        <f t="shared" si="11"/>
        <v>车位类型</v>
      </c>
      <c r="R32" s="667" t="s">
        <v>14</v>
      </c>
      <c r="S32" s="668">
        <f t="shared" si="12"/>
        <v>100</v>
      </c>
      <c r="T32" s="667" t="s">
        <v>14</v>
      </c>
      <c r="U32" s="668">
        <f t="shared" si="13"/>
        <v>100</v>
      </c>
      <c r="V32" s="667" t="s">
        <v>14</v>
      </c>
      <c r="W32" s="668">
        <f t="shared" si="14"/>
        <v>100</v>
      </c>
      <c r="X32" s="1265"/>
      <c r="Y32" s="345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56"/>
      <c r="Q33" s="1263" t="str">
        <f t="shared" si="11"/>
        <v>是否直接入户</v>
      </c>
      <c r="R33" s="667" t="s">
        <v>14</v>
      </c>
      <c r="S33" s="668">
        <f t="shared" si="12"/>
        <v>100</v>
      </c>
      <c r="T33" s="667" t="s">
        <v>14</v>
      </c>
      <c r="U33" s="668">
        <f t="shared" si="13"/>
        <v>100</v>
      </c>
      <c r="V33" s="667" t="s">
        <v>14</v>
      </c>
      <c r="W33" s="668">
        <f t="shared" si="14"/>
        <v>100</v>
      </c>
      <c r="X33" s="1265"/>
      <c r="Y33" s="345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56"/>
      <c r="Q34" s="1263">
        <f t="shared" si="11"/>
        <v>111</v>
      </c>
      <c r="R34" s="667" t="s">
        <v>14</v>
      </c>
      <c r="S34" s="668">
        <f t="shared" si="12"/>
        <v>100</v>
      </c>
      <c r="T34" s="667" t="s">
        <v>14</v>
      </c>
      <c r="U34" s="668">
        <f t="shared" si="13"/>
        <v>100</v>
      </c>
      <c r="V34" s="667" t="s">
        <v>14</v>
      </c>
      <c r="W34" s="668">
        <f t="shared" si="14"/>
        <v>100</v>
      </c>
      <c r="X34" s="1265"/>
      <c r="Y34" s="345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56"/>
      <c r="Q35" s="531">
        <f t="shared" si="11"/>
        <v>111</v>
      </c>
      <c r="R35" s="669" t="s">
        <v>14</v>
      </c>
      <c r="S35" s="670">
        <f t="shared" si="12"/>
        <v>100</v>
      </c>
      <c r="T35" s="669" t="s">
        <v>14</v>
      </c>
      <c r="U35" s="670">
        <f t="shared" si="13"/>
        <v>100</v>
      </c>
      <c r="V35" s="669" t="s">
        <v>14</v>
      </c>
      <c r="W35" s="670">
        <f t="shared" si="14"/>
        <v>100</v>
      </c>
      <c r="X35" s="671"/>
      <c r="Y35" s="345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56"/>
      <c r="Q36" s="1263">
        <f t="shared" si="11"/>
        <v>111</v>
      </c>
      <c r="R36" s="667" t="s">
        <v>14</v>
      </c>
      <c r="S36" s="668">
        <f t="shared" si="12"/>
        <v>100</v>
      </c>
      <c r="T36" s="667" t="s">
        <v>14</v>
      </c>
      <c r="U36" s="668">
        <f t="shared" si="13"/>
        <v>100</v>
      </c>
      <c r="V36" s="667" t="s">
        <v>14</v>
      </c>
      <c r="W36" s="668">
        <f t="shared" si="14"/>
        <v>100</v>
      </c>
      <c r="X36" s="1265"/>
      <c r="Y36" s="3456"/>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3"/>
      <c r="M37" s="2486"/>
      <c r="N37" s="2486"/>
      <c r="O37" s="2486"/>
      <c r="P37" s="3444" t="str">
        <f>A37</f>
        <v>成交单价</v>
      </c>
      <c r="Q37" s="3444"/>
      <c r="R37" s="3445">
        <f>E37</f>
        <v>0</v>
      </c>
      <c r="S37" s="3445"/>
      <c r="T37" s="3445">
        <f>G37</f>
        <v>0</v>
      </c>
      <c r="U37" s="3445"/>
      <c r="V37" s="3445">
        <f>I37</f>
        <v>0</v>
      </c>
      <c r="W37" s="344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44" t="str">
        <f>A38</f>
        <v>比较价值（元/平方米）</v>
      </c>
      <c r="Q38" s="3444"/>
      <c r="R38" s="3445" t="e">
        <f>IF(F1="售价",ROUND(PRODUCT(R37,AA7:AA36),0),ROUND(PRODUCT(R37,AA7:AA36),1))</f>
        <v>#DIV/0!</v>
      </c>
      <c r="S38" s="3445"/>
      <c r="T38" s="3445" t="e">
        <f>IF(F1="售价",ROUND(PRODUCT(T37,AB7:AB36),0),ROUND(PRODUCT(T37,AB7:AB36),1))</f>
        <v>#DIV/0!</v>
      </c>
      <c r="U38" s="3445"/>
      <c r="V38" s="3445" t="e">
        <f>IF(F1="售价",ROUND(PRODUCT(V37,AC7:AC36),0),ROUND(PRODUCT(V37,AC7:AC36),1))</f>
        <v>#DIV/0!</v>
      </c>
      <c r="W38" s="344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46" t="str">
        <f>A39</f>
        <v>估价对象XX用房的比较价值（楼面单价，元/平方米）</v>
      </c>
      <c r="Q39" s="3447"/>
      <c r="R39" s="3533" t="e">
        <f>IF(F1="售价",ROUND(IF(D38="简单平均",AVERAGE(R38:W38),R38*F38+T38*H38+V38*J38),0),ROUND(IF(D38="简单平均",AVERAGE(R38:V38),R38*F38+T38*H38+V38*J38),1))</f>
        <v>#DIV/0!</v>
      </c>
      <c r="S39" s="3533"/>
      <c r="T39" s="3533"/>
      <c r="U39" s="3533"/>
      <c r="V39" s="3533"/>
      <c r="W39" s="353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2024-3</v>
      </c>
      <c r="D48" s="1104">
        <f>EDATE(C48,-1)</f>
        <v>45323</v>
      </c>
      <c r="E48" s="1104">
        <f t="shared" ref="E48:O48" si="16">EDATE(D48,-1)</f>
        <v>45292</v>
      </c>
      <c r="F48" s="1104">
        <f t="shared" si="16"/>
        <v>45261</v>
      </c>
      <c r="G48" s="1104">
        <f t="shared" si="16"/>
        <v>45231</v>
      </c>
      <c r="H48" s="1104">
        <f t="shared" si="16"/>
        <v>45200</v>
      </c>
      <c r="I48" s="1104">
        <f t="shared" si="16"/>
        <v>45170</v>
      </c>
      <c r="J48" s="1104">
        <f t="shared" si="16"/>
        <v>45139</v>
      </c>
      <c r="K48" s="1104">
        <f t="shared" si="16"/>
        <v>45108</v>
      </c>
      <c r="L48" s="1104">
        <f t="shared" si="16"/>
        <v>45078</v>
      </c>
      <c r="M48" s="1104">
        <f t="shared" si="16"/>
        <v>45047</v>
      </c>
      <c r="N48" s="1104">
        <f t="shared" si="16"/>
        <v>45017</v>
      </c>
      <c r="O48" s="1104">
        <f t="shared" si="16"/>
        <v>44986</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9" zoomScale="90" zoomScaleNormal="80" zoomScaleSheetLayoutView="90" workbookViewId="0">
      <selection activeCell="C50" sqref="C50:D5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4769.92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3932</v>
      </c>
      <c r="C2" s="1846" t="s">
        <v>1935</v>
      </c>
      <c r="D2" s="162" t="s">
        <v>1936</v>
      </c>
      <c r="E2" s="3119"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Ⅴ-05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20635</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8243</v>
      </c>
      <c r="C3" s="1846" t="s">
        <v>1941</v>
      </c>
      <c r="D3" s="162" t="s">
        <v>1942</v>
      </c>
      <c r="E3" s="3117" t="s">
        <v>2439</v>
      </c>
      <c r="F3" s="1848" t="s">
        <v>3516</v>
      </c>
      <c r="G3" s="708">
        <f>IF(F3="宗地容积率",'数据-汇总表'!I4,IF(F3="估价对象容积率",'数据-汇总表'!I6,'数据-汇总表'!I7))</f>
        <v>1.9</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16264</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541"/>
      <c r="B4" s="3542"/>
      <c r="C4" s="3542"/>
      <c r="D4" s="3543"/>
      <c r="E4" s="3543"/>
      <c r="F4" s="3543"/>
      <c r="G4" s="3543"/>
      <c r="H4" s="3543"/>
      <c r="I4" s="3543"/>
      <c r="J4" s="354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13746</v>
      </c>
      <c r="U4" s="1130"/>
      <c r="V4" s="3062">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16310</v>
      </c>
      <c r="D5" s="1252">
        <f>ROUND(C6*C17+C20,0)</f>
        <v>16310</v>
      </c>
      <c r="E5" s="1252"/>
      <c r="F5" s="1851"/>
      <c r="G5" s="1852"/>
      <c r="H5" s="1852"/>
      <c r="I5" s="1852"/>
      <c r="J5" s="1853"/>
      <c r="K5" s="1854"/>
      <c r="L5" s="1847" t="s">
        <v>1948</v>
      </c>
      <c r="M5" s="811">
        <f>SUMPRODUCT((区片价!B87:B126=I2)*(区片价!C3:G3=E2)*(区片价!C87:G126))</f>
        <v>16330</v>
      </c>
      <c r="N5" s="813">
        <f>SUMPRODUCT((因素修正幅度!B87:B126=I2)*(因素修正幅度!C3:G3=E2)*(因素修正幅度!C87:G126))</f>
        <v>7.6999999999999999E-2</v>
      </c>
      <c r="O5" s="1056"/>
      <c r="P5" s="1056"/>
      <c r="Q5" s="1056"/>
      <c r="R5" s="1129">
        <v>4</v>
      </c>
      <c r="S5" s="3062">
        <f>ROUND(SUMPRODUCT((B106:B110=R5)*(C105:N105=G2)*(C106:N110)),4)</f>
        <v>0.88239999999999996</v>
      </c>
      <c r="T5" s="3062">
        <f t="shared" si="0"/>
        <v>12123</v>
      </c>
      <c r="U5" s="1130"/>
      <c r="V5" s="3062">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16330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11651</v>
      </c>
      <c r="U6" s="1130"/>
      <c r="V6" s="3062">
        <f t="shared" si="1"/>
        <v>0</v>
      </c>
      <c r="W6" s="1133"/>
      <c r="X6" s="1133"/>
      <c r="Y6" s="1133"/>
      <c r="Z6" s="1133"/>
      <c r="AA6" s="1133"/>
      <c r="AB6" s="1133"/>
      <c r="AC6" s="1855"/>
      <c r="AD6" s="1856"/>
      <c r="AE6" s="1856"/>
      <c r="AF6" s="1856"/>
      <c r="AG6" s="1856"/>
      <c r="AH6" s="1856"/>
      <c r="AI6" s="1856"/>
      <c r="AJ6" s="1857"/>
    </row>
    <row r="7" spans="1:36" ht="24.75"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五级</v>
      </c>
      <c r="Y7" s="1131" t="s">
        <v>1956</v>
      </c>
      <c r="Z7" s="1132">
        <f>G3</f>
        <v>1.9</v>
      </c>
      <c r="AA7" s="1133"/>
      <c r="AB7" s="1133"/>
      <c r="AC7" s="1134"/>
      <c r="AD7" s="1135"/>
      <c r="AE7" s="1135"/>
      <c r="AF7" s="1135"/>
      <c r="AG7" s="1135"/>
      <c r="AH7" s="1135"/>
      <c r="AI7" s="1135"/>
      <c r="AJ7" s="1136"/>
    </row>
    <row r="8" spans="1:36" ht="25.5">
      <c r="A8" s="3008"/>
      <c r="B8" s="162" t="s">
        <v>1957</v>
      </c>
      <c r="C8" s="1870" t="s">
        <v>3514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538" t="s">
        <v>1960</v>
      </c>
      <c r="X8" s="353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540"/>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54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v>1</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8"/>
      <c r="C18" s="3033"/>
      <c r="D18" s="3028" t="s">
        <v>3248</v>
      </c>
      <c r="E18" s="2355"/>
      <c r="F18" s="3029" t="s">
        <v>3251</v>
      </c>
      <c r="G18" s="3033">
        <f>ROUND(1-(1/(POWER(1+G24,E18))),4)</f>
        <v>0</v>
      </c>
      <c r="H18" s="3029" t="s">
        <v>3253</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545" t="s">
        <v>3254</v>
      </c>
      <c r="B20" s="159" t="s">
        <v>1994</v>
      </c>
      <c r="C20" s="3030">
        <f>ROUND(IF(F21="与级别开发程度一致",0,(G21-E21)/C21),0)</f>
        <v>-20</v>
      </c>
      <c r="D20" s="3045" t="s">
        <v>1998</v>
      </c>
      <c r="E20" s="3046"/>
      <c r="F20" s="3551" t="s">
        <v>1995</v>
      </c>
      <c r="G20" s="3552"/>
      <c r="H20" s="3031" t="s">
        <v>3558</v>
      </c>
      <c r="I20" s="3031" t="s">
        <v>3559</v>
      </c>
      <c r="J20" s="3032" t="s">
        <v>3560</v>
      </c>
      <c r="K20" s="1889" t="s">
        <v>3561</v>
      </c>
      <c r="L20" s="1889" t="s">
        <v>3562</v>
      </c>
      <c r="M20" s="1889" t="s">
        <v>3563</v>
      </c>
      <c r="N20" s="1889" t="s">
        <v>3564</v>
      </c>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546"/>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3557</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1896" t="s">
        <v>2002</v>
      </c>
      <c r="E23" s="717">
        <v>44197</v>
      </c>
      <c r="F23" s="1896" t="s">
        <v>2003</v>
      </c>
      <c r="G23" s="718">
        <f>'数据-取费表'!B2</f>
        <v>45352</v>
      </c>
      <c r="H23" s="3047" t="s">
        <v>3256</v>
      </c>
      <c r="I23" s="3048" t="str">
        <f>IF(H23="季度增幅（自定义）",SUMIF(N25:N28,E2,O25:O28),"")</f>
        <v/>
      </c>
      <c r="J23" s="3140" t="s">
        <v>3255</v>
      </c>
      <c r="K23" s="1061"/>
      <c r="L23" s="1897" t="s">
        <v>2004</v>
      </c>
      <c r="M23" s="1241">
        <f>ROUND(SUMIF(地价!B2:G2,E2,地价!B16:G16),0)</f>
        <v>350</v>
      </c>
      <c r="N23" s="1898" t="s">
        <v>2005</v>
      </c>
      <c r="O23" s="719">
        <f>ROUNDDOWN(DATEDIF(E23,G23,"M")/3,0)</f>
        <v>12</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0.76500000000000001</v>
      </c>
      <c r="D24" s="1902" t="s">
        <v>2007</v>
      </c>
      <c r="E24" s="1248">
        <f>存贷款利率!E24/100</f>
        <v>4.3499999999999997E-2</v>
      </c>
      <c r="F24" s="1902" t="s">
        <v>1999</v>
      </c>
      <c r="G24" s="724">
        <f>SUMIF(M30:Q30,E2,M33:Q33)</f>
        <v>5.5E-2</v>
      </c>
      <c r="H24" s="1902" t="s">
        <v>2008</v>
      </c>
      <c r="I24" s="725">
        <f>SUMIF('数据-取费表'!C6:C15,E2,'数据-取费表'!F6:F15)/COUNTIF('数据-取费表'!C6:C15,E2)</f>
        <v>21</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3568</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1.0537000000000001</v>
      </c>
      <c r="E26" s="708">
        <f>ROUNDDOWN(G3,1)</f>
        <v>1.9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1.0537000000000001</v>
      </c>
      <c r="G26" s="708">
        <f>ROUNDUP(G3,1)</f>
        <v>1.9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1.0537000000000001</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1.0515000000000001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3932</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983</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f>'数据-汇总表'!F19</f>
        <v>0</v>
      </c>
      <c r="E33" s="727">
        <f>ROUND(C33*D33/10000,0)</f>
        <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3.4500000000000003E-2</v>
      </c>
      <c r="M36" s="2364">
        <f ca="1">ROUND($L$36*(1+M31),3)</f>
        <v>4.2999999999999997E-2</v>
      </c>
      <c r="N36" s="2364">
        <f ca="1">ROUND($L$36*(1+N31),3)</f>
        <v>4.1000000000000002E-2</v>
      </c>
      <c r="O36" s="2364">
        <f ca="1">ROUND($L$36*(1+O31),3)</f>
        <v>0.04</v>
      </c>
      <c r="P36" s="2364">
        <f ca="1">ROUND($L$36*(1+P31),3)</f>
        <v>3.7999999999999999E-2</v>
      </c>
      <c r="Q36" s="2364">
        <f ca="1">ROUND($L$36*(1+Q31),3)</f>
        <v>0.04</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49"/>
      <c r="B37" s="1955" t="s">
        <v>2036</v>
      </c>
      <c r="C37" s="167">
        <f>ROUND(D5*C22*C23*C24*C28*F37,0)</f>
        <v>8243</v>
      </c>
      <c r="D37" s="1940">
        <f>'数据-汇总表'!G19</f>
        <v>4769.92</v>
      </c>
      <c r="E37" s="163">
        <f>ROUND(C37*D37/10000,0)</f>
        <v>3932</v>
      </c>
      <c r="F37" s="163">
        <f>SUMIF(修正!A57:A68,G2,修正!B57:B68)</f>
        <v>0.6</v>
      </c>
      <c r="G37" s="163">
        <f>ROUND(IF(E2="工业",C37*$M$42,C37*$M$41),0)</f>
        <v>2061</v>
      </c>
      <c r="H37" s="163">
        <f>D37</f>
        <v>4769.92</v>
      </c>
      <c r="I37" s="163">
        <f>ROUND(G37*H37/10000,0)</f>
        <v>983</v>
      </c>
      <c r="J37" s="2753"/>
      <c r="K37" s="3060" t="s">
        <v>3266</v>
      </c>
      <c r="L37" s="1964">
        <f ca="1">L36+K38</f>
        <v>3.95E-2</v>
      </c>
      <c r="M37" s="2364">
        <f ca="1">ROUND($L$37*(1+M31),3)</f>
        <v>4.9000000000000002E-2</v>
      </c>
      <c r="N37" s="2364">
        <f t="shared" ref="N37:Q37" ca="1" si="3">ROUND($L$37*(1+N31),3)</f>
        <v>4.7E-2</v>
      </c>
      <c r="O37" s="2364">
        <f t="shared" ca="1" si="3"/>
        <v>4.4999999999999998E-2</v>
      </c>
      <c r="P37" s="2364">
        <f t="shared" ca="1" si="3"/>
        <v>4.2999999999999997E-2</v>
      </c>
      <c r="Q37" s="2364">
        <f t="shared" ca="1" si="3"/>
        <v>4.4999999999999998E-2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50"/>
      <c r="B38" s="1884" t="s">
        <v>2037</v>
      </c>
      <c r="C38" s="167">
        <f>ROUND(D5*C22*C23*C24*C28*F38,0)</f>
        <v>4122</v>
      </c>
      <c r="D38" s="1940"/>
      <c r="E38" s="163">
        <f t="shared" ref="E38:E42" si="4">ROUND(C38*D38/10000,0)</f>
        <v>0</v>
      </c>
      <c r="F38" s="163">
        <f>SUMIF(修正!A57:A68,G2,修正!C57:C68)</f>
        <v>0.3</v>
      </c>
      <c r="G38" s="163">
        <f>ROUND(IF(E2="工业",C38*$M$42,C38*$M$41),0)</f>
        <v>1031</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50"/>
      <c r="B39" s="1884" t="s">
        <v>3259</v>
      </c>
      <c r="C39" s="167">
        <f>ROUND(D5*C22*C23*C24*C28*F39,0)</f>
        <v>3435</v>
      </c>
      <c r="D39" s="1940"/>
      <c r="E39" s="163">
        <f t="shared" si="4"/>
        <v>0</v>
      </c>
      <c r="F39" s="163">
        <f>SUMIF(修正!A57:A68,G2,修正!D57:D68)</f>
        <v>0.25</v>
      </c>
      <c r="G39" s="163">
        <f>ROUND(IF(E2="工业",C39*$M$42,C39*$M$41),0)</f>
        <v>859</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3435</v>
      </c>
      <c r="D40" s="1940"/>
      <c r="E40" s="163">
        <f t="shared" si="4"/>
        <v>0</v>
      </c>
      <c r="F40" s="167">
        <f>SUMIF(修正!A57:A68,G2,修正!E57:E68)</f>
        <v>0.25</v>
      </c>
      <c r="G40" s="163">
        <f>ROUND(IF(E2="工业",C40*$M$42,C40*$M$41),0)</f>
        <v>859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1.0515000000000001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估价对象周边多为住宅、办公配套商业、有华联商厦等商业设施，人流量较大，商业繁华度较好</v>
      </c>
      <c r="C50" s="1887" t="s">
        <v>3520</v>
      </c>
      <c r="D50" s="1002">
        <f t="shared" ref="D50:D58" si="7">SUMIF($J$49:$N$49,C50,J50:N50)</f>
        <v>1.4999999999999999E-2</v>
      </c>
      <c r="E50" s="702">
        <f>ROUND(SUM(D50:D58),4)</f>
        <v>5.1499999999999997E-2</v>
      </c>
      <c r="F50" s="1675">
        <f>IF(E2="商业",SUMIF(L1:L12,G2,N1:N12),"——")</f>
        <v>7.6999999999999999E-2</v>
      </c>
      <c r="G50" s="1000">
        <v>1.4999999999999999E-2</v>
      </c>
      <c r="H50" s="1003">
        <f t="shared" ref="H50:H58" si="8">IFERROR(ROUNDDOWN($F$50*I50/2,4),"——")</f>
        <v>1.15E-2</v>
      </c>
      <c r="I50" s="3067">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76.5">
      <c r="A51" s="1970" t="s">
        <v>2053</v>
      </c>
      <c r="B51" s="1262" t="str">
        <f>估价对象房地状况!C18</f>
        <v>估价对象周边有305路、320路、365路、432路、614路、982路等多条公交线路，距离地铁13号线上地站约950米，周边道路网线较密集，通达度较好。综合评价交通便捷度较好。</v>
      </c>
      <c r="C51" s="1887" t="s">
        <v>3520</v>
      </c>
      <c r="D51" s="1002">
        <f t="shared" si="7"/>
        <v>1.0999999999999999E-2</v>
      </c>
      <c r="E51" s="703"/>
      <c r="F51" s="1675"/>
      <c r="G51" s="1000">
        <v>1.0999999999999999E-2</v>
      </c>
      <c r="H51" s="1003">
        <f t="shared" si="8"/>
        <v>8.3999999999999995E-3</v>
      </c>
      <c r="I51" s="3067">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c r="A52" s="3069" t="s">
        <v>3269</v>
      </c>
      <c r="B52" s="1262">
        <f>估价对象房地状况!C19</f>
        <v>0</v>
      </c>
      <c r="C52" s="1887" t="s">
        <v>3520</v>
      </c>
      <c r="D52" s="1002">
        <f t="shared" si="7"/>
        <v>6.0000000000000001E-3</v>
      </c>
      <c r="E52" s="703"/>
      <c r="F52" s="1675"/>
      <c r="G52" s="1000">
        <v>6.0000000000000001E-3</v>
      </c>
      <c r="H52" s="1003">
        <f t="shared" si="8"/>
        <v>4.5999999999999999E-3</v>
      </c>
      <c r="I52" s="3067">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c r="A53" s="1970" t="s">
        <v>2054</v>
      </c>
      <c r="B53" s="1974" t="s">
        <v>2055</v>
      </c>
      <c r="C53" s="1887" t="s">
        <v>3521</v>
      </c>
      <c r="D53" s="1002">
        <f t="shared" si="7"/>
        <v>0</v>
      </c>
      <c r="E53" s="703"/>
      <c r="F53" s="1675"/>
      <c r="G53" s="1000">
        <v>2.5000000000000001E-3</v>
      </c>
      <c r="H53" s="1003">
        <f t="shared" si="8"/>
        <v>1.9E-3</v>
      </c>
      <c r="I53" s="3067">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3520</v>
      </c>
      <c r="D54" s="1002">
        <f t="shared" si="7"/>
        <v>4.0000000000000001E-3</v>
      </c>
      <c r="E54" s="703"/>
      <c r="F54" s="1675"/>
      <c r="G54" s="1000">
        <v>4.0000000000000001E-3</v>
      </c>
      <c r="H54" s="1003">
        <f t="shared" si="8"/>
        <v>3.0000000000000001E-3</v>
      </c>
      <c r="I54" s="3067">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c r="A55" s="1970" t="s">
        <v>2057</v>
      </c>
      <c r="B55" s="1975" t="s">
        <v>2058</v>
      </c>
      <c r="C55" s="1887" t="s">
        <v>3520</v>
      </c>
      <c r="D55" s="1002">
        <f t="shared" si="7"/>
        <v>2.5000000000000001E-3</v>
      </c>
      <c r="E55" s="703"/>
      <c r="F55" s="1675"/>
      <c r="G55" s="1000">
        <v>2.5000000000000001E-3</v>
      </c>
      <c r="H55" s="1003">
        <f t="shared" si="8"/>
        <v>1.9E-3</v>
      </c>
      <c r="I55" s="3067">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140.25">
      <c r="A56" s="1976" t="s">
        <v>2059</v>
      </c>
      <c r="B56" s="1240" t="str">
        <f>估价对象房地状况!C21</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C56" s="1887" t="s">
        <v>3520</v>
      </c>
      <c r="D56" s="1002">
        <f t="shared" si="7"/>
        <v>2.5000000000000001E-3</v>
      </c>
      <c r="E56" s="703"/>
      <c r="F56" s="1675"/>
      <c r="G56" s="1000">
        <v>2.5000000000000001E-3</v>
      </c>
      <c r="H56" s="1003">
        <f t="shared" si="8"/>
        <v>1.9E-3</v>
      </c>
      <c r="I56" s="3067">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估价对象所在区域基础设施水平-七通</v>
      </c>
      <c r="C57" s="1887" t="s">
        <v>3522</v>
      </c>
      <c r="D57" s="1002">
        <f t="shared" si="7"/>
        <v>8.0000000000000002E-3</v>
      </c>
      <c r="E57" s="703"/>
      <c r="F57" s="1675"/>
      <c r="G57" s="1000">
        <v>4.0000000000000001E-3</v>
      </c>
      <c r="H57" s="1003">
        <f t="shared" si="8"/>
        <v>3.0000000000000001E-3</v>
      </c>
      <c r="I57" s="3067">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39" thickBot="1">
      <c r="A58" s="1977" t="s">
        <v>2061</v>
      </c>
      <c r="B58" s="1978" t="str">
        <f>估价对象房地状况!C20</f>
        <v>估价对象周边有树村郊野公园、生态花谷、北京体育大学场等自然人文场所，综合评价环境状况较好。</v>
      </c>
      <c r="C58" s="1887" t="s">
        <v>3520</v>
      </c>
      <c r="D58" s="1002">
        <f t="shared" si="7"/>
        <v>2.5000000000000001E-3</v>
      </c>
      <c r="E58" s="704"/>
      <c r="F58" s="1675"/>
      <c r="G58" s="1000">
        <v>2.5000000000000001E-3</v>
      </c>
      <c r="H58" s="1003">
        <f t="shared" si="8"/>
        <v>1.9E-3</v>
      </c>
      <c r="I58" s="3068">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76.5">
      <c r="A62" s="1970" t="s">
        <v>2053</v>
      </c>
      <c r="B62" s="1262" t="str">
        <f>估价对象房地状况!C18</f>
        <v>估价对象周边有305路、320路、365路、432路、614路、982路等多条公交线路，距离地铁13号线上地站约950米，周边道路网线较密集，通达度较好。综合评价交通便捷度较好。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40.25">
      <c r="A67" s="1970" t="s">
        <v>2059</v>
      </c>
      <c r="B67" s="1240" t="str">
        <f>估价对象房地状况!C21</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估价对象所在区域基础设施水平-七通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估价对象周边有树村郊野公园、生态花谷、北京体育大学场等自然人文场所，综合评价环境状况较好。</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76.5">
      <c r="A73" s="1970" t="s">
        <v>2053</v>
      </c>
      <c r="B73" s="1262" t="str">
        <f>估价对象房地状况!C18</f>
        <v>估价对象周边有305路、320路、365路、432路、614路、982路等多条公交线路，距离地铁13号线上地站约950米，周边道路网线较密集，通达度较好。综合评价交通便捷度较好。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40.25">
      <c r="A76" s="1970" t="s">
        <v>2059</v>
      </c>
      <c r="B76" s="1240" t="str">
        <f>估价对象房地状况!C21</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估价对象所在区域基础设施水平-七通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估价对象周边有树村郊野公园、生态花谷、北京体育大学场等自然人文场所，综合评价环境状况较好。</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3271</v>
      </c>
      <c r="B92" s="2308"/>
      <c r="C92" s="2308" t="s">
        <v>3280</v>
      </c>
      <c r="D92" s="2308" t="s">
        <v>3281</v>
      </c>
      <c r="E92" s="3051" t="s">
        <v>3282</v>
      </c>
      <c r="F92" s="3081" t="s">
        <v>3283</v>
      </c>
      <c r="G92" s="2308" t="s">
        <v>3284</v>
      </c>
      <c r="H92" s="3088" t="s">
        <v>3287</v>
      </c>
      <c r="I92" s="2308" t="s">
        <v>3288</v>
      </c>
      <c r="J92" s="2150" t="s">
        <v>3289</v>
      </c>
      <c r="K92" s="2150" t="s">
        <v>3290</v>
      </c>
      <c r="L92" s="2150" t="s">
        <v>3291</v>
      </c>
      <c r="M92" s="2150" t="s">
        <v>3292</v>
      </c>
      <c r="N92" s="2150" t="s">
        <v>3293</v>
      </c>
    </row>
    <row r="93" spans="1:37" ht="24">
      <c r="A93" s="3069" t="s">
        <v>3272</v>
      </c>
      <c r="B93" s="1221"/>
      <c r="C93" s="1887"/>
      <c r="D93" s="2308">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76.5">
      <c r="A94" s="3079" t="s">
        <v>3273</v>
      </c>
      <c r="B94" s="3070" t="str">
        <f>估价对象房地状况!C18</f>
        <v>估价对象周边有305路、320路、365路、432路、614路、982路等多条公交线路，距离地铁13号线上地站约950米，周边道路网线较密集，通达度较好。综合评价交通便捷度较好。</v>
      </c>
      <c r="C94" s="1887"/>
      <c r="D94" s="2308">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3269</v>
      </c>
      <c r="B95" s="3070">
        <f>估价对象房地状况!C19</f>
        <v>0</v>
      </c>
      <c r="C95" s="1887"/>
      <c r="D95" s="2308">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3274</v>
      </c>
      <c r="B96" s="3085" t="s">
        <v>3285</v>
      </c>
      <c r="C96" s="1887"/>
      <c r="D96" s="2308">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8">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3276</v>
      </c>
      <c r="B98" s="3086" t="s">
        <v>3286</v>
      </c>
      <c r="C98" s="1887"/>
      <c r="D98" s="2308">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140.25">
      <c r="A99" s="3079" t="s">
        <v>3277</v>
      </c>
      <c r="B99" s="3070" t="str">
        <f>估价对象房地状况!C21</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C99" s="1887"/>
      <c r="D99" s="2308">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3278</v>
      </c>
      <c r="B100" s="3070" t="str">
        <f>估价对象房地状况!C22</f>
        <v>估价对象所在区域基础设施水平-七通</v>
      </c>
      <c r="C100" s="1887"/>
      <c r="D100" s="2308">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39" thickBot="1">
      <c r="A101" s="3080" t="s">
        <v>3279</v>
      </c>
      <c r="B101" s="3087" t="str">
        <f>估价对象房地状况!C20</f>
        <v>估价对象周边有树村郊野公园、生态花谷、北京体育大学场等自然人文场所，综合评价环境状况较好。</v>
      </c>
      <c r="C101" s="1887"/>
      <c r="D101" s="2308">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547" t="s">
        <v>3294</v>
      </c>
      <c r="B103" s="3547"/>
      <c r="C103" s="3547"/>
      <c r="D103" s="3547"/>
      <c r="E103" s="3547"/>
      <c r="F103" s="3547"/>
      <c r="G103" s="3547"/>
      <c r="H103" s="3547"/>
      <c r="I103" s="3547"/>
      <c r="J103" s="3547"/>
      <c r="K103" s="1667"/>
      <c r="L103" s="1667"/>
      <c r="M103" s="1667"/>
      <c r="N103" s="1667"/>
    </row>
    <row r="104" spans="1:14">
      <c r="A104" s="3548" t="s">
        <v>3295</v>
      </c>
      <c r="B104" s="3548" t="s">
        <v>3296</v>
      </c>
      <c r="C104" s="3089" t="s">
        <v>3297</v>
      </c>
      <c r="D104" s="3090"/>
      <c r="E104" s="3090"/>
      <c r="F104" s="3090"/>
      <c r="G104" s="3090"/>
      <c r="H104" s="3090"/>
      <c r="I104" s="3090"/>
      <c r="J104" s="3091"/>
      <c r="K104" s="3092"/>
      <c r="L104" s="3092"/>
      <c r="M104" s="3092"/>
      <c r="N104" s="3092"/>
    </row>
    <row r="105" spans="1:14">
      <c r="A105" s="3548"/>
      <c r="B105" s="3548"/>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534"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53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53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53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53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535"/>
      <c r="B111" s="3093" t="s">
        <v>3268</v>
      </c>
      <c r="C111" s="3094">
        <f>$I$3</f>
        <v>-1</v>
      </c>
      <c r="D111" s="3094">
        <f t="shared" ref="D111:M111" si="32">$I$3</f>
        <v>-1</v>
      </c>
      <c r="E111" s="3094">
        <f t="shared" si="32"/>
        <v>-1</v>
      </c>
      <c r="F111" s="3094">
        <f t="shared" si="32"/>
        <v>-1</v>
      </c>
      <c r="G111" s="3094">
        <f t="shared" si="32"/>
        <v>-1</v>
      </c>
      <c r="H111" s="3094">
        <f t="shared" si="32"/>
        <v>-1</v>
      </c>
      <c r="I111" s="3094">
        <f t="shared" si="32"/>
        <v>-1</v>
      </c>
      <c r="J111" s="3094">
        <f t="shared" si="32"/>
        <v>-1</v>
      </c>
      <c r="K111" s="3094">
        <f t="shared" si="32"/>
        <v>-1</v>
      </c>
      <c r="L111" s="3094">
        <f t="shared" si="32"/>
        <v>-1</v>
      </c>
      <c r="M111" s="3094">
        <f t="shared" si="32"/>
        <v>-1</v>
      </c>
      <c r="N111" s="3094">
        <f>$I$3</f>
        <v>-1</v>
      </c>
    </row>
    <row r="112" spans="1:14">
      <c r="A112" s="3536"/>
      <c r="B112" s="3093">
        <v>6</v>
      </c>
      <c r="C112" s="3088">
        <f>(-0.5556*(C111^2)-0.2719*C111+8944)*(10^(-4))</f>
        <v>0.89437163000000008</v>
      </c>
      <c r="D112" s="3088">
        <f>(-0.5556*(D111^2)-0.2719*D111+8944)*(10^(-4))</f>
        <v>0.89437163000000008</v>
      </c>
      <c r="E112" s="3088">
        <f>(-0.7912*(E111^2)-11.3794*E111+8482)*(10^(-4))</f>
        <v>0.84925882000000008</v>
      </c>
      <c r="F112" s="3088">
        <f t="shared" ref="F112:I112" si="33">(-0.7912*(F111^2)-11.3794*F111+8482)*(10^(-4))</f>
        <v>0.84925882000000008</v>
      </c>
      <c r="G112" s="3088">
        <f t="shared" si="33"/>
        <v>0.84925882000000008</v>
      </c>
      <c r="H112" s="3088">
        <f t="shared" si="33"/>
        <v>0.84925882000000008</v>
      </c>
      <c r="I112" s="3088">
        <f t="shared" si="33"/>
        <v>0.84925882000000008</v>
      </c>
      <c r="J112" s="3088">
        <f>(-0.989*(J111^2)-63.78*J111+7771)*(10^(-4))</f>
        <v>0.78337910000000011</v>
      </c>
      <c r="K112" s="3088">
        <f t="shared" ref="K112:N112" si="34">(-0.989*(K111^2)-63.78*K111+7771)*(10^(-4))</f>
        <v>0.78337910000000011</v>
      </c>
      <c r="L112" s="3088">
        <f t="shared" si="34"/>
        <v>0.78337910000000011</v>
      </c>
      <c r="M112" s="3088">
        <f t="shared" si="34"/>
        <v>0.78337910000000011</v>
      </c>
      <c r="N112" s="3088">
        <f t="shared" si="34"/>
        <v>0.78337910000000011</v>
      </c>
    </row>
    <row r="113" spans="1:14">
      <c r="A113" s="3537" t="s">
        <v>3311</v>
      </c>
      <c r="B113" s="3537"/>
      <c r="C113" s="3537"/>
      <c r="D113" s="3537"/>
      <c r="E113" s="3537"/>
      <c r="F113" s="3537"/>
      <c r="G113" s="3537"/>
      <c r="H113" s="3537"/>
      <c r="I113" s="3537"/>
      <c r="J113" s="3537"/>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3312</v>
      </c>
      <c r="B116" s="3113">
        <f>G3</f>
        <v>1.9</v>
      </c>
      <c r="C116" s="3098" t="s">
        <v>3313</v>
      </c>
      <c r="D116" s="3099">
        <f>SUMPRODUCT((A118:A122=F116)*(B117:M117=H116)*B118:M122)</f>
        <v>0.9224</v>
      </c>
      <c r="E116" s="162" t="s">
        <v>3314</v>
      </c>
      <c r="F116" s="3100" t="str">
        <f>E2</f>
        <v>商业</v>
      </c>
      <c r="G116" s="162" t="s">
        <v>3315</v>
      </c>
      <c r="H116" s="3100" t="str">
        <f>G2</f>
        <v>五级</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0.97589999999999999</v>
      </c>
      <c r="C118" s="3088">
        <f>B118</f>
        <v>0.97589999999999999</v>
      </c>
      <c r="D118" s="3088">
        <f>ROUND(0.949-0.014*B116,4)</f>
        <v>0.9224</v>
      </c>
      <c r="E118" s="3088">
        <f>D118</f>
        <v>0.9224</v>
      </c>
      <c r="F118" s="3088">
        <f>E118</f>
        <v>0.9224</v>
      </c>
      <c r="G118" s="3088">
        <f>F118</f>
        <v>0.9224</v>
      </c>
      <c r="H118" s="3088">
        <f>G118</f>
        <v>0.9224</v>
      </c>
      <c r="I118" s="3088">
        <f>ROUND(0.8486-0.018*B116,4)</f>
        <v>0.81440000000000001</v>
      </c>
      <c r="J118" s="3088">
        <f t="shared" ref="J118:M122" si="35">I118</f>
        <v>0.81440000000000001</v>
      </c>
      <c r="K118" s="3088">
        <f t="shared" si="35"/>
        <v>0.81440000000000001</v>
      </c>
      <c r="L118" s="3088">
        <f t="shared" si="35"/>
        <v>0.81440000000000001</v>
      </c>
      <c r="M118" s="3108">
        <f t="shared" si="35"/>
        <v>0.81440000000000001</v>
      </c>
      <c r="N118" s="3096"/>
    </row>
    <row r="119" spans="1:14">
      <c r="A119" s="3056" t="s">
        <v>3329</v>
      </c>
      <c r="B119" s="3088">
        <f>ROUND(0.993-0.0112*B116,4)</f>
        <v>0.97170000000000001</v>
      </c>
      <c r="C119" s="3088">
        <f>B119</f>
        <v>0.97170000000000001</v>
      </c>
      <c r="D119" s="3088">
        <f>ROUND(0.9415-0.0142*B116,4)</f>
        <v>0.91449999999999998</v>
      </c>
      <c r="E119" s="3088">
        <f t="shared" ref="E119:H120" si="36">D119</f>
        <v>0.91449999999999998</v>
      </c>
      <c r="F119" s="3088">
        <f t="shared" si="36"/>
        <v>0.91449999999999998</v>
      </c>
      <c r="G119" s="3088">
        <f t="shared" si="36"/>
        <v>0.91449999999999998</v>
      </c>
      <c r="H119" s="3088">
        <f t="shared" si="36"/>
        <v>0.91449999999999998</v>
      </c>
      <c r="I119" s="3088">
        <f>ROUND(0.838-0.0182*B116,4)</f>
        <v>0.8034</v>
      </c>
      <c r="J119" s="3088">
        <f t="shared" si="35"/>
        <v>0.8034</v>
      </c>
      <c r="K119" s="3088">
        <f t="shared" si="35"/>
        <v>0.8034</v>
      </c>
      <c r="L119" s="3088">
        <f t="shared" si="35"/>
        <v>0.8034</v>
      </c>
      <c r="M119" s="3108">
        <f t="shared" si="35"/>
        <v>0.8034</v>
      </c>
      <c r="N119" s="3096"/>
    </row>
    <row r="120" spans="1:14">
      <c r="A120" s="3056" t="s">
        <v>3330</v>
      </c>
      <c r="B120" s="3088">
        <f>ROUND(0.9448-0.0115*B116,4)</f>
        <v>0.92300000000000004</v>
      </c>
      <c r="C120" s="3088">
        <f>B120</f>
        <v>0.92300000000000004</v>
      </c>
      <c r="D120" s="3088">
        <f>ROUND(0.937-0.0145*B116,4)</f>
        <v>0.90949999999999998</v>
      </c>
      <c r="E120" s="3088">
        <f t="shared" si="36"/>
        <v>0.90949999999999998</v>
      </c>
      <c r="F120" s="3088">
        <f t="shared" si="36"/>
        <v>0.90949999999999998</v>
      </c>
      <c r="G120" s="3088">
        <f t="shared" si="36"/>
        <v>0.90949999999999998</v>
      </c>
      <c r="H120" s="3088">
        <f t="shared" si="36"/>
        <v>0.90949999999999998</v>
      </c>
      <c r="I120" s="3088">
        <f>ROUND(0.7965-0.0185*B116,4)</f>
        <v>0.76139999999999997</v>
      </c>
      <c r="J120" s="3088">
        <f t="shared" si="35"/>
        <v>0.76139999999999997</v>
      </c>
      <c r="K120" s="3088">
        <f t="shared" si="35"/>
        <v>0.76139999999999997</v>
      </c>
      <c r="L120" s="3088">
        <f t="shared" si="35"/>
        <v>0.76139999999999997</v>
      </c>
      <c r="M120" s="3108">
        <f t="shared" si="35"/>
        <v>0.76139999999999997</v>
      </c>
      <c r="N120" s="3096"/>
    </row>
    <row r="121" spans="1:14" ht="13.5" thickBot="1">
      <c r="A121" s="3109" t="s">
        <v>3331</v>
      </c>
      <c r="B121" s="3110">
        <f>ROUND(0.7836-0.012*B116,4)</f>
        <v>0.76080000000000003</v>
      </c>
      <c r="C121" s="3110">
        <f>B121</f>
        <v>0.76080000000000003</v>
      </c>
      <c r="D121" s="3110">
        <f>ROUND(0.753-0.015*B116,4)</f>
        <v>0.72450000000000003</v>
      </c>
      <c r="E121" s="3110">
        <f>D121</f>
        <v>0.72450000000000003</v>
      </c>
      <c r="F121" s="3110">
        <f>E121</f>
        <v>0.72450000000000003</v>
      </c>
      <c r="G121" s="3110">
        <f>ROUND(0.6612-0.018*B116,4)</f>
        <v>0.627</v>
      </c>
      <c r="H121" s="3110">
        <f>G121</f>
        <v>0.627</v>
      </c>
      <c r="I121" s="3110">
        <f>ROUND(0.5905-0.019*B116,4)</f>
        <v>0.5544</v>
      </c>
      <c r="J121" s="3110">
        <f t="shared" si="35"/>
        <v>0.5544</v>
      </c>
      <c r="K121" s="3110">
        <f t="shared" si="35"/>
        <v>0.5544</v>
      </c>
      <c r="L121" s="3110">
        <f t="shared" si="35"/>
        <v>0.5544</v>
      </c>
      <c r="M121" s="3111">
        <f t="shared" si="35"/>
        <v>0.5544</v>
      </c>
      <c r="N121" s="3096"/>
    </row>
    <row r="122" spans="1:14">
      <c r="A122" s="3112" t="s">
        <v>2612</v>
      </c>
      <c r="B122" s="3088">
        <f>ROUND(0.9404-0.0106*B116,4)</f>
        <v>0.92030000000000001</v>
      </c>
      <c r="C122" s="3088">
        <f>B122</f>
        <v>0.92030000000000001</v>
      </c>
      <c r="D122" s="3088">
        <f>ROUND(0.8955-0.0135*B116,4)</f>
        <v>0.86990000000000001</v>
      </c>
      <c r="E122" s="3088">
        <f t="shared" ref="E122:H122" si="37">D122</f>
        <v>0.86990000000000001</v>
      </c>
      <c r="F122" s="3088">
        <f t="shared" si="37"/>
        <v>0.86990000000000001</v>
      </c>
      <c r="G122" s="3088">
        <f t="shared" si="37"/>
        <v>0.86990000000000001</v>
      </c>
      <c r="H122" s="3088">
        <f t="shared" si="37"/>
        <v>0.86990000000000001</v>
      </c>
      <c r="I122" s="3088">
        <f>ROUND(0.7632-0.0166*B116,4)</f>
        <v>0.73170000000000002</v>
      </c>
      <c r="J122" s="3088">
        <f t="shared" si="35"/>
        <v>0.73170000000000002</v>
      </c>
      <c r="K122" s="3088">
        <f t="shared" si="35"/>
        <v>0.73170000000000002</v>
      </c>
      <c r="L122" s="3088">
        <f t="shared" si="35"/>
        <v>0.73170000000000002</v>
      </c>
      <c r="M122" s="3108">
        <f t="shared" si="35"/>
        <v>0.73170000000000002</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4" priority="6" stopIfTrue="1" operator="notEqual">
      <formula>"——"</formula>
    </cfRule>
  </conditionalFormatting>
  <conditionalFormatting sqref="F61">
    <cfRule type="cellIs" dxfId="53" priority="5" stopIfTrue="1" operator="notEqual">
      <formula>"——"</formula>
    </cfRule>
  </conditionalFormatting>
  <conditionalFormatting sqref="F72">
    <cfRule type="cellIs" dxfId="52" priority="4" stopIfTrue="1" operator="notEqual">
      <formula>"——"</formula>
    </cfRule>
  </conditionalFormatting>
  <conditionalFormatting sqref="F83">
    <cfRule type="cellIs" dxfId="51" priority="3" stopIfTrue="1" operator="notEqual">
      <formula>"——"</formula>
    </cfRule>
  </conditionalFormatting>
  <conditionalFormatting sqref="H50:H58 H61:H69 H72:H80 H83:H91">
    <cfRule type="cellIs" dxfId="50" priority="2" operator="notEqual">
      <formula>"——"</formula>
    </cfRule>
  </conditionalFormatting>
  <conditionalFormatting sqref="H93:H101">
    <cfRule type="cellIs" dxfId="49"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21CA5-68B4-4D34-AAB1-5343C740F7EF}">
  <sheetPr>
    <tabColor rgb="FFFFC000"/>
  </sheetPr>
  <dimension ref="A1:P45"/>
  <sheetViews>
    <sheetView topLeftCell="B7" zoomScale="90" zoomScaleNormal="90" workbookViewId="0">
      <selection activeCell="H33" sqref="H33"/>
    </sheetView>
  </sheetViews>
  <sheetFormatPr defaultRowHeight="13.5"/>
  <cols>
    <col min="1" max="1" width="6.375" style="3148" customWidth="1"/>
    <col min="2" max="2" width="19.375" style="3144" customWidth="1"/>
    <col min="3" max="3" width="7" style="3148" customWidth="1"/>
    <col min="4" max="4" width="3.875" style="3148" customWidth="1"/>
    <col min="5" max="5" width="7.375" style="3148" customWidth="1"/>
    <col min="6" max="6" width="3.5" style="3148" customWidth="1"/>
    <col min="7" max="7" width="19.375" style="3192" customWidth="1"/>
    <col min="8" max="8" width="19.5" style="3148" customWidth="1"/>
    <col min="9" max="9" width="8.625" style="3148" customWidth="1"/>
    <col min="10" max="10" width="10.5" style="3143" customWidth="1"/>
    <col min="11" max="11" width="4.875" style="3143" customWidth="1"/>
    <col min="12" max="12" width="16.375" style="3143" customWidth="1"/>
    <col min="13" max="16" width="8.125" style="3148" customWidth="1"/>
    <col min="17" max="256" width="9" style="3148"/>
    <col min="257" max="257" width="6.375" style="3148" customWidth="1"/>
    <col min="258" max="258" width="19.375" style="3148" customWidth="1"/>
    <col min="259" max="259" width="7" style="3148" customWidth="1"/>
    <col min="260" max="260" width="3.25" style="3148" customWidth="1"/>
    <col min="261" max="261" width="7.375" style="3148" customWidth="1"/>
    <col min="262" max="262" width="3.5" style="3148" customWidth="1"/>
    <col min="263" max="263" width="19.375" style="3148" customWidth="1"/>
    <col min="264" max="264" width="19.5" style="3148" customWidth="1"/>
    <col min="265" max="265" width="8.625" style="3148" customWidth="1"/>
    <col min="266" max="266" width="10.5" style="3148" customWidth="1"/>
    <col min="267" max="267" width="4.875" style="3148" customWidth="1"/>
    <col min="268" max="268" width="16.375" style="3148" customWidth="1"/>
    <col min="269" max="272" width="8.125" style="3148" customWidth="1"/>
    <col min="273" max="512" width="9" style="3148"/>
    <col min="513" max="513" width="6.375" style="3148" customWidth="1"/>
    <col min="514" max="514" width="19.375" style="3148" customWidth="1"/>
    <col min="515" max="515" width="7" style="3148" customWidth="1"/>
    <col min="516" max="516" width="3.25" style="3148" customWidth="1"/>
    <col min="517" max="517" width="7.375" style="3148" customWidth="1"/>
    <col min="518" max="518" width="3.5" style="3148" customWidth="1"/>
    <col min="519" max="519" width="19.375" style="3148" customWidth="1"/>
    <col min="520" max="520" width="19.5" style="3148" customWidth="1"/>
    <col min="521" max="521" width="8.625" style="3148" customWidth="1"/>
    <col min="522" max="522" width="10.5" style="3148" customWidth="1"/>
    <col min="523" max="523" width="4.875" style="3148" customWidth="1"/>
    <col min="524" max="524" width="16.375" style="3148" customWidth="1"/>
    <col min="525" max="528" width="8.125" style="3148" customWidth="1"/>
    <col min="529" max="768" width="9" style="3148"/>
    <col min="769" max="769" width="6.375" style="3148" customWidth="1"/>
    <col min="770" max="770" width="19.375" style="3148" customWidth="1"/>
    <col min="771" max="771" width="7" style="3148" customWidth="1"/>
    <col min="772" max="772" width="3.25" style="3148" customWidth="1"/>
    <col min="773" max="773" width="7.375" style="3148" customWidth="1"/>
    <col min="774" max="774" width="3.5" style="3148" customWidth="1"/>
    <col min="775" max="775" width="19.375" style="3148" customWidth="1"/>
    <col min="776" max="776" width="19.5" style="3148" customWidth="1"/>
    <col min="777" max="777" width="8.625" style="3148" customWidth="1"/>
    <col min="778" max="778" width="10.5" style="3148" customWidth="1"/>
    <col min="779" max="779" width="4.875" style="3148" customWidth="1"/>
    <col min="780" max="780" width="16.375" style="3148" customWidth="1"/>
    <col min="781" max="784" width="8.125" style="3148" customWidth="1"/>
    <col min="785" max="1024" width="9" style="3148"/>
    <col min="1025" max="1025" width="6.375" style="3148" customWidth="1"/>
    <col min="1026" max="1026" width="19.375" style="3148" customWidth="1"/>
    <col min="1027" max="1027" width="7" style="3148" customWidth="1"/>
    <col min="1028" max="1028" width="3.25" style="3148" customWidth="1"/>
    <col min="1029" max="1029" width="7.375" style="3148" customWidth="1"/>
    <col min="1030" max="1030" width="3.5" style="3148" customWidth="1"/>
    <col min="1031" max="1031" width="19.375" style="3148" customWidth="1"/>
    <col min="1032" max="1032" width="19.5" style="3148" customWidth="1"/>
    <col min="1033" max="1033" width="8.625" style="3148" customWidth="1"/>
    <col min="1034" max="1034" width="10.5" style="3148" customWidth="1"/>
    <col min="1035" max="1035" width="4.875" style="3148" customWidth="1"/>
    <col min="1036" max="1036" width="16.375" style="3148" customWidth="1"/>
    <col min="1037" max="1040" width="8.125" style="3148" customWidth="1"/>
    <col min="1041" max="1280" width="9" style="3148"/>
    <col min="1281" max="1281" width="6.375" style="3148" customWidth="1"/>
    <col min="1282" max="1282" width="19.375" style="3148" customWidth="1"/>
    <col min="1283" max="1283" width="7" style="3148" customWidth="1"/>
    <col min="1284" max="1284" width="3.25" style="3148" customWidth="1"/>
    <col min="1285" max="1285" width="7.375" style="3148" customWidth="1"/>
    <col min="1286" max="1286" width="3.5" style="3148" customWidth="1"/>
    <col min="1287" max="1287" width="19.375" style="3148" customWidth="1"/>
    <col min="1288" max="1288" width="19.5" style="3148" customWidth="1"/>
    <col min="1289" max="1289" width="8.625" style="3148" customWidth="1"/>
    <col min="1290" max="1290" width="10.5" style="3148" customWidth="1"/>
    <col min="1291" max="1291" width="4.875" style="3148" customWidth="1"/>
    <col min="1292" max="1292" width="16.375" style="3148" customWidth="1"/>
    <col min="1293" max="1296" width="8.125" style="3148" customWidth="1"/>
    <col min="1297" max="1536" width="9" style="3148"/>
    <col min="1537" max="1537" width="6.375" style="3148" customWidth="1"/>
    <col min="1538" max="1538" width="19.375" style="3148" customWidth="1"/>
    <col min="1539" max="1539" width="7" style="3148" customWidth="1"/>
    <col min="1540" max="1540" width="3.25" style="3148" customWidth="1"/>
    <col min="1541" max="1541" width="7.375" style="3148" customWidth="1"/>
    <col min="1542" max="1542" width="3.5" style="3148" customWidth="1"/>
    <col min="1543" max="1543" width="19.375" style="3148" customWidth="1"/>
    <col min="1544" max="1544" width="19.5" style="3148" customWidth="1"/>
    <col min="1545" max="1545" width="8.625" style="3148" customWidth="1"/>
    <col min="1546" max="1546" width="10.5" style="3148" customWidth="1"/>
    <col min="1547" max="1547" width="4.875" style="3148" customWidth="1"/>
    <col min="1548" max="1548" width="16.375" style="3148" customWidth="1"/>
    <col min="1549" max="1552" width="8.125" style="3148" customWidth="1"/>
    <col min="1553" max="1792" width="9" style="3148"/>
    <col min="1793" max="1793" width="6.375" style="3148" customWidth="1"/>
    <col min="1794" max="1794" width="19.375" style="3148" customWidth="1"/>
    <col min="1795" max="1795" width="7" style="3148" customWidth="1"/>
    <col min="1796" max="1796" width="3.25" style="3148" customWidth="1"/>
    <col min="1797" max="1797" width="7.375" style="3148" customWidth="1"/>
    <col min="1798" max="1798" width="3.5" style="3148" customWidth="1"/>
    <col min="1799" max="1799" width="19.375" style="3148" customWidth="1"/>
    <col min="1800" max="1800" width="19.5" style="3148" customWidth="1"/>
    <col min="1801" max="1801" width="8.625" style="3148" customWidth="1"/>
    <col min="1802" max="1802" width="10.5" style="3148" customWidth="1"/>
    <col min="1803" max="1803" width="4.875" style="3148" customWidth="1"/>
    <col min="1804" max="1804" width="16.375" style="3148" customWidth="1"/>
    <col min="1805" max="1808" width="8.125" style="3148" customWidth="1"/>
    <col min="1809" max="2048" width="9" style="3148"/>
    <col min="2049" max="2049" width="6.375" style="3148" customWidth="1"/>
    <col min="2050" max="2050" width="19.375" style="3148" customWidth="1"/>
    <col min="2051" max="2051" width="7" style="3148" customWidth="1"/>
    <col min="2052" max="2052" width="3.25" style="3148" customWidth="1"/>
    <col min="2053" max="2053" width="7.375" style="3148" customWidth="1"/>
    <col min="2054" max="2054" width="3.5" style="3148" customWidth="1"/>
    <col min="2055" max="2055" width="19.375" style="3148" customWidth="1"/>
    <col min="2056" max="2056" width="19.5" style="3148" customWidth="1"/>
    <col min="2057" max="2057" width="8.625" style="3148" customWidth="1"/>
    <col min="2058" max="2058" width="10.5" style="3148" customWidth="1"/>
    <col min="2059" max="2059" width="4.875" style="3148" customWidth="1"/>
    <col min="2060" max="2060" width="16.375" style="3148" customWidth="1"/>
    <col min="2061" max="2064" width="8.125" style="3148" customWidth="1"/>
    <col min="2065" max="2304" width="9" style="3148"/>
    <col min="2305" max="2305" width="6.375" style="3148" customWidth="1"/>
    <col min="2306" max="2306" width="19.375" style="3148" customWidth="1"/>
    <col min="2307" max="2307" width="7" style="3148" customWidth="1"/>
    <col min="2308" max="2308" width="3.25" style="3148" customWidth="1"/>
    <col min="2309" max="2309" width="7.375" style="3148" customWidth="1"/>
    <col min="2310" max="2310" width="3.5" style="3148" customWidth="1"/>
    <col min="2311" max="2311" width="19.375" style="3148" customWidth="1"/>
    <col min="2312" max="2312" width="19.5" style="3148" customWidth="1"/>
    <col min="2313" max="2313" width="8.625" style="3148" customWidth="1"/>
    <col min="2314" max="2314" width="10.5" style="3148" customWidth="1"/>
    <col min="2315" max="2315" width="4.875" style="3148" customWidth="1"/>
    <col min="2316" max="2316" width="16.375" style="3148" customWidth="1"/>
    <col min="2317" max="2320" width="8.125" style="3148" customWidth="1"/>
    <col min="2321" max="2560" width="9" style="3148"/>
    <col min="2561" max="2561" width="6.375" style="3148" customWidth="1"/>
    <col min="2562" max="2562" width="19.375" style="3148" customWidth="1"/>
    <col min="2563" max="2563" width="7" style="3148" customWidth="1"/>
    <col min="2564" max="2564" width="3.25" style="3148" customWidth="1"/>
    <col min="2565" max="2565" width="7.375" style="3148" customWidth="1"/>
    <col min="2566" max="2566" width="3.5" style="3148" customWidth="1"/>
    <col min="2567" max="2567" width="19.375" style="3148" customWidth="1"/>
    <col min="2568" max="2568" width="19.5" style="3148" customWidth="1"/>
    <col min="2569" max="2569" width="8.625" style="3148" customWidth="1"/>
    <col min="2570" max="2570" width="10.5" style="3148" customWidth="1"/>
    <col min="2571" max="2571" width="4.875" style="3148" customWidth="1"/>
    <col min="2572" max="2572" width="16.375" style="3148" customWidth="1"/>
    <col min="2573" max="2576" width="8.125" style="3148" customWidth="1"/>
    <col min="2577" max="2816" width="9" style="3148"/>
    <col min="2817" max="2817" width="6.375" style="3148" customWidth="1"/>
    <col min="2818" max="2818" width="19.375" style="3148" customWidth="1"/>
    <col min="2819" max="2819" width="7" style="3148" customWidth="1"/>
    <col min="2820" max="2820" width="3.25" style="3148" customWidth="1"/>
    <col min="2821" max="2821" width="7.375" style="3148" customWidth="1"/>
    <col min="2822" max="2822" width="3.5" style="3148" customWidth="1"/>
    <col min="2823" max="2823" width="19.375" style="3148" customWidth="1"/>
    <col min="2824" max="2824" width="19.5" style="3148" customWidth="1"/>
    <col min="2825" max="2825" width="8.625" style="3148" customWidth="1"/>
    <col min="2826" max="2826" width="10.5" style="3148" customWidth="1"/>
    <col min="2827" max="2827" width="4.875" style="3148" customWidth="1"/>
    <col min="2828" max="2828" width="16.375" style="3148" customWidth="1"/>
    <col min="2829" max="2832" width="8.125" style="3148" customWidth="1"/>
    <col min="2833" max="3072" width="9" style="3148"/>
    <col min="3073" max="3073" width="6.375" style="3148" customWidth="1"/>
    <col min="3074" max="3074" width="19.375" style="3148" customWidth="1"/>
    <col min="3075" max="3075" width="7" style="3148" customWidth="1"/>
    <col min="3076" max="3076" width="3.25" style="3148" customWidth="1"/>
    <col min="3077" max="3077" width="7.375" style="3148" customWidth="1"/>
    <col min="3078" max="3078" width="3.5" style="3148" customWidth="1"/>
    <col min="3079" max="3079" width="19.375" style="3148" customWidth="1"/>
    <col min="3080" max="3080" width="19.5" style="3148" customWidth="1"/>
    <col min="3081" max="3081" width="8.625" style="3148" customWidth="1"/>
    <col min="3082" max="3082" width="10.5" style="3148" customWidth="1"/>
    <col min="3083" max="3083" width="4.875" style="3148" customWidth="1"/>
    <col min="3084" max="3084" width="16.375" style="3148" customWidth="1"/>
    <col min="3085" max="3088" width="8.125" style="3148" customWidth="1"/>
    <col min="3089" max="3328" width="9" style="3148"/>
    <col min="3329" max="3329" width="6.375" style="3148" customWidth="1"/>
    <col min="3330" max="3330" width="19.375" style="3148" customWidth="1"/>
    <col min="3331" max="3331" width="7" style="3148" customWidth="1"/>
    <col min="3332" max="3332" width="3.25" style="3148" customWidth="1"/>
    <col min="3333" max="3333" width="7.375" style="3148" customWidth="1"/>
    <col min="3334" max="3334" width="3.5" style="3148" customWidth="1"/>
    <col min="3335" max="3335" width="19.375" style="3148" customWidth="1"/>
    <col min="3336" max="3336" width="19.5" style="3148" customWidth="1"/>
    <col min="3337" max="3337" width="8.625" style="3148" customWidth="1"/>
    <col min="3338" max="3338" width="10.5" style="3148" customWidth="1"/>
    <col min="3339" max="3339" width="4.875" style="3148" customWidth="1"/>
    <col min="3340" max="3340" width="16.375" style="3148" customWidth="1"/>
    <col min="3341" max="3344" width="8.125" style="3148" customWidth="1"/>
    <col min="3345" max="3584" width="9" style="3148"/>
    <col min="3585" max="3585" width="6.375" style="3148" customWidth="1"/>
    <col min="3586" max="3586" width="19.375" style="3148" customWidth="1"/>
    <col min="3587" max="3587" width="7" style="3148" customWidth="1"/>
    <col min="3588" max="3588" width="3.25" style="3148" customWidth="1"/>
    <col min="3589" max="3589" width="7.375" style="3148" customWidth="1"/>
    <col min="3590" max="3590" width="3.5" style="3148" customWidth="1"/>
    <col min="3591" max="3591" width="19.375" style="3148" customWidth="1"/>
    <col min="3592" max="3592" width="19.5" style="3148" customWidth="1"/>
    <col min="3593" max="3593" width="8.625" style="3148" customWidth="1"/>
    <col min="3594" max="3594" width="10.5" style="3148" customWidth="1"/>
    <col min="3595" max="3595" width="4.875" style="3148" customWidth="1"/>
    <col min="3596" max="3596" width="16.375" style="3148" customWidth="1"/>
    <col min="3597" max="3600" width="8.125" style="3148" customWidth="1"/>
    <col min="3601" max="3840" width="9" style="3148"/>
    <col min="3841" max="3841" width="6.375" style="3148" customWidth="1"/>
    <col min="3842" max="3842" width="19.375" style="3148" customWidth="1"/>
    <col min="3843" max="3843" width="7" style="3148" customWidth="1"/>
    <col min="3844" max="3844" width="3.25" style="3148" customWidth="1"/>
    <col min="3845" max="3845" width="7.375" style="3148" customWidth="1"/>
    <col min="3846" max="3846" width="3.5" style="3148" customWidth="1"/>
    <col min="3847" max="3847" width="19.375" style="3148" customWidth="1"/>
    <col min="3848" max="3848" width="19.5" style="3148" customWidth="1"/>
    <col min="3849" max="3849" width="8.625" style="3148" customWidth="1"/>
    <col min="3850" max="3850" width="10.5" style="3148" customWidth="1"/>
    <col min="3851" max="3851" width="4.875" style="3148" customWidth="1"/>
    <col min="3852" max="3852" width="16.375" style="3148" customWidth="1"/>
    <col min="3853" max="3856" width="8.125" style="3148" customWidth="1"/>
    <col min="3857" max="4096" width="9" style="3148"/>
    <col min="4097" max="4097" width="6.375" style="3148" customWidth="1"/>
    <col min="4098" max="4098" width="19.375" style="3148" customWidth="1"/>
    <col min="4099" max="4099" width="7" style="3148" customWidth="1"/>
    <col min="4100" max="4100" width="3.25" style="3148" customWidth="1"/>
    <col min="4101" max="4101" width="7.375" style="3148" customWidth="1"/>
    <col min="4102" max="4102" width="3.5" style="3148" customWidth="1"/>
    <col min="4103" max="4103" width="19.375" style="3148" customWidth="1"/>
    <col min="4104" max="4104" width="19.5" style="3148" customWidth="1"/>
    <col min="4105" max="4105" width="8.625" style="3148" customWidth="1"/>
    <col min="4106" max="4106" width="10.5" style="3148" customWidth="1"/>
    <col min="4107" max="4107" width="4.875" style="3148" customWidth="1"/>
    <col min="4108" max="4108" width="16.375" style="3148" customWidth="1"/>
    <col min="4109" max="4112" width="8.125" style="3148" customWidth="1"/>
    <col min="4113" max="4352" width="9" style="3148"/>
    <col min="4353" max="4353" width="6.375" style="3148" customWidth="1"/>
    <col min="4354" max="4354" width="19.375" style="3148" customWidth="1"/>
    <col min="4355" max="4355" width="7" style="3148" customWidth="1"/>
    <col min="4356" max="4356" width="3.25" style="3148" customWidth="1"/>
    <col min="4357" max="4357" width="7.375" style="3148" customWidth="1"/>
    <col min="4358" max="4358" width="3.5" style="3148" customWidth="1"/>
    <col min="4359" max="4359" width="19.375" style="3148" customWidth="1"/>
    <col min="4360" max="4360" width="19.5" style="3148" customWidth="1"/>
    <col min="4361" max="4361" width="8.625" style="3148" customWidth="1"/>
    <col min="4362" max="4362" width="10.5" style="3148" customWidth="1"/>
    <col min="4363" max="4363" width="4.875" style="3148" customWidth="1"/>
    <col min="4364" max="4364" width="16.375" style="3148" customWidth="1"/>
    <col min="4365" max="4368" width="8.125" style="3148" customWidth="1"/>
    <col min="4369" max="4608" width="9" style="3148"/>
    <col min="4609" max="4609" width="6.375" style="3148" customWidth="1"/>
    <col min="4610" max="4610" width="19.375" style="3148" customWidth="1"/>
    <col min="4611" max="4611" width="7" style="3148" customWidth="1"/>
    <col min="4612" max="4612" width="3.25" style="3148" customWidth="1"/>
    <col min="4613" max="4613" width="7.375" style="3148" customWidth="1"/>
    <col min="4614" max="4614" width="3.5" style="3148" customWidth="1"/>
    <col min="4615" max="4615" width="19.375" style="3148" customWidth="1"/>
    <col min="4616" max="4616" width="19.5" style="3148" customWidth="1"/>
    <col min="4617" max="4617" width="8.625" style="3148" customWidth="1"/>
    <col min="4618" max="4618" width="10.5" style="3148" customWidth="1"/>
    <col min="4619" max="4619" width="4.875" style="3148" customWidth="1"/>
    <col min="4620" max="4620" width="16.375" style="3148" customWidth="1"/>
    <col min="4621" max="4624" width="8.125" style="3148" customWidth="1"/>
    <col min="4625" max="4864" width="9" style="3148"/>
    <col min="4865" max="4865" width="6.375" style="3148" customWidth="1"/>
    <col min="4866" max="4866" width="19.375" style="3148" customWidth="1"/>
    <col min="4867" max="4867" width="7" style="3148" customWidth="1"/>
    <col min="4868" max="4868" width="3.25" style="3148" customWidth="1"/>
    <col min="4869" max="4869" width="7.375" style="3148" customWidth="1"/>
    <col min="4870" max="4870" width="3.5" style="3148" customWidth="1"/>
    <col min="4871" max="4871" width="19.375" style="3148" customWidth="1"/>
    <col min="4872" max="4872" width="19.5" style="3148" customWidth="1"/>
    <col min="4873" max="4873" width="8.625" style="3148" customWidth="1"/>
    <col min="4874" max="4874" width="10.5" style="3148" customWidth="1"/>
    <col min="4875" max="4875" width="4.875" style="3148" customWidth="1"/>
    <col min="4876" max="4876" width="16.375" style="3148" customWidth="1"/>
    <col min="4877" max="4880" width="8.125" style="3148" customWidth="1"/>
    <col min="4881" max="5120" width="9" style="3148"/>
    <col min="5121" max="5121" width="6.375" style="3148" customWidth="1"/>
    <col min="5122" max="5122" width="19.375" style="3148" customWidth="1"/>
    <col min="5123" max="5123" width="7" style="3148" customWidth="1"/>
    <col min="5124" max="5124" width="3.25" style="3148" customWidth="1"/>
    <col min="5125" max="5125" width="7.375" style="3148" customWidth="1"/>
    <col min="5126" max="5126" width="3.5" style="3148" customWidth="1"/>
    <col min="5127" max="5127" width="19.375" style="3148" customWidth="1"/>
    <col min="5128" max="5128" width="19.5" style="3148" customWidth="1"/>
    <col min="5129" max="5129" width="8.625" style="3148" customWidth="1"/>
    <col min="5130" max="5130" width="10.5" style="3148" customWidth="1"/>
    <col min="5131" max="5131" width="4.875" style="3148" customWidth="1"/>
    <col min="5132" max="5132" width="16.375" style="3148" customWidth="1"/>
    <col min="5133" max="5136" width="8.125" style="3148" customWidth="1"/>
    <col min="5137" max="5376" width="9" style="3148"/>
    <col min="5377" max="5377" width="6.375" style="3148" customWidth="1"/>
    <col min="5378" max="5378" width="19.375" style="3148" customWidth="1"/>
    <col min="5379" max="5379" width="7" style="3148" customWidth="1"/>
    <col min="5380" max="5380" width="3.25" style="3148" customWidth="1"/>
    <col min="5381" max="5381" width="7.375" style="3148" customWidth="1"/>
    <col min="5382" max="5382" width="3.5" style="3148" customWidth="1"/>
    <col min="5383" max="5383" width="19.375" style="3148" customWidth="1"/>
    <col min="5384" max="5384" width="19.5" style="3148" customWidth="1"/>
    <col min="5385" max="5385" width="8.625" style="3148" customWidth="1"/>
    <col min="5386" max="5386" width="10.5" style="3148" customWidth="1"/>
    <col min="5387" max="5387" width="4.875" style="3148" customWidth="1"/>
    <col min="5388" max="5388" width="16.375" style="3148" customWidth="1"/>
    <col min="5389" max="5392" width="8.125" style="3148" customWidth="1"/>
    <col min="5393" max="5632" width="9" style="3148"/>
    <col min="5633" max="5633" width="6.375" style="3148" customWidth="1"/>
    <col min="5634" max="5634" width="19.375" style="3148" customWidth="1"/>
    <col min="5635" max="5635" width="7" style="3148" customWidth="1"/>
    <col min="5636" max="5636" width="3.25" style="3148" customWidth="1"/>
    <col min="5637" max="5637" width="7.375" style="3148" customWidth="1"/>
    <col min="5638" max="5638" width="3.5" style="3148" customWidth="1"/>
    <col min="5639" max="5639" width="19.375" style="3148" customWidth="1"/>
    <col min="5640" max="5640" width="19.5" style="3148" customWidth="1"/>
    <col min="5641" max="5641" width="8.625" style="3148" customWidth="1"/>
    <col min="5642" max="5642" width="10.5" style="3148" customWidth="1"/>
    <col min="5643" max="5643" width="4.875" style="3148" customWidth="1"/>
    <col min="5644" max="5644" width="16.375" style="3148" customWidth="1"/>
    <col min="5645" max="5648" width="8.125" style="3148" customWidth="1"/>
    <col min="5649" max="5888" width="9" style="3148"/>
    <col min="5889" max="5889" width="6.375" style="3148" customWidth="1"/>
    <col min="5890" max="5890" width="19.375" style="3148" customWidth="1"/>
    <col min="5891" max="5891" width="7" style="3148" customWidth="1"/>
    <col min="5892" max="5892" width="3.25" style="3148" customWidth="1"/>
    <col min="5893" max="5893" width="7.375" style="3148" customWidth="1"/>
    <col min="5894" max="5894" width="3.5" style="3148" customWidth="1"/>
    <col min="5895" max="5895" width="19.375" style="3148" customWidth="1"/>
    <col min="5896" max="5896" width="19.5" style="3148" customWidth="1"/>
    <col min="5897" max="5897" width="8.625" style="3148" customWidth="1"/>
    <col min="5898" max="5898" width="10.5" style="3148" customWidth="1"/>
    <col min="5899" max="5899" width="4.875" style="3148" customWidth="1"/>
    <col min="5900" max="5900" width="16.375" style="3148" customWidth="1"/>
    <col min="5901" max="5904" width="8.125" style="3148" customWidth="1"/>
    <col min="5905" max="6144" width="9" style="3148"/>
    <col min="6145" max="6145" width="6.375" style="3148" customWidth="1"/>
    <col min="6146" max="6146" width="19.375" style="3148" customWidth="1"/>
    <col min="6147" max="6147" width="7" style="3148" customWidth="1"/>
    <col min="6148" max="6148" width="3.25" style="3148" customWidth="1"/>
    <col min="6149" max="6149" width="7.375" style="3148" customWidth="1"/>
    <col min="6150" max="6150" width="3.5" style="3148" customWidth="1"/>
    <col min="6151" max="6151" width="19.375" style="3148" customWidth="1"/>
    <col min="6152" max="6152" width="19.5" style="3148" customWidth="1"/>
    <col min="6153" max="6153" width="8.625" style="3148" customWidth="1"/>
    <col min="6154" max="6154" width="10.5" style="3148" customWidth="1"/>
    <col min="6155" max="6155" width="4.875" style="3148" customWidth="1"/>
    <col min="6156" max="6156" width="16.375" style="3148" customWidth="1"/>
    <col min="6157" max="6160" width="8.125" style="3148" customWidth="1"/>
    <col min="6161" max="6400" width="9" style="3148"/>
    <col min="6401" max="6401" width="6.375" style="3148" customWidth="1"/>
    <col min="6402" max="6402" width="19.375" style="3148" customWidth="1"/>
    <col min="6403" max="6403" width="7" style="3148" customWidth="1"/>
    <col min="6404" max="6404" width="3.25" style="3148" customWidth="1"/>
    <col min="6405" max="6405" width="7.375" style="3148" customWidth="1"/>
    <col min="6406" max="6406" width="3.5" style="3148" customWidth="1"/>
    <col min="6407" max="6407" width="19.375" style="3148" customWidth="1"/>
    <col min="6408" max="6408" width="19.5" style="3148" customWidth="1"/>
    <col min="6409" max="6409" width="8.625" style="3148" customWidth="1"/>
    <col min="6410" max="6410" width="10.5" style="3148" customWidth="1"/>
    <col min="6411" max="6411" width="4.875" style="3148" customWidth="1"/>
    <col min="6412" max="6412" width="16.375" style="3148" customWidth="1"/>
    <col min="6413" max="6416" width="8.125" style="3148" customWidth="1"/>
    <col min="6417" max="6656" width="9" style="3148"/>
    <col min="6657" max="6657" width="6.375" style="3148" customWidth="1"/>
    <col min="6658" max="6658" width="19.375" style="3148" customWidth="1"/>
    <col min="6659" max="6659" width="7" style="3148" customWidth="1"/>
    <col min="6660" max="6660" width="3.25" style="3148" customWidth="1"/>
    <col min="6661" max="6661" width="7.375" style="3148" customWidth="1"/>
    <col min="6662" max="6662" width="3.5" style="3148" customWidth="1"/>
    <col min="6663" max="6663" width="19.375" style="3148" customWidth="1"/>
    <col min="6664" max="6664" width="19.5" style="3148" customWidth="1"/>
    <col min="6665" max="6665" width="8.625" style="3148" customWidth="1"/>
    <col min="6666" max="6666" width="10.5" style="3148" customWidth="1"/>
    <col min="6667" max="6667" width="4.875" style="3148" customWidth="1"/>
    <col min="6668" max="6668" width="16.375" style="3148" customWidth="1"/>
    <col min="6669" max="6672" width="8.125" style="3148" customWidth="1"/>
    <col min="6673" max="6912" width="9" style="3148"/>
    <col min="6913" max="6913" width="6.375" style="3148" customWidth="1"/>
    <col min="6914" max="6914" width="19.375" style="3148" customWidth="1"/>
    <col min="6915" max="6915" width="7" style="3148" customWidth="1"/>
    <col min="6916" max="6916" width="3.25" style="3148" customWidth="1"/>
    <col min="6917" max="6917" width="7.375" style="3148" customWidth="1"/>
    <col min="6918" max="6918" width="3.5" style="3148" customWidth="1"/>
    <col min="6919" max="6919" width="19.375" style="3148" customWidth="1"/>
    <col min="6920" max="6920" width="19.5" style="3148" customWidth="1"/>
    <col min="6921" max="6921" width="8.625" style="3148" customWidth="1"/>
    <col min="6922" max="6922" width="10.5" style="3148" customWidth="1"/>
    <col min="6923" max="6923" width="4.875" style="3148" customWidth="1"/>
    <col min="6924" max="6924" width="16.375" style="3148" customWidth="1"/>
    <col min="6925" max="6928" width="8.125" style="3148" customWidth="1"/>
    <col min="6929" max="7168" width="9" style="3148"/>
    <col min="7169" max="7169" width="6.375" style="3148" customWidth="1"/>
    <col min="7170" max="7170" width="19.375" style="3148" customWidth="1"/>
    <col min="7171" max="7171" width="7" style="3148" customWidth="1"/>
    <col min="7172" max="7172" width="3.25" style="3148" customWidth="1"/>
    <col min="7173" max="7173" width="7.375" style="3148" customWidth="1"/>
    <col min="7174" max="7174" width="3.5" style="3148" customWidth="1"/>
    <col min="7175" max="7175" width="19.375" style="3148" customWidth="1"/>
    <col min="7176" max="7176" width="19.5" style="3148" customWidth="1"/>
    <col min="7177" max="7177" width="8.625" style="3148" customWidth="1"/>
    <col min="7178" max="7178" width="10.5" style="3148" customWidth="1"/>
    <col min="7179" max="7179" width="4.875" style="3148" customWidth="1"/>
    <col min="7180" max="7180" width="16.375" style="3148" customWidth="1"/>
    <col min="7181" max="7184" width="8.125" style="3148" customWidth="1"/>
    <col min="7185" max="7424" width="9" style="3148"/>
    <col min="7425" max="7425" width="6.375" style="3148" customWidth="1"/>
    <col min="7426" max="7426" width="19.375" style="3148" customWidth="1"/>
    <col min="7427" max="7427" width="7" style="3148" customWidth="1"/>
    <col min="7428" max="7428" width="3.25" style="3148" customWidth="1"/>
    <col min="7429" max="7429" width="7.375" style="3148" customWidth="1"/>
    <col min="7430" max="7430" width="3.5" style="3148" customWidth="1"/>
    <col min="7431" max="7431" width="19.375" style="3148" customWidth="1"/>
    <col min="7432" max="7432" width="19.5" style="3148" customWidth="1"/>
    <col min="7433" max="7433" width="8.625" style="3148" customWidth="1"/>
    <col min="7434" max="7434" width="10.5" style="3148" customWidth="1"/>
    <col min="7435" max="7435" width="4.875" style="3148" customWidth="1"/>
    <col min="7436" max="7436" width="16.375" style="3148" customWidth="1"/>
    <col min="7437" max="7440" width="8.125" style="3148" customWidth="1"/>
    <col min="7441" max="7680" width="9" style="3148"/>
    <col min="7681" max="7681" width="6.375" style="3148" customWidth="1"/>
    <col min="7682" max="7682" width="19.375" style="3148" customWidth="1"/>
    <col min="7683" max="7683" width="7" style="3148" customWidth="1"/>
    <col min="7684" max="7684" width="3.25" style="3148" customWidth="1"/>
    <col min="7685" max="7685" width="7.375" style="3148" customWidth="1"/>
    <col min="7686" max="7686" width="3.5" style="3148" customWidth="1"/>
    <col min="7687" max="7687" width="19.375" style="3148" customWidth="1"/>
    <col min="7688" max="7688" width="19.5" style="3148" customWidth="1"/>
    <col min="7689" max="7689" width="8.625" style="3148" customWidth="1"/>
    <col min="7690" max="7690" width="10.5" style="3148" customWidth="1"/>
    <col min="7691" max="7691" width="4.875" style="3148" customWidth="1"/>
    <col min="7692" max="7692" width="16.375" style="3148" customWidth="1"/>
    <col min="7693" max="7696" width="8.125" style="3148" customWidth="1"/>
    <col min="7697" max="7936" width="9" style="3148"/>
    <col min="7937" max="7937" width="6.375" style="3148" customWidth="1"/>
    <col min="7938" max="7938" width="19.375" style="3148" customWidth="1"/>
    <col min="7939" max="7939" width="7" style="3148" customWidth="1"/>
    <col min="7940" max="7940" width="3.25" style="3148" customWidth="1"/>
    <col min="7941" max="7941" width="7.375" style="3148" customWidth="1"/>
    <col min="7942" max="7942" width="3.5" style="3148" customWidth="1"/>
    <col min="7943" max="7943" width="19.375" style="3148" customWidth="1"/>
    <col min="7944" max="7944" width="19.5" style="3148" customWidth="1"/>
    <col min="7945" max="7945" width="8.625" style="3148" customWidth="1"/>
    <col min="7946" max="7946" width="10.5" style="3148" customWidth="1"/>
    <col min="7947" max="7947" width="4.875" style="3148" customWidth="1"/>
    <col min="7948" max="7948" width="16.375" style="3148" customWidth="1"/>
    <col min="7949" max="7952" width="8.125" style="3148" customWidth="1"/>
    <col min="7953" max="8192" width="9" style="3148"/>
    <col min="8193" max="8193" width="6.375" style="3148" customWidth="1"/>
    <col min="8194" max="8194" width="19.375" style="3148" customWidth="1"/>
    <col min="8195" max="8195" width="7" style="3148" customWidth="1"/>
    <col min="8196" max="8196" width="3.25" style="3148" customWidth="1"/>
    <col min="8197" max="8197" width="7.375" style="3148" customWidth="1"/>
    <col min="8198" max="8198" width="3.5" style="3148" customWidth="1"/>
    <col min="8199" max="8199" width="19.375" style="3148" customWidth="1"/>
    <col min="8200" max="8200" width="19.5" style="3148" customWidth="1"/>
    <col min="8201" max="8201" width="8.625" style="3148" customWidth="1"/>
    <col min="8202" max="8202" width="10.5" style="3148" customWidth="1"/>
    <col min="8203" max="8203" width="4.875" style="3148" customWidth="1"/>
    <col min="8204" max="8204" width="16.375" style="3148" customWidth="1"/>
    <col min="8205" max="8208" width="8.125" style="3148" customWidth="1"/>
    <col min="8209" max="8448" width="9" style="3148"/>
    <col min="8449" max="8449" width="6.375" style="3148" customWidth="1"/>
    <col min="8450" max="8450" width="19.375" style="3148" customWidth="1"/>
    <col min="8451" max="8451" width="7" style="3148" customWidth="1"/>
    <col min="8452" max="8452" width="3.25" style="3148" customWidth="1"/>
    <col min="8453" max="8453" width="7.375" style="3148" customWidth="1"/>
    <col min="8454" max="8454" width="3.5" style="3148" customWidth="1"/>
    <col min="8455" max="8455" width="19.375" style="3148" customWidth="1"/>
    <col min="8456" max="8456" width="19.5" style="3148" customWidth="1"/>
    <col min="8457" max="8457" width="8.625" style="3148" customWidth="1"/>
    <col min="8458" max="8458" width="10.5" style="3148" customWidth="1"/>
    <col min="8459" max="8459" width="4.875" style="3148" customWidth="1"/>
    <col min="8460" max="8460" width="16.375" style="3148" customWidth="1"/>
    <col min="8461" max="8464" width="8.125" style="3148" customWidth="1"/>
    <col min="8465" max="8704" width="9" style="3148"/>
    <col min="8705" max="8705" width="6.375" style="3148" customWidth="1"/>
    <col min="8706" max="8706" width="19.375" style="3148" customWidth="1"/>
    <col min="8707" max="8707" width="7" style="3148" customWidth="1"/>
    <col min="8708" max="8708" width="3.25" style="3148" customWidth="1"/>
    <col min="8709" max="8709" width="7.375" style="3148" customWidth="1"/>
    <col min="8710" max="8710" width="3.5" style="3148" customWidth="1"/>
    <col min="8711" max="8711" width="19.375" style="3148" customWidth="1"/>
    <col min="8712" max="8712" width="19.5" style="3148" customWidth="1"/>
    <col min="8713" max="8713" width="8.625" style="3148" customWidth="1"/>
    <col min="8714" max="8714" width="10.5" style="3148" customWidth="1"/>
    <col min="8715" max="8715" width="4.875" style="3148" customWidth="1"/>
    <col min="8716" max="8716" width="16.375" style="3148" customWidth="1"/>
    <col min="8717" max="8720" width="8.125" style="3148" customWidth="1"/>
    <col min="8721" max="8960" width="9" style="3148"/>
    <col min="8961" max="8961" width="6.375" style="3148" customWidth="1"/>
    <col min="8962" max="8962" width="19.375" style="3148" customWidth="1"/>
    <col min="8963" max="8963" width="7" style="3148" customWidth="1"/>
    <col min="8964" max="8964" width="3.25" style="3148" customWidth="1"/>
    <col min="8965" max="8965" width="7.375" style="3148" customWidth="1"/>
    <col min="8966" max="8966" width="3.5" style="3148" customWidth="1"/>
    <col min="8967" max="8967" width="19.375" style="3148" customWidth="1"/>
    <col min="8968" max="8968" width="19.5" style="3148" customWidth="1"/>
    <col min="8969" max="8969" width="8.625" style="3148" customWidth="1"/>
    <col min="8970" max="8970" width="10.5" style="3148" customWidth="1"/>
    <col min="8971" max="8971" width="4.875" style="3148" customWidth="1"/>
    <col min="8972" max="8972" width="16.375" style="3148" customWidth="1"/>
    <col min="8973" max="8976" width="8.125" style="3148" customWidth="1"/>
    <col min="8977" max="9216" width="9" style="3148"/>
    <col min="9217" max="9217" width="6.375" style="3148" customWidth="1"/>
    <col min="9218" max="9218" width="19.375" style="3148" customWidth="1"/>
    <col min="9219" max="9219" width="7" style="3148" customWidth="1"/>
    <col min="9220" max="9220" width="3.25" style="3148" customWidth="1"/>
    <col min="9221" max="9221" width="7.375" style="3148" customWidth="1"/>
    <col min="9222" max="9222" width="3.5" style="3148" customWidth="1"/>
    <col min="9223" max="9223" width="19.375" style="3148" customWidth="1"/>
    <col min="9224" max="9224" width="19.5" style="3148" customWidth="1"/>
    <col min="9225" max="9225" width="8.625" style="3148" customWidth="1"/>
    <col min="9226" max="9226" width="10.5" style="3148" customWidth="1"/>
    <col min="9227" max="9227" width="4.875" style="3148" customWidth="1"/>
    <col min="9228" max="9228" width="16.375" style="3148" customWidth="1"/>
    <col min="9229" max="9232" width="8.125" style="3148" customWidth="1"/>
    <col min="9233" max="9472" width="9" style="3148"/>
    <col min="9473" max="9473" width="6.375" style="3148" customWidth="1"/>
    <col min="9474" max="9474" width="19.375" style="3148" customWidth="1"/>
    <col min="9475" max="9475" width="7" style="3148" customWidth="1"/>
    <col min="9476" max="9476" width="3.25" style="3148" customWidth="1"/>
    <col min="9477" max="9477" width="7.375" style="3148" customWidth="1"/>
    <col min="9478" max="9478" width="3.5" style="3148" customWidth="1"/>
    <col min="9479" max="9479" width="19.375" style="3148" customWidth="1"/>
    <col min="9480" max="9480" width="19.5" style="3148" customWidth="1"/>
    <col min="9481" max="9481" width="8.625" style="3148" customWidth="1"/>
    <col min="9482" max="9482" width="10.5" style="3148" customWidth="1"/>
    <col min="9483" max="9483" width="4.875" style="3148" customWidth="1"/>
    <col min="9484" max="9484" width="16.375" style="3148" customWidth="1"/>
    <col min="9485" max="9488" width="8.125" style="3148" customWidth="1"/>
    <col min="9489" max="9728" width="9" style="3148"/>
    <col min="9729" max="9729" width="6.375" style="3148" customWidth="1"/>
    <col min="9730" max="9730" width="19.375" style="3148" customWidth="1"/>
    <col min="9731" max="9731" width="7" style="3148" customWidth="1"/>
    <col min="9732" max="9732" width="3.25" style="3148" customWidth="1"/>
    <col min="9733" max="9733" width="7.375" style="3148" customWidth="1"/>
    <col min="9734" max="9734" width="3.5" style="3148" customWidth="1"/>
    <col min="9735" max="9735" width="19.375" style="3148" customWidth="1"/>
    <col min="9736" max="9736" width="19.5" style="3148" customWidth="1"/>
    <col min="9737" max="9737" width="8.625" style="3148" customWidth="1"/>
    <col min="9738" max="9738" width="10.5" style="3148" customWidth="1"/>
    <col min="9739" max="9739" width="4.875" style="3148" customWidth="1"/>
    <col min="9740" max="9740" width="16.375" style="3148" customWidth="1"/>
    <col min="9741" max="9744" width="8.125" style="3148" customWidth="1"/>
    <col min="9745" max="9984" width="9" style="3148"/>
    <col min="9985" max="9985" width="6.375" style="3148" customWidth="1"/>
    <col min="9986" max="9986" width="19.375" style="3148" customWidth="1"/>
    <col min="9987" max="9987" width="7" style="3148" customWidth="1"/>
    <col min="9988" max="9988" width="3.25" style="3148" customWidth="1"/>
    <col min="9989" max="9989" width="7.375" style="3148" customWidth="1"/>
    <col min="9990" max="9990" width="3.5" style="3148" customWidth="1"/>
    <col min="9991" max="9991" width="19.375" style="3148" customWidth="1"/>
    <col min="9992" max="9992" width="19.5" style="3148" customWidth="1"/>
    <col min="9993" max="9993" width="8.625" style="3148" customWidth="1"/>
    <col min="9994" max="9994" width="10.5" style="3148" customWidth="1"/>
    <col min="9995" max="9995" width="4.875" style="3148" customWidth="1"/>
    <col min="9996" max="9996" width="16.375" style="3148" customWidth="1"/>
    <col min="9997" max="10000" width="8.125" style="3148" customWidth="1"/>
    <col min="10001" max="10240" width="9" style="3148"/>
    <col min="10241" max="10241" width="6.375" style="3148" customWidth="1"/>
    <col min="10242" max="10242" width="19.375" style="3148" customWidth="1"/>
    <col min="10243" max="10243" width="7" style="3148" customWidth="1"/>
    <col min="10244" max="10244" width="3.25" style="3148" customWidth="1"/>
    <col min="10245" max="10245" width="7.375" style="3148" customWidth="1"/>
    <col min="10246" max="10246" width="3.5" style="3148" customWidth="1"/>
    <col min="10247" max="10247" width="19.375" style="3148" customWidth="1"/>
    <col min="10248" max="10248" width="19.5" style="3148" customWidth="1"/>
    <col min="10249" max="10249" width="8.625" style="3148" customWidth="1"/>
    <col min="10250" max="10250" width="10.5" style="3148" customWidth="1"/>
    <col min="10251" max="10251" width="4.875" style="3148" customWidth="1"/>
    <col min="10252" max="10252" width="16.375" style="3148" customWidth="1"/>
    <col min="10253" max="10256" width="8.125" style="3148" customWidth="1"/>
    <col min="10257" max="10496" width="9" style="3148"/>
    <col min="10497" max="10497" width="6.375" style="3148" customWidth="1"/>
    <col min="10498" max="10498" width="19.375" style="3148" customWidth="1"/>
    <col min="10499" max="10499" width="7" style="3148" customWidth="1"/>
    <col min="10500" max="10500" width="3.25" style="3148" customWidth="1"/>
    <col min="10501" max="10501" width="7.375" style="3148" customWidth="1"/>
    <col min="10502" max="10502" width="3.5" style="3148" customWidth="1"/>
    <col min="10503" max="10503" width="19.375" style="3148" customWidth="1"/>
    <col min="10504" max="10504" width="19.5" style="3148" customWidth="1"/>
    <col min="10505" max="10505" width="8.625" style="3148" customWidth="1"/>
    <col min="10506" max="10506" width="10.5" style="3148" customWidth="1"/>
    <col min="10507" max="10507" width="4.875" style="3148" customWidth="1"/>
    <col min="10508" max="10508" width="16.375" style="3148" customWidth="1"/>
    <col min="10509" max="10512" width="8.125" style="3148" customWidth="1"/>
    <col min="10513" max="10752" width="9" style="3148"/>
    <col min="10753" max="10753" width="6.375" style="3148" customWidth="1"/>
    <col min="10754" max="10754" width="19.375" style="3148" customWidth="1"/>
    <col min="10755" max="10755" width="7" style="3148" customWidth="1"/>
    <col min="10756" max="10756" width="3.25" style="3148" customWidth="1"/>
    <col min="10757" max="10757" width="7.375" style="3148" customWidth="1"/>
    <col min="10758" max="10758" width="3.5" style="3148" customWidth="1"/>
    <col min="10759" max="10759" width="19.375" style="3148" customWidth="1"/>
    <col min="10760" max="10760" width="19.5" style="3148" customWidth="1"/>
    <col min="10761" max="10761" width="8.625" style="3148" customWidth="1"/>
    <col min="10762" max="10762" width="10.5" style="3148" customWidth="1"/>
    <col min="10763" max="10763" width="4.875" style="3148" customWidth="1"/>
    <col min="10764" max="10764" width="16.375" style="3148" customWidth="1"/>
    <col min="10765" max="10768" width="8.125" style="3148" customWidth="1"/>
    <col min="10769" max="11008" width="9" style="3148"/>
    <col min="11009" max="11009" width="6.375" style="3148" customWidth="1"/>
    <col min="11010" max="11010" width="19.375" style="3148" customWidth="1"/>
    <col min="11011" max="11011" width="7" style="3148" customWidth="1"/>
    <col min="11012" max="11012" width="3.25" style="3148" customWidth="1"/>
    <col min="11013" max="11013" width="7.375" style="3148" customWidth="1"/>
    <col min="11014" max="11014" width="3.5" style="3148" customWidth="1"/>
    <col min="11015" max="11015" width="19.375" style="3148" customWidth="1"/>
    <col min="11016" max="11016" width="19.5" style="3148" customWidth="1"/>
    <col min="11017" max="11017" width="8.625" style="3148" customWidth="1"/>
    <col min="11018" max="11018" width="10.5" style="3148" customWidth="1"/>
    <col min="11019" max="11019" width="4.875" style="3148" customWidth="1"/>
    <col min="11020" max="11020" width="16.375" style="3148" customWidth="1"/>
    <col min="11021" max="11024" width="8.125" style="3148" customWidth="1"/>
    <col min="11025" max="11264" width="9" style="3148"/>
    <col min="11265" max="11265" width="6.375" style="3148" customWidth="1"/>
    <col min="11266" max="11266" width="19.375" style="3148" customWidth="1"/>
    <col min="11267" max="11267" width="7" style="3148" customWidth="1"/>
    <col min="11268" max="11268" width="3.25" style="3148" customWidth="1"/>
    <col min="11269" max="11269" width="7.375" style="3148" customWidth="1"/>
    <col min="11270" max="11270" width="3.5" style="3148" customWidth="1"/>
    <col min="11271" max="11271" width="19.375" style="3148" customWidth="1"/>
    <col min="11272" max="11272" width="19.5" style="3148" customWidth="1"/>
    <col min="11273" max="11273" width="8.625" style="3148" customWidth="1"/>
    <col min="11274" max="11274" width="10.5" style="3148" customWidth="1"/>
    <col min="11275" max="11275" width="4.875" style="3148" customWidth="1"/>
    <col min="11276" max="11276" width="16.375" style="3148" customWidth="1"/>
    <col min="11277" max="11280" width="8.125" style="3148" customWidth="1"/>
    <col min="11281" max="11520" width="9" style="3148"/>
    <col min="11521" max="11521" width="6.375" style="3148" customWidth="1"/>
    <col min="11522" max="11522" width="19.375" style="3148" customWidth="1"/>
    <col min="11523" max="11523" width="7" style="3148" customWidth="1"/>
    <col min="11524" max="11524" width="3.25" style="3148" customWidth="1"/>
    <col min="11525" max="11525" width="7.375" style="3148" customWidth="1"/>
    <col min="11526" max="11526" width="3.5" style="3148" customWidth="1"/>
    <col min="11527" max="11527" width="19.375" style="3148" customWidth="1"/>
    <col min="11528" max="11528" width="19.5" style="3148" customWidth="1"/>
    <col min="11529" max="11529" width="8.625" style="3148" customWidth="1"/>
    <col min="11530" max="11530" width="10.5" style="3148" customWidth="1"/>
    <col min="11531" max="11531" width="4.875" style="3148" customWidth="1"/>
    <col min="11532" max="11532" width="16.375" style="3148" customWidth="1"/>
    <col min="11533" max="11536" width="8.125" style="3148" customWidth="1"/>
    <col min="11537" max="11776" width="9" style="3148"/>
    <col min="11777" max="11777" width="6.375" style="3148" customWidth="1"/>
    <col min="11778" max="11778" width="19.375" style="3148" customWidth="1"/>
    <col min="11779" max="11779" width="7" style="3148" customWidth="1"/>
    <col min="11780" max="11780" width="3.25" style="3148" customWidth="1"/>
    <col min="11781" max="11781" width="7.375" style="3148" customWidth="1"/>
    <col min="11782" max="11782" width="3.5" style="3148" customWidth="1"/>
    <col min="11783" max="11783" width="19.375" style="3148" customWidth="1"/>
    <col min="11784" max="11784" width="19.5" style="3148" customWidth="1"/>
    <col min="11785" max="11785" width="8.625" style="3148" customWidth="1"/>
    <col min="11786" max="11786" width="10.5" style="3148" customWidth="1"/>
    <col min="11787" max="11787" width="4.875" style="3148" customWidth="1"/>
    <col min="11788" max="11788" width="16.375" style="3148" customWidth="1"/>
    <col min="11789" max="11792" width="8.125" style="3148" customWidth="1"/>
    <col min="11793" max="12032" width="9" style="3148"/>
    <col min="12033" max="12033" width="6.375" style="3148" customWidth="1"/>
    <col min="12034" max="12034" width="19.375" style="3148" customWidth="1"/>
    <col min="12035" max="12035" width="7" style="3148" customWidth="1"/>
    <col min="12036" max="12036" width="3.25" style="3148" customWidth="1"/>
    <col min="12037" max="12037" width="7.375" style="3148" customWidth="1"/>
    <col min="12038" max="12038" width="3.5" style="3148" customWidth="1"/>
    <col min="12039" max="12039" width="19.375" style="3148" customWidth="1"/>
    <col min="12040" max="12040" width="19.5" style="3148" customWidth="1"/>
    <col min="12041" max="12041" width="8.625" style="3148" customWidth="1"/>
    <col min="12042" max="12042" width="10.5" style="3148" customWidth="1"/>
    <col min="12043" max="12043" width="4.875" style="3148" customWidth="1"/>
    <col min="12044" max="12044" width="16.375" style="3148" customWidth="1"/>
    <col min="12045" max="12048" width="8.125" style="3148" customWidth="1"/>
    <col min="12049" max="12288" width="9" style="3148"/>
    <col min="12289" max="12289" width="6.375" style="3148" customWidth="1"/>
    <col min="12290" max="12290" width="19.375" style="3148" customWidth="1"/>
    <col min="12291" max="12291" width="7" style="3148" customWidth="1"/>
    <col min="12292" max="12292" width="3.25" style="3148" customWidth="1"/>
    <col min="12293" max="12293" width="7.375" style="3148" customWidth="1"/>
    <col min="12294" max="12294" width="3.5" style="3148" customWidth="1"/>
    <col min="12295" max="12295" width="19.375" style="3148" customWidth="1"/>
    <col min="12296" max="12296" width="19.5" style="3148" customWidth="1"/>
    <col min="12297" max="12297" width="8.625" style="3148" customWidth="1"/>
    <col min="12298" max="12298" width="10.5" style="3148" customWidth="1"/>
    <col min="12299" max="12299" width="4.875" style="3148" customWidth="1"/>
    <col min="12300" max="12300" width="16.375" style="3148" customWidth="1"/>
    <col min="12301" max="12304" width="8.125" style="3148" customWidth="1"/>
    <col min="12305" max="12544" width="9" style="3148"/>
    <col min="12545" max="12545" width="6.375" style="3148" customWidth="1"/>
    <col min="12546" max="12546" width="19.375" style="3148" customWidth="1"/>
    <col min="12547" max="12547" width="7" style="3148" customWidth="1"/>
    <col min="12548" max="12548" width="3.25" style="3148" customWidth="1"/>
    <col min="12549" max="12549" width="7.375" style="3148" customWidth="1"/>
    <col min="12550" max="12550" width="3.5" style="3148" customWidth="1"/>
    <col min="12551" max="12551" width="19.375" style="3148" customWidth="1"/>
    <col min="12552" max="12552" width="19.5" style="3148" customWidth="1"/>
    <col min="12553" max="12553" width="8.625" style="3148" customWidth="1"/>
    <col min="12554" max="12554" width="10.5" style="3148" customWidth="1"/>
    <col min="12555" max="12555" width="4.875" style="3148" customWidth="1"/>
    <col min="12556" max="12556" width="16.375" style="3148" customWidth="1"/>
    <col min="12557" max="12560" width="8.125" style="3148" customWidth="1"/>
    <col min="12561" max="12800" width="9" style="3148"/>
    <col min="12801" max="12801" width="6.375" style="3148" customWidth="1"/>
    <col min="12802" max="12802" width="19.375" style="3148" customWidth="1"/>
    <col min="12803" max="12803" width="7" style="3148" customWidth="1"/>
    <col min="12804" max="12804" width="3.25" style="3148" customWidth="1"/>
    <col min="12805" max="12805" width="7.375" style="3148" customWidth="1"/>
    <col min="12806" max="12806" width="3.5" style="3148" customWidth="1"/>
    <col min="12807" max="12807" width="19.375" style="3148" customWidth="1"/>
    <col min="12808" max="12808" width="19.5" style="3148" customWidth="1"/>
    <col min="12809" max="12809" width="8.625" style="3148" customWidth="1"/>
    <col min="12810" max="12810" width="10.5" style="3148" customWidth="1"/>
    <col min="12811" max="12811" width="4.875" style="3148" customWidth="1"/>
    <col min="12812" max="12812" width="16.375" style="3148" customWidth="1"/>
    <col min="12813" max="12816" width="8.125" style="3148" customWidth="1"/>
    <col min="12817" max="13056" width="9" style="3148"/>
    <col min="13057" max="13057" width="6.375" style="3148" customWidth="1"/>
    <col min="13058" max="13058" width="19.375" style="3148" customWidth="1"/>
    <col min="13059" max="13059" width="7" style="3148" customWidth="1"/>
    <col min="13060" max="13060" width="3.25" style="3148" customWidth="1"/>
    <col min="13061" max="13061" width="7.375" style="3148" customWidth="1"/>
    <col min="13062" max="13062" width="3.5" style="3148" customWidth="1"/>
    <col min="13063" max="13063" width="19.375" style="3148" customWidth="1"/>
    <col min="13064" max="13064" width="19.5" style="3148" customWidth="1"/>
    <col min="13065" max="13065" width="8.625" style="3148" customWidth="1"/>
    <col min="13066" max="13066" width="10.5" style="3148" customWidth="1"/>
    <col min="13067" max="13067" width="4.875" style="3148" customWidth="1"/>
    <col min="13068" max="13068" width="16.375" style="3148" customWidth="1"/>
    <col min="13069" max="13072" width="8.125" style="3148" customWidth="1"/>
    <col min="13073" max="13312" width="9" style="3148"/>
    <col min="13313" max="13313" width="6.375" style="3148" customWidth="1"/>
    <col min="13314" max="13314" width="19.375" style="3148" customWidth="1"/>
    <col min="13315" max="13315" width="7" style="3148" customWidth="1"/>
    <col min="13316" max="13316" width="3.25" style="3148" customWidth="1"/>
    <col min="13317" max="13317" width="7.375" style="3148" customWidth="1"/>
    <col min="13318" max="13318" width="3.5" style="3148" customWidth="1"/>
    <col min="13319" max="13319" width="19.375" style="3148" customWidth="1"/>
    <col min="13320" max="13320" width="19.5" style="3148" customWidth="1"/>
    <col min="13321" max="13321" width="8.625" style="3148" customWidth="1"/>
    <col min="13322" max="13322" width="10.5" style="3148" customWidth="1"/>
    <col min="13323" max="13323" width="4.875" style="3148" customWidth="1"/>
    <col min="13324" max="13324" width="16.375" style="3148" customWidth="1"/>
    <col min="13325" max="13328" width="8.125" style="3148" customWidth="1"/>
    <col min="13329" max="13568" width="9" style="3148"/>
    <col min="13569" max="13569" width="6.375" style="3148" customWidth="1"/>
    <col min="13570" max="13570" width="19.375" style="3148" customWidth="1"/>
    <col min="13571" max="13571" width="7" style="3148" customWidth="1"/>
    <col min="13572" max="13572" width="3.25" style="3148" customWidth="1"/>
    <col min="13573" max="13573" width="7.375" style="3148" customWidth="1"/>
    <col min="13574" max="13574" width="3.5" style="3148" customWidth="1"/>
    <col min="13575" max="13575" width="19.375" style="3148" customWidth="1"/>
    <col min="13576" max="13576" width="19.5" style="3148" customWidth="1"/>
    <col min="13577" max="13577" width="8.625" style="3148" customWidth="1"/>
    <col min="13578" max="13578" width="10.5" style="3148" customWidth="1"/>
    <col min="13579" max="13579" width="4.875" style="3148" customWidth="1"/>
    <col min="13580" max="13580" width="16.375" style="3148" customWidth="1"/>
    <col min="13581" max="13584" width="8.125" style="3148" customWidth="1"/>
    <col min="13585" max="13824" width="9" style="3148"/>
    <col min="13825" max="13825" width="6.375" style="3148" customWidth="1"/>
    <col min="13826" max="13826" width="19.375" style="3148" customWidth="1"/>
    <col min="13827" max="13827" width="7" style="3148" customWidth="1"/>
    <col min="13828" max="13828" width="3.25" style="3148" customWidth="1"/>
    <col min="13829" max="13829" width="7.375" style="3148" customWidth="1"/>
    <col min="13830" max="13830" width="3.5" style="3148" customWidth="1"/>
    <col min="13831" max="13831" width="19.375" style="3148" customWidth="1"/>
    <col min="13832" max="13832" width="19.5" style="3148" customWidth="1"/>
    <col min="13833" max="13833" width="8.625" style="3148" customWidth="1"/>
    <col min="13834" max="13834" width="10.5" style="3148" customWidth="1"/>
    <col min="13835" max="13835" width="4.875" style="3148" customWidth="1"/>
    <col min="13836" max="13836" width="16.375" style="3148" customWidth="1"/>
    <col min="13837" max="13840" width="8.125" style="3148" customWidth="1"/>
    <col min="13841" max="14080" width="9" style="3148"/>
    <col min="14081" max="14081" width="6.375" style="3148" customWidth="1"/>
    <col min="14082" max="14082" width="19.375" style="3148" customWidth="1"/>
    <col min="14083" max="14083" width="7" style="3148" customWidth="1"/>
    <col min="14084" max="14084" width="3.25" style="3148" customWidth="1"/>
    <col min="14085" max="14085" width="7.375" style="3148" customWidth="1"/>
    <col min="14086" max="14086" width="3.5" style="3148" customWidth="1"/>
    <col min="14087" max="14087" width="19.375" style="3148" customWidth="1"/>
    <col min="14088" max="14088" width="19.5" style="3148" customWidth="1"/>
    <col min="14089" max="14089" width="8.625" style="3148" customWidth="1"/>
    <col min="14090" max="14090" width="10.5" style="3148" customWidth="1"/>
    <col min="14091" max="14091" width="4.875" style="3148" customWidth="1"/>
    <col min="14092" max="14092" width="16.375" style="3148" customWidth="1"/>
    <col min="14093" max="14096" width="8.125" style="3148" customWidth="1"/>
    <col min="14097" max="14336" width="9" style="3148"/>
    <col min="14337" max="14337" width="6.375" style="3148" customWidth="1"/>
    <col min="14338" max="14338" width="19.375" style="3148" customWidth="1"/>
    <col min="14339" max="14339" width="7" style="3148" customWidth="1"/>
    <col min="14340" max="14340" width="3.25" style="3148" customWidth="1"/>
    <col min="14341" max="14341" width="7.375" style="3148" customWidth="1"/>
    <col min="14342" max="14342" width="3.5" style="3148" customWidth="1"/>
    <col min="14343" max="14343" width="19.375" style="3148" customWidth="1"/>
    <col min="14344" max="14344" width="19.5" style="3148" customWidth="1"/>
    <col min="14345" max="14345" width="8.625" style="3148" customWidth="1"/>
    <col min="14346" max="14346" width="10.5" style="3148" customWidth="1"/>
    <col min="14347" max="14347" width="4.875" style="3148" customWidth="1"/>
    <col min="14348" max="14348" width="16.375" style="3148" customWidth="1"/>
    <col min="14349" max="14352" width="8.125" style="3148" customWidth="1"/>
    <col min="14353" max="14592" width="9" style="3148"/>
    <col min="14593" max="14593" width="6.375" style="3148" customWidth="1"/>
    <col min="14594" max="14594" width="19.375" style="3148" customWidth="1"/>
    <col min="14595" max="14595" width="7" style="3148" customWidth="1"/>
    <col min="14596" max="14596" width="3.25" style="3148" customWidth="1"/>
    <col min="14597" max="14597" width="7.375" style="3148" customWidth="1"/>
    <col min="14598" max="14598" width="3.5" style="3148" customWidth="1"/>
    <col min="14599" max="14599" width="19.375" style="3148" customWidth="1"/>
    <col min="14600" max="14600" width="19.5" style="3148" customWidth="1"/>
    <col min="14601" max="14601" width="8.625" style="3148" customWidth="1"/>
    <col min="14602" max="14602" width="10.5" style="3148" customWidth="1"/>
    <col min="14603" max="14603" width="4.875" style="3148" customWidth="1"/>
    <col min="14604" max="14604" width="16.375" style="3148" customWidth="1"/>
    <col min="14605" max="14608" width="8.125" style="3148" customWidth="1"/>
    <col min="14609" max="14848" width="9" style="3148"/>
    <col min="14849" max="14849" width="6.375" style="3148" customWidth="1"/>
    <col min="14850" max="14850" width="19.375" style="3148" customWidth="1"/>
    <col min="14851" max="14851" width="7" style="3148" customWidth="1"/>
    <col min="14852" max="14852" width="3.25" style="3148" customWidth="1"/>
    <col min="14853" max="14853" width="7.375" style="3148" customWidth="1"/>
    <col min="14854" max="14854" width="3.5" style="3148" customWidth="1"/>
    <col min="14855" max="14855" width="19.375" style="3148" customWidth="1"/>
    <col min="14856" max="14856" width="19.5" style="3148" customWidth="1"/>
    <col min="14857" max="14857" width="8.625" style="3148" customWidth="1"/>
    <col min="14858" max="14858" width="10.5" style="3148" customWidth="1"/>
    <col min="14859" max="14859" width="4.875" style="3148" customWidth="1"/>
    <col min="14860" max="14860" width="16.375" style="3148" customWidth="1"/>
    <col min="14861" max="14864" width="8.125" style="3148" customWidth="1"/>
    <col min="14865" max="15104" width="9" style="3148"/>
    <col min="15105" max="15105" width="6.375" style="3148" customWidth="1"/>
    <col min="15106" max="15106" width="19.375" style="3148" customWidth="1"/>
    <col min="15107" max="15107" width="7" style="3148" customWidth="1"/>
    <col min="15108" max="15108" width="3.25" style="3148" customWidth="1"/>
    <col min="15109" max="15109" width="7.375" style="3148" customWidth="1"/>
    <col min="15110" max="15110" width="3.5" style="3148" customWidth="1"/>
    <col min="15111" max="15111" width="19.375" style="3148" customWidth="1"/>
    <col min="15112" max="15112" width="19.5" style="3148" customWidth="1"/>
    <col min="15113" max="15113" width="8.625" style="3148" customWidth="1"/>
    <col min="15114" max="15114" width="10.5" style="3148" customWidth="1"/>
    <col min="15115" max="15115" width="4.875" style="3148" customWidth="1"/>
    <col min="15116" max="15116" width="16.375" style="3148" customWidth="1"/>
    <col min="15117" max="15120" width="8.125" style="3148" customWidth="1"/>
    <col min="15121" max="15360" width="9" style="3148"/>
    <col min="15361" max="15361" width="6.375" style="3148" customWidth="1"/>
    <col min="15362" max="15362" width="19.375" style="3148" customWidth="1"/>
    <col min="15363" max="15363" width="7" style="3148" customWidth="1"/>
    <col min="15364" max="15364" width="3.25" style="3148" customWidth="1"/>
    <col min="15365" max="15365" width="7.375" style="3148" customWidth="1"/>
    <col min="15366" max="15366" width="3.5" style="3148" customWidth="1"/>
    <col min="15367" max="15367" width="19.375" style="3148" customWidth="1"/>
    <col min="15368" max="15368" width="19.5" style="3148" customWidth="1"/>
    <col min="15369" max="15369" width="8.625" style="3148" customWidth="1"/>
    <col min="15370" max="15370" width="10.5" style="3148" customWidth="1"/>
    <col min="15371" max="15371" width="4.875" style="3148" customWidth="1"/>
    <col min="15372" max="15372" width="16.375" style="3148" customWidth="1"/>
    <col min="15373" max="15376" width="8.125" style="3148" customWidth="1"/>
    <col min="15377" max="15616" width="9" style="3148"/>
    <col min="15617" max="15617" width="6.375" style="3148" customWidth="1"/>
    <col min="15618" max="15618" width="19.375" style="3148" customWidth="1"/>
    <col min="15619" max="15619" width="7" style="3148" customWidth="1"/>
    <col min="15620" max="15620" width="3.25" style="3148" customWidth="1"/>
    <col min="15621" max="15621" width="7.375" style="3148" customWidth="1"/>
    <col min="15622" max="15622" width="3.5" style="3148" customWidth="1"/>
    <col min="15623" max="15623" width="19.375" style="3148" customWidth="1"/>
    <col min="15624" max="15624" width="19.5" style="3148" customWidth="1"/>
    <col min="15625" max="15625" width="8.625" style="3148" customWidth="1"/>
    <col min="15626" max="15626" width="10.5" style="3148" customWidth="1"/>
    <col min="15627" max="15627" width="4.875" style="3148" customWidth="1"/>
    <col min="15628" max="15628" width="16.375" style="3148" customWidth="1"/>
    <col min="15629" max="15632" width="8.125" style="3148" customWidth="1"/>
    <col min="15633" max="15872" width="9" style="3148"/>
    <col min="15873" max="15873" width="6.375" style="3148" customWidth="1"/>
    <col min="15874" max="15874" width="19.375" style="3148" customWidth="1"/>
    <col min="15875" max="15875" width="7" style="3148" customWidth="1"/>
    <col min="15876" max="15876" width="3.25" style="3148" customWidth="1"/>
    <col min="15877" max="15877" width="7.375" style="3148" customWidth="1"/>
    <col min="15878" max="15878" width="3.5" style="3148" customWidth="1"/>
    <col min="15879" max="15879" width="19.375" style="3148" customWidth="1"/>
    <col min="15880" max="15880" width="19.5" style="3148" customWidth="1"/>
    <col min="15881" max="15881" width="8.625" style="3148" customWidth="1"/>
    <col min="15882" max="15882" width="10.5" style="3148" customWidth="1"/>
    <col min="15883" max="15883" width="4.875" style="3148" customWidth="1"/>
    <col min="15884" max="15884" width="16.375" style="3148" customWidth="1"/>
    <col min="15885" max="15888" width="8.125" style="3148" customWidth="1"/>
    <col min="15889" max="16128" width="9" style="3148"/>
    <col min="16129" max="16129" width="6.375" style="3148" customWidth="1"/>
    <col min="16130" max="16130" width="19.375" style="3148" customWidth="1"/>
    <col min="16131" max="16131" width="7" style="3148" customWidth="1"/>
    <col min="16132" max="16132" width="3.25" style="3148" customWidth="1"/>
    <col min="16133" max="16133" width="7.375" style="3148" customWidth="1"/>
    <col min="16134" max="16134" width="3.5" style="3148" customWidth="1"/>
    <col min="16135" max="16135" width="19.375" style="3148" customWidth="1"/>
    <col min="16136" max="16136" width="19.5" style="3148" customWidth="1"/>
    <col min="16137" max="16137" width="8.625" style="3148" customWidth="1"/>
    <col min="16138" max="16138" width="10.5" style="3148" customWidth="1"/>
    <col min="16139" max="16139" width="4.875" style="3148" customWidth="1"/>
    <col min="16140" max="16140" width="16.375" style="3148" customWidth="1"/>
    <col min="16141" max="16144" width="8.125" style="3148" customWidth="1"/>
    <col min="16145" max="16384" width="9" style="3148"/>
  </cols>
  <sheetData>
    <row r="1" spans="1:16">
      <c r="A1" s="3401" t="s">
        <v>3379</v>
      </c>
      <c r="B1" s="3401"/>
      <c r="C1" s="3401"/>
      <c r="D1" s="3401"/>
      <c r="E1" s="3401"/>
      <c r="F1" s="3401"/>
      <c r="G1" s="3401"/>
      <c r="H1" s="3401"/>
      <c r="I1" s="3401"/>
      <c r="K1" s="3402" t="s">
        <v>3380</v>
      </c>
      <c r="L1" s="3145" t="s">
        <v>3381</v>
      </c>
      <c r="M1" s="3146">
        <v>0</v>
      </c>
      <c r="N1" s="3147"/>
      <c r="O1" s="3147"/>
    </row>
    <row r="2" spans="1:16" ht="15.75" customHeight="1">
      <c r="A2" s="3149" t="s">
        <v>2644</v>
      </c>
      <c r="B2" s="3150" t="s">
        <v>3382</v>
      </c>
      <c r="C2" s="3403" t="s">
        <v>3383</v>
      </c>
      <c r="D2" s="3404"/>
      <c r="E2" s="3404"/>
      <c r="F2" s="3405"/>
      <c r="G2" s="3153" t="s">
        <v>3384</v>
      </c>
      <c r="H2" s="3406" t="s">
        <v>3385</v>
      </c>
      <c r="I2" s="3406"/>
      <c r="K2" s="3402"/>
      <c r="L2" s="3145" t="s">
        <v>3386</v>
      </c>
      <c r="M2" s="3158" t="s">
        <v>3503</v>
      </c>
      <c r="N2" s="3155">
        <v>2011</v>
      </c>
      <c r="O2" s="3155"/>
    </row>
    <row r="3" spans="1:16">
      <c r="A3" s="3153" t="s">
        <v>3387</v>
      </c>
      <c r="B3" s="3156" t="s">
        <v>3388</v>
      </c>
      <c r="C3" s="3403" t="e">
        <f ca="1">'成本法 (元) -库房'!C52</f>
        <v>#VALUE!</v>
      </c>
      <c r="D3" s="3404"/>
      <c r="E3" s="3404"/>
      <c r="F3" s="3405"/>
      <c r="G3" s="3153" t="s">
        <v>3389</v>
      </c>
      <c r="H3" s="3156" t="s">
        <v>3390</v>
      </c>
      <c r="I3" s="3157">
        <f>'数据-汇总表'!G20</f>
        <v>0</v>
      </c>
      <c r="K3" s="3402"/>
      <c r="L3" s="3145" t="s">
        <v>3391</v>
      </c>
      <c r="M3" s="3158" t="s">
        <v>3392</v>
      </c>
      <c r="N3" s="3155"/>
      <c r="O3" s="3155"/>
    </row>
    <row r="4" spans="1:16">
      <c r="A4" s="3406" t="s">
        <v>3393</v>
      </c>
      <c r="B4" s="3407" t="s">
        <v>3394</v>
      </c>
      <c r="C4" s="3408" t="e">
        <f ca="1">ROUND(C3*(I4-I6)/(1-((1+I6)/(1+I4))^I5),0)</f>
        <v>#VALUE!</v>
      </c>
      <c r="D4" s="3409"/>
      <c r="E4" s="3409"/>
      <c r="F4" s="3410"/>
      <c r="G4" s="3406" t="s">
        <v>3395</v>
      </c>
      <c r="H4" s="3159" t="s">
        <v>3396</v>
      </c>
      <c r="I4" s="3160">
        <v>0.06</v>
      </c>
      <c r="K4" s="3402"/>
      <c r="L4" s="3145" t="s">
        <v>3397</v>
      </c>
      <c r="M4" s="3161">
        <f>ROUND(1-(1-M1)*M2/M3,2)</f>
        <v>0.83</v>
      </c>
      <c r="N4" s="3155"/>
      <c r="O4" s="3155"/>
    </row>
    <row r="5" spans="1:16" s="3164" customFormat="1" ht="18" customHeight="1">
      <c r="A5" s="3406"/>
      <c r="B5" s="3407"/>
      <c r="C5" s="3411"/>
      <c r="D5" s="3412"/>
      <c r="E5" s="3412"/>
      <c r="F5" s="3413"/>
      <c r="G5" s="3406"/>
      <c r="H5" s="3156" t="s">
        <v>3398</v>
      </c>
      <c r="I5" s="3216" t="str">
        <f>项目基本情况!G15</f>
        <v/>
      </c>
      <c r="J5" s="3162"/>
      <c r="K5" s="3402"/>
      <c r="L5" s="3145" t="s">
        <v>3399</v>
      </c>
      <c r="M5" s="3163">
        <v>0.5</v>
      </c>
      <c r="N5" s="3155"/>
      <c r="O5" s="3155"/>
    </row>
    <row r="6" spans="1:16" s="3164" customFormat="1" ht="18" customHeight="1">
      <c r="A6" s="3406"/>
      <c r="B6" s="3407"/>
      <c r="C6" s="3414"/>
      <c r="D6" s="3415"/>
      <c r="E6" s="3415"/>
      <c r="F6" s="3416"/>
      <c r="G6" s="3406"/>
      <c r="H6" s="3156" t="s">
        <v>3400</v>
      </c>
      <c r="I6" s="3160">
        <v>3.5000000000000003E-2</v>
      </c>
      <c r="J6" s="3165"/>
      <c r="K6" s="3417" t="s">
        <v>3401</v>
      </c>
      <c r="L6" s="3166" t="s">
        <v>3402</v>
      </c>
      <c r="M6" s="3167" t="s">
        <v>3403</v>
      </c>
      <c r="N6" s="3167" t="s">
        <v>3404</v>
      </c>
      <c r="O6" s="3167" t="s">
        <v>3405</v>
      </c>
      <c r="P6" s="3167" t="s">
        <v>3406</v>
      </c>
    </row>
    <row r="7" spans="1:16" s="3164" customFormat="1" ht="18" customHeight="1">
      <c r="A7" s="3153" t="s">
        <v>3407</v>
      </c>
      <c r="B7" s="3156" t="s">
        <v>3408</v>
      </c>
      <c r="C7" s="3403" t="e">
        <f ca="1">'成本法 (元) -库房'!C51</f>
        <v>#N/A</v>
      </c>
      <c r="D7" s="3404"/>
      <c r="E7" s="3404"/>
      <c r="F7" s="3405"/>
      <c r="G7" s="3153" t="s">
        <v>3409</v>
      </c>
      <c r="H7" s="3156" t="s">
        <v>3410</v>
      </c>
      <c r="I7" s="3168">
        <f>'数据-取费表'!N6</f>
        <v>0.72</v>
      </c>
      <c r="K7" s="3417"/>
      <c r="L7" s="3166" t="s">
        <v>3411</v>
      </c>
      <c r="M7" s="3167">
        <v>100</v>
      </c>
      <c r="N7" s="3167" t="s">
        <v>3412</v>
      </c>
      <c r="O7" s="3167">
        <v>90</v>
      </c>
      <c r="P7" s="3169">
        <v>0.3</v>
      </c>
    </row>
    <row r="8" spans="1:16" s="3164" customFormat="1" ht="18" hidden="1" customHeight="1">
      <c r="A8" s="3149" t="s">
        <v>3413</v>
      </c>
      <c r="B8" s="3156" t="s">
        <v>3414</v>
      </c>
      <c r="C8" s="3403">
        <f>ROUND(I8*I3,0)</f>
        <v>0</v>
      </c>
      <c r="D8" s="3404"/>
      <c r="E8" s="3404"/>
      <c r="F8" s="3405"/>
      <c r="G8" s="3153" t="s">
        <v>3415</v>
      </c>
      <c r="H8" s="3156" t="s">
        <v>3416</v>
      </c>
      <c r="I8" s="3153">
        <v>3500</v>
      </c>
      <c r="J8" s="3170" t="e">
        <f>D35</f>
        <v>#DIV/0!</v>
      </c>
      <c r="K8" s="3417"/>
      <c r="L8" s="3166" t="s">
        <v>3417</v>
      </c>
      <c r="M8" s="3167">
        <v>100</v>
      </c>
      <c r="N8" s="3167" t="s">
        <v>3412</v>
      </c>
      <c r="O8" s="3167">
        <v>90</v>
      </c>
      <c r="P8" s="3169">
        <v>0.5</v>
      </c>
    </row>
    <row r="9" spans="1:16" s="3164" customFormat="1" ht="18" hidden="1" customHeight="1">
      <c r="A9" s="3149" t="s">
        <v>3418</v>
      </c>
      <c r="B9" s="3156" t="s">
        <v>3419</v>
      </c>
      <c r="C9" s="3403">
        <f>ROUND(C8*H9,0)</f>
        <v>0</v>
      </c>
      <c r="D9" s="3404"/>
      <c r="E9" s="3404"/>
      <c r="F9" s="3405"/>
      <c r="G9" s="3153" t="s">
        <v>3420</v>
      </c>
      <c r="H9" s="3418">
        <f>'数据-取费表'!B33</f>
        <v>0.03</v>
      </c>
      <c r="I9" s="3418"/>
      <c r="J9" s="3170" t="e">
        <f ca="1">D36</f>
        <v>#VALUE!</v>
      </c>
      <c r="K9" s="3417"/>
      <c r="L9" s="3166" t="s">
        <v>3421</v>
      </c>
      <c r="M9" s="3167">
        <v>100</v>
      </c>
      <c r="N9" s="3167" t="s">
        <v>3412</v>
      </c>
      <c r="O9" s="3167">
        <v>90</v>
      </c>
      <c r="P9" s="3169">
        <f>1-P7-P8</f>
        <v>0.19999999999999996</v>
      </c>
    </row>
    <row r="10" spans="1:16" s="3164" customFormat="1" ht="18" hidden="1" customHeight="1">
      <c r="A10" s="3149" t="s">
        <v>3422</v>
      </c>
      <c r="B10" s="3156" t="s">
        <v>3423</v>
      </c>
      <c r="C10" s="3403">
        <f>ROUND(C8*H10,0)</f>
        <v>0</v>
      </c>
      <c r="D10" s="3404"/>
      <c r="E10" s="3404"/>
      <c r="F10" s="3405"/>
      <c r="G10" s="3153" t="s">
        <v>3420</v>
      </c>
      <c r="H10" s="3418">
        <f>'[1]数据-取费表'!B34</f>
        <v>0</v>
      </c>
      <c r="I10" s="3418"/>
      <c r="J10" s="3170" t="e">
        <f ca="1">D37</f>
        <v>#DIV/0!</v>
      </c>
      <c r="K10" s="3417"/>
      <c r="L10" s="3171" t="s">
        <v>3399</v>
      </c>
      <c r="M10" s="3172">
        <f>1-M5</f>
        <v>0.5</v>
      </c>
      <c r="N10" s="3167" t="s">
        <v>3397</v>
      </c>
      <c r="O10" s="3173">
        <f>ROUND((O7*P7+O8*P8+O9*P9)/100,2)</f>
        <v>0.9</v>
      </c>
      <c r="P10" s="3174"/>
    </row>
    <row r="11" spans="1:16" s="3164" customFormat="1" ht="29.25" hidden="1" customHeight="1">
      <c r="A11" s="3149" t="s">
        <v>3424</v>
      </c>
      <c r="B11" s="3156" t="s">
        <v>3425</v>
      </c>
      <c r="C11" s="3403">
        <f>ROUND(I11*I3,0)</f>
        <v>0</v>
      </c>
      <c r="D11" s="3404"/>
      <c r="E11" s="3404"/>
      <c r="F11" s="3405"/>
      <c r="G11" s="3153" t="s">
        <v>3426</v>
      </c>
      <c r="H11" s="3156" t="s">
        <v>3427</v>
      </c>
      <c r="I11" s="3153">
        <f>'[1]数据-取费表'!B28</f>
        <v>200</v>
      </c>
      <c r="J11" s="3162"/>
      <c r="K11" s="3143"/>
      <c r="L11" s="3143"/>
    </row>
    <row r="12" spans="1:16" s="3164" customFormat="1" ht="18" hidden="1" customHeight="1">
      <c r="A12" s="3149" t="s">
        <v>3428</v>
      </c>
      <c r="B12" s="3156" t="s">
        <v>3429</v>
      </c>
      <c r="C12" s="3403">
        <f>ROUND(C8*H12,0)</f>
        <v>0</v>
      </c>
      <c r="D12" s="3404"/>
      <c r="E12" s="3404"/>
      <c r="F12" s="3405"/>
      <c r="G12" s="3153" t="s">
        <v>3420</v>
      </c>
      <c r="H12" s="3418">
        <v>1.4999999999999999E-2</v>
      </c>
      <c r="I12" s="3418"/>
      <c r="J12" s="3175" t="s">
        <v>3430</v>
      </c>
      <c r="L12" s="3176"/>
    </row>
    <row r="13" spans="1:16" s="3164" customFormat="1" ht="18" hidden="1" customHeight="1">
      <c r="A13" s="3149" t="s">
        <v>438</v>
      </c>
      <c r="B13" s="3156" t="s">
        <v>3431</v>
      </c>
      <c r="C13" s="3403">
        <f>SUM(C8:F12)</f>
        <v>0</v>
      </c>
      <c r="D13" s="3404"/>
      <c r="E13" s="3404"/>
      <c r="F13" s="3405"/>
      <c r="G13" s="3406" t="s">
        <v>3432</v>
      </c>
      <c r="H13" s="3406"/>
      <c r="I13" s="3406"/>
      <c r="J13" s="3175" t="s">
        <v>3433</v>
      </c>
      <c r="L13" s="3176"/>
    </row>
    <row r="14" spans="1:16" s="3164" customFormat="1" ht="18" hidden="1" customHeight="1">
      <c r="A14" s="3149" t="s">
        <v>3434</v>
      </c>
      <c r="B14" s="3156" t="s">
        <v>3435</v>
      </c>
      <c r="C14" s="3403">
        <f>ROUND(C13*H14,0)</f>
        <v>0</v>
      </c>
      <c r="D14" s="3404"/>
      <c r="E14" s="3404"/>
      <c r="F14" s="3405"/>
      <c r="G14" s="3153" t="s">
        <v>3436</v>
      </c>
      <c r="H14" s="3418">
        <v>0.01</v>
      </c>
      <c r="I14" s="3418"/>
      <c r="J14" s="3162"/>
      <c r="L14" s="3176"/>
      <c r="N14" s="3164">
        <v>1.5</v>
      </c>
    </row>
    <row r="15" spans="1:16" s="3164" customFormat="1" ht="18" hidden="1" customHeight="1">
      <c r="A15" s="3149" t="s">
        <v>393</v>
      </c>
      <c r="B15" s="3156" t="s">
        <v>3437</v>
      </c>
      <c r="C15" s="3423">
        <f>H15</f>
        <v>0.01</v>
      </c>
      <c r="D15" s="3424"/>
      <c r="E15" s="3421" t="str">
        <f>E18</f>
        <v>V</v>
      </c>
      <c r="F15" s="3422"/>
      <c r="G15" s="3153" t="s">
        <v>3438</v>
      </c>
      <c r="H15" s="3418">
        <v>0.01</v>
      </c>
      <c r="I15" s="3418"/>
      <c r="J15" s="3179"/>
      <c r="K15" s="3180"/>
    </row>
    <row r="16" spans="1:16" s="3164" customFormat="1" ht="18" hidden="1" customHeight="1">
      <c r="A16" s="3181" t="s">
        <v>394</v>
      </c>
      <c r="B16" s="3182" t="s">
        <v>3439</v>
      </c>
      <c r="C16" s="3151">
        <f ca="1">C17</f>
        <v>0</v>
      </c>
      <c r="D16" s="3152" t="s">
        <v>3440</v>
      </c>
      <c r="E16" s="3183">
        <f ca="1">C18</f>
        <v>2.9999999999999997E-4</v>
      </c>
      <c r="F16" s="3178" t="str">
        <f>E18</f>
        <v>V</v>
      </c>
      <c r="G16" s="3403" t="s">
        <v>3441</v>
      </c>
      <c r="H16" s="3404"/>
      <c r="I16" s="3405"/>
      <c r="J16" s="3162"/>
      <c r="K16" s="3143"/>
    </row>
    <row r="17" spans="1:12" s="3164" customFormat="1" ht="18" hidden="1" customHeight="1">
      <c r="A17" s="3149" t="s">
        <v>3442</v>
      </c>
      <c r="B17" s="3156" t="s">
        <v>3443</v>
      </c>
      <c r="C17" s="3403">
        <f ca="1">ROUND((C13+C14)*I18*(I17/2),0)</f>
        <v>0</v>
      </c>
      <c r="D17" s="3404"/>
      <c r="E17" s="3404"/>
      <c r="F17" s="3405"/>
      <c r="G17" s="3151" t="s">
        <v>3444</v>
      </c>
      <c r="H17" s="3156" t="s">
        <v>3445</v>
      </c>
      <c r="I17" s="3153">
        <f>'[1]数据-取费表'!B20</f>
        <v>2</v>
      </c>
      <c r="J17" s="3175" t="s">
        <v>3446</v>
      </c>
      <c r="K17" s="3143"/>
      <c r="L17" s="3143"/>
    </row>
    <row r="18" spans="1:12" s="3164" customFormat="1" ht="18" hidden="1" customHeight="1">
      <c r="A18" s="3149" t="s">
        <v>3447</v>
      </c>
      <c r="B18" s="3156" t="s">
        <v>3448</v>
      </c>
      <c r="C18" s="3553">
        <f ca="1">ROUND(H15*I18*I17/2,4)</f>
        <v>2.9999999999999997E-4</v>
      </c>
      <c r="D18" s="3554"/>
      <c r="E18" s="3421" t="s">
        <v>3449</v>
      </c>
      <c r="F18" s="3422"/>
      <c r="G18" s="3151" t="s">
        <v>3450</v>
      </c>
      <c r="H18" s="3156" t="s">
        <v>3451</v>
      </c>
      <c r="I18" s="3184">
        <f ca="1">'数据-取费表'!B40</f>
        <v>3.4500000000000003E-2</v>
      </c>
      <c r="J18" s="3175" t="s">
        <v>3452</v>
      </c>
      <c r="K18" s="3143"/>
      <c r="L18" s="3143"/>
    </row>
    <row r="19" spans="1:12" s="3164" customFormat="1" ht="27" hidden="1" customHeight="1">
      <c r="A19" s="3149" t="s">
        <v>395</v>
      </c>
      <c r="B19" s="3156" t="s">
        <v>3453</v>
      </c>
      <c r="C19" s="3151">
        <f>C20</f>
        <v>0</v>
      </c>
      <c r="D19" s="3152" t="s">
        <v>3440</v>
      </c>
      <c r="E19" s="3152">
        <f>C21</f>
        <v>5.0000000000000001E-4</v>
      </c>
      <c r="F19" s="3178" t="str">
        <f>E21</f>
        <v>V</v>
      </c>
      <c r="G19" s="3403" t="s">
        <v>3454</v>
      </c>
      <c r="H19" s="3404"/>
      <c r="I19" s="3405"/>
      <c r="J19" s="3162"/>
      <c r="K19" s="3143"/>
      <c r="L19" s="3143"/>
    </row>
    <row r="20" spans="1:12" s="3164" customFormat="1" ht="26.25" hidden="1" customHeight="1">
      <c r="A20" s="3149" t="s">
        <v>3455</v>
      </c>
      <c r="B20" s="3156" t="s">
        <v>3456</v>
      </c>
      <c r="C20" s="3403">
        <f>ROUND((C13+C14)*I20,0)</f>
        <v>0</v>
      </c>
      <c r="D20" s="3404"/>
      <c r="E20" s="3404"/>
      <c r="F20" s="3405"/>
      <c r="G20" s="3153" t="s">
        <v>3457</v>
      </c>
      <c r="H20" s="3427" t="s">
        <v>3458</v>
      </c>
      <c r="I20" s="3429">
        <v>0.05</v>
      </c>
      <c r="J20" s="3175" t="s">
        <v>3459</v>
      </c>
      <c r="K20" s="3143"/>
      <c r="L20" s="3143"/>
    </row>
    <row r="21" spans="1:12" s="3164" customFormat="1" ht="27" hidden="1" customHeight="1">
      <c r="A21" s="3149" t="s">
        <v>3455</v>
      </c>
      <c r="B21" s="3156" t="s">
        <v>3460</v>
      </c>
      <c r="C21" s="3423">
        <f>H15*I20</f>
        <v>5.0000000000000001E-4</v>
      </c>
      <c r="D21" s="3424"/>
      <c r="E21" s="3421" t="s">
        <v>3449</v>
      </c>
      <c r="F21" s="3422"/>
      <c r="G21" s="3153" t="s">
        <v>3461</v>
      </c>
      <c r="H21" s="3428"/>
      <c r="I21" s="3429"/>
      <c r="J21" s="3162"/>
      <c r="K21" s="3143"/>
      <c r="L21" s="3143"/>
    </row>
    <row r="22" spans="1:12" s="3164" customFormat="1" ht="18" hidden="1" customHeight="1">
      <c r="A22" s="3149" t="s">
        <v>396</v>
      </c>
      <c r="B22" s="3156" t="s">
        <v>3462</v>
      </c>
      <c r="C22" s="3423">
        <f>ROUND(H22/1.05,4)</f>
        <v>5.33E-2</v>
      </c>
      <c r="D22" s="3424"/>
      <c r="E22" s="3421" t="s">
        <v>3449</v>
      </c>
      <c r="F22" s="3422"/>
      <c r="G22" s="3153" t="s">
        <v>3463</v>
      </c>
      <c r="H22" s="3418">
        <v>5.6000000000000001E-2</v>
      </c>
      <c r="I22" s="3418"/>
      <c r="J22" s="3186"/>
      <c r="K22" s="3143"/>
      <c r="L22" s="3143"/>
    </row>
    <row r="23" spans="1:12" s="3164" customFormat="1" ht="18" hidden="1" customHeight="1">
      <c r="A23" s="3149" t="s">
        <v>3464</v>
      </c>
      <c r="B23" s="3156" t="s">
        <v>3465</v>
      </c>
      <c r="C23" s="3403">
        <f ca="1">ROUND((C13+C14+C17+C20)/(1-C15-C18-C21-C22),0)</f>
        <v>0</v>
      </c>
      <c r="D23" s="3404"/>
      <c r="E23" s="3404"/>
      <c r="F23" s="3405"/>
      <c r="G23" s="3403" t="s">
        <v>3466</v>
      </c>
      <c r="H23" s="3404"/>
      <c r="I23" s="3405"/>
      <c r="J23" s="3186"/>
      <c r="K23" s="3143"/>
      <c r="L23" s="3143"/>
    </row>
    <row r="24" spans="1:12" s="3164" customFormat="1" ht="18" customHeight="1">
      <c r="A24" s="3149" t="s">
        <v>3467</v>
      </c>
      <c r="B24" s="3156" t="s">
        <v>3468</v>
      </c>
      <c r="C24" s="3177" t="e">
        <f ca="1">C26+C27</f>
        <v>#N/A</v>
      </c>
      <c r="D24" s="3187" t="s">
        <v>3469</v>
      </c>
      <c r="E24" s="3425">
        <f>H25+H28</f>
        <v>0.125</v>
      </c>
      <c r="F24" s="3426"/>
      <c r="G24" s="3406" t="s">
        <v>3470</v>
      </c>
      <c r="H24" s="3406"/>
      <c r="I24" s="3406"/>
      <c r="J24" s="3186"/>
      <c r="K24" s="3143"/>
      <c r="L24" s="3143"/>
    </row>
    <row r="25" spans="1:12" s="3164" customFormat="1" ht="18" customHeight="1">
      <c r="A25" s="3149" t="s">
        <v>438</v>
      </c>
      <c r="B25" s="3156" t="s">
        <v>3471</v>
      </c>
      <c r="C25" s="3423" t="s">
        <v>3472</v>
      </c>
      <c r="D25" s="3424"/>
      <c r="E25" s="3425">
        <f>H25</f>
        <v>0.12</v>
      </c>
      <c r="F25" s="3426"/>
      <c r="G25" s="3153" t="s">
        <v>3473</v>
      </c>
      <c r="H25" s="3430">
        <v>0.12</v>
      </c>
      <c r="I25" s="3430"/>
      <c r="J25" s="3179"/>
      <c r="K25" s="3143"/>
      <c r="L25" s="3143"/>
    </row>
    <row r="26" spans="1:12" s="3164" customFormat="1" ht="18" customHeight="1">
      <c r="A26" s="3149" t="s">
        <v>3434</v>
      </c>
      <c r="B26" s="3156" t="s">
        <v>3474</v>
      </c>
      <c r="C26" s="3403">
        <f ca="1">ROUND(C23*H26,0)</f>
        <v>0</v>
      </c>
      <c r="D26" s="3404"/>
      <c r="E26" s="3404"/>
      <c r="F26" s="3405"/>
      <c r="G26" s="3153" t="s">
        <v>3475</v>
      </c>
      <c r="H26" s="3430">
        <v>5.0000000000000001E-3</v>
      </c>
      <c r="I26" s="3430"/>
      <c r="J26" s="3179"/>
      <c r="K26" s="3143"/>
      <c r="L26" s="3143"/>
    </row>
    <row r="27" spans="1:12" s="3164" customFormat="1" ht="18" customHeight="1">
      <c r="A27" s="3149" t="s">
        <v>393</v>
      </c>
      <c r="B27" s="3156" t="s">
        <v>3476</v>
      </c>
      <c r="C27" s="3403" t="e">
        <f ca="1">ROUND(C7*H27,0)</f>
        <v>#N/A</v>
      </c>
      <c r="D27" s="3404"/>
      <c r="E27" s="3404"/>
      <c r="F27" s="3405"/>
      <c r="G27" s="3153" t="s">
        <v>3477</v>
      </c>
      <c r="H27" s="3431">
        <v>5.0000000000000001E-4</v>
      </c>
      <c r="I27" s="3431"/>
      <c r="J27" s="3162"/>
      <c r="K27" s="3143"/>
      <c r="L27" s="3143"/>
    </row>
    <row r="28" spans="1:12" s="3164" customFormat="1" ht="18" customHeight="1">
      <c r="A28" s="3149" t="s">
        <v>394</v>
      </c>
      <c r="B28" s="3156" t="s">
        <v>3478</v>
      </c>
      <c r="C28" s="3423" t="s">
        <v>3472</v>
      </c>
      <c r="D28" s="3424"/>
      <c r="E28" s="3425">
        <f>H28</f>
        <v>5.0000000000000001E-3</v>
      </c>
      <c r="F28" s="3426"/>
      <c r="G28" s="3153" t="s">
        <v>3479</v>
      </c>
      <c r="H28" s="3430">
        <v>5.0000000000000001E-3</v>
      </c>
      <c r="I28" s="3430"/>
      <c r="J28" s="3188"/>
      <c r="K28" s="3143"/>
      <c r="L28" s="3143"/>
    </row>
    <row r="29" spans="1:12" s="3164" customFormat="1" ht="18" customHeight="1">
      <c r="A29" s="3153" t="s">
        <v>3480</v>
      </c>
      <c r="B29" s="3156" t="s">
        <v>3481</v>
      </c>
      <c r="C29" s="3403" t="e">
        <f ca="1">ROUND((C4+C24)/(1-E24),0)</f>
        <v>#VALUE!</v>
      </c>
      <c r="D29" s="3404"/>
      <c r="E29" s="3404"/>
      <c r="F29" s="3405"/>
      <c r="G29" s="3406" t="s">
        <v>3482</v>
      </c>
      <c r="H29" s="3406"/>
      <c r="I29" s="3406"/>
      <c r="J29" s="3203" t="s">
        <v>3504</v>
      </c>
      <c r="K29" s="3143"/>
      <c r="L29" s="3143"/>
    </row>
    <row r="30" spans="1:12" s="3164" customFormat="1" ht="21" customHeight="1">
      <c r="A30" s="3406" t="s">
        <v>3484</v>
      </c>
      <c r="B30" s="3407" t="s">
        <v>3485</v>
      </c>
      <c r="C30" s="3432" t="e">
        <f ca="1">ROUND(C29/I30/I31/I3,2)</f>
        <v>#VALUE!</v>
      </c>
      <c r="D30" s="3433"/>
      <c r="E30" s="3433"/>
      <c r="F30" s="3434"/>
      <c r="G30" s="3406" t="s">
        <v>3486</v>
      </c>
      <c r="H30" s="3156" t="s">
        <v>3487</v>
      </c>
      <c r="I30" s="3153">
        <v>365</v>
      </c>
      <c r="J30" s="3190"/>
      <c r="K30" s="3143"/>
      <c r="L30" s="3143"/>
    </row>
    <row r="31" spans="1:12" s="3164" customFormat="1" ht="18" customHeight="1">
      <c r="A31" s="3406"/>
      <c r="B31" s="3407"/>
      <c r="C31" s="3435"/>
      <c r="D31" s="3436"/>
      <c r="E31" s="3436"/>
      <c r="F31" s="3437"/>
      <c r="G31" s="3406"/>
      <c r="H31" s="3156" t="s">
        <v>3488</v>
      </c>
      <c r="I31" s="3185">
        <v>0.9</v>
      </c>
      <c r="J31" s="3191"/>
      <c r="K31" s="3143"/>
      <c r="L31" s="3143"/>
    </row>
    <row r="32" spans="1:12" s="3164" customFormat="1" ht="18" customHeight="1">
      <c r="A32" s="3148"/>
      <c r="B32" s="3144"/>
      <c r="C32" s="3148"/>
      <c r="D32" s="3148"/>
      <c r="E32" s="3148"/>
      <c r="F32" s="3148"/>
      <c r="G32" s="3192"/>
      <c r="H32" s="3148"/>
      <c r="I32" s="3148"/>
      <c r="J32" s="3162"/>
      <c r="K32" s="3143"/>
      <c r="L32" s="3143"/>
    </row>
    <row r="33" spans="1:13" s="3164" customFormat="1" ht="18" customHeight="1">
      <c r="A33" s="3148"/>
      <c r="B33" s="3439" t="s">
        <v>3489</v>
      </c>
      <c r="C33" s="3439"/>
      <c r="D33" s="3439"/>
      <c r="E33" s="3439"/>
      <c r="F33" s="3439"/>
      <c r="G33" s="3193"/>
      <c r="H33" s="3194"/>
      <c r="I33" s="3148"/>
      <c r="J33" s="3162"/>
      <c r="K33" s="3143"/>
      <c r="L33" s="3143"/>
      <c r="M33" s="3148"/>
    </row>
    <row r="34" spans="1:13" s="3164" customFormat="1" ht="18" customHeight="1">
      <c r="A34" s="3148"/>
      <c r="B34" s="3195" t="s">
        <v>3490</v>
      </c>
      <c r="C34" s="3195" t="s">
        <v>3406</v>
      </c>
      <c r="D34" s="3440" t="s">
        <v>3491</v>
      </c>
      <c r="E34" s="3440"/>
      <c r="F34" s="3440"/>
      <c r="G34" s="3193"/>
      <c r="H34" s="3194"/>
      <c r="I34" s="3148"/>
      <c r="J34" s="3186"/>
      <c r="K34" s="3148"/>
      <c r="L34" s="3148"/>
      <c r="M34" s="3148"/>
    </row>
    <row r="35" spans="1:13">
      <c r="B35" s="3195" t="s">
        <v>3492</v>
      </c>
      <c r="C35" s="3196">
        <v>0.7</v>
      </c>
      <c r="D35" s="3438" t="e">
        <f>'比较法-仓储'!C36</f>
        <v>#DIV/0!</v>
      </c>
      <c r="E35" s="3438"/>
      <c r="F35" s="3438"/>
      <c r="G35" s="3193" t="e">
        <f ca="1">(D35-D36)/D36</f>
        <v>#DIV/0!</v>
      </c>
      <c r="H35" s="3194"/>
      <c r="K35" s="3148"/>
      <c r="L35" s="3148"/>
    </row>
    <row r="36" spans="1:13" ht="20.100000000000001" customHeight="1">
      <c r="B36" s="3195" t="s">
        <v>3493</v>
      </c>
      <c r="C36" s="3196">
        <f>1-C35</f>
        <v>0.30000000000000004</v>
      </c>
      <c r="D36" s="3438" t="e">
        <f ca="1">C30</f>
        <v>#VALUE!</v>
      </c>
      <c r="E36" s="3438"/>
      <c r="F36" s="3438"/>
      <c r="G36" s="3193"/>
      <c r="H36" s="3194"/>
      <c r="J36" s="3148"/>
      <c r="K36" s="3148"/>
      <c r="L36" s="3148"/>
    </row>
    <row r="37" spans="1:13" ht="22.5" customHeight="1">
      <c r="B37" s="3440" t="s">
        <v>3494</v>
      </c>
      <c r="C37" s="3440"/>
      <c r="D37" s="3438" t="e">
        <f ca="1">ROUND(C35*D35+C36*D36,1)</f>
        <v>#DIV/0!</v>
      </c>
      <c r="E37" s="3438"/>
      <c r="F37" s="3438"/>
      <c r="G37" s="3193" t="e">
        <f ca="1">ROUND(D37*I3/10000,2)</f>
        <v>#DIV/0!</v>
      </c>
      <c r="H37" s="3194"/>
      <c r="J37" s="3148"/>
      <c r="K37" s="3148"/>
      <c r="L37" s="3148"/>
    </row>
    <row r="38" spans="1:13" ht="22.5" customHeight="1">
      <c r="B38" s="3195" t="s">
        <v>3495</v>
      </c>
      <c r="C38" s="3195" t="e">
        <f ca="1">ROUND(D37*0.9,2)</f>
        <v>#DIV/0!</v>
      </c>
      <c r="D38" s="3197" t="s">
        <v>3496</v>
      </c>
      <c r="E38" s="3438" t="e">
        <f ca="1">ROUND(D37*1.1,2)</f>
        <v>#DIV/0!</v>
      </c>
      <c r="F38" s="3438"/>
      <c r="G38" s="3193" t="s">
        <v>3497</v>
      </c>
      <c r="H38" s="3198">
        <v>12</v>
      </c>
      <c r="J38" s="3148"/>
      <c r="K38" s="3148"/>
      <c r="L38" s="3148"/>
    </row>
    <row r="39" spans="1:13" ht="18" customHeight="1">
      <c r="B39" s="3195" t="s">
        <v>3498</v>
      </c>
      <c r="C39" s="3195" t="e">
        <f ca="1">ROUND(C38+H39,2)</f>
        <v>#DIV/0!</v>
      </c>
      <c r="D39" s="3197" t="s">
        <v>3496</v>
      </c>
      <c r="E39" s="3438" t="e">
        <f ca="1">ROUND(E38+H39,2)</f>
        <v>#DIV/0!</v>
      </c>
      <c r="F39" s="3438"/>
      <c r="G39" s="3199" t="s">
        <v>3499</v>
      </c>
      <c r="H39" s="3199">
        <v>0.05</v>
      </c>
      <c r="J39" s="3148"/>
      <c r="K39" s="3148"/>
      <c r="L39" s="3148"/>
    </row>
    <row r="40" spans="1:13" ht="18" customHeight="1">
      <c r="B40" s="3200"/>
      <c r="C40" s="3201"/>
      <c r="D40" s="3194"/>
      <c r="E40" s="3194"/>
      <c r="F40" s="3194"/>
      <c r="G40" s="3193"/>
      <c r="H40" s="3194"/>
      <c r="J40" s="3148"/>
    </row>
    <row r="41" spans="1:13" ht="18" customHeight="1">
      <c r="B41" s="3193" t="s">
        <v>3500</v>
      </c>
      <c r="C41" s="3194"/>
      <c r="D41" s="3194"/>
      <c r="E41" s="3193" t="s">
        <v>3501</v>
      </c>
      <c r="F41" s="3194"/>
      <c r="G41" s="3193"/>
      <c r="H41" s="3193" t="s">
        <v>3502</v>
      </c>
      <c r="J41" s="3148"/>
    </row>
    <row r="42" spans="1:13" ht="29.25" customHeight="1"/>
    <row r="45" spans="1:13">
      <c r="H45" s="3202"/>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E7661-1448-4DE5-8430-6D8B224CBEF5}">
  <sheetPr>
    <tabColor rgb="FF92D050"/>
    <pageSetUpPr fitToPage="1"/>
  </sheetPr>
  <dimension ref="A1:H57"/>
  <sheetViews>
    <sheetView view="pageBreakPreview" topLeftCell="B1" zoomScale="90" zoomScaleNormal="70" zoomScaleSheetLayoutView="90" workbookViewId="0">
      <selection activeCell="D46" sqref="D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3513</v>
      </c>
      <c r="C1" s="1717" t="s">
        <v>1563</v>
      </c>
      <c r="D1" s="190"/>
      <c r="E1" s="190"/>
      <c r="F1" s="190"/>
      <c r="G1" s="1062" t="e">
        <f>MATCH(B1,'数据-取费表'!A6:A16,0)+5</f>
        <v>#N/A</v>
      </c>
      <c r="H1" s="998" t="str">
        <f>IF(ISERROR(FIND("住宅",B1)),"非住宅","住宅")</f>
        <v>非住宅</v>
      </c>
    </row>
    <row r="2" spans="1:8" s="192" customFormat="1" ht="18" customHeight="1">
      <c r="A2" s="193" t="s">
        <v>685</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t="e">
        <f ca="1">C6+C7+C8</f>
        <v>#VALUE!</v>
      </c>
      <c r="D5" s="203" t="s">
        <v>1469</v>
      </c>
      <c r="E5" s="204" t="s">
        <v>1470</v>
      </c>
      <c r="F5" s="204" t="s">
        <v>1471</v>
      </c>
      <c r="G5" s="205"/>
    </row>
    <row r="6" spans="1:8" s="206" customFormat="1" ht="13.5" customHeight="1">
      <c r="A6" s="732" t="s">
        <v>346</v>
      </c>
      <c r="B6" s="207" t="s">
        <v>1473</v>
      </c>
      <c r="C6" s="208" t="e">
        <f>ROUND('基准地价修正-库房'!C41*'基准地价修正-库房'!D41,0)</f>
        <v>#VALUE!</v>
      </c>
      <c r="D6" s="209"/>
      <c r="E6" s="210"/>
      <c r="F6" s="210"/>
      <c r="G6" s="211"/>
    </row>
    <row r="7" spans="1:8" s="206" customFormat="1" ht="13.5" customHeight="1">
      <c r="A7" s="732" t="s">
        <v>347</v>
      </c>
      <c r="B7" s="207" t="s">
        <v>1475</v>
      </c>
      <c r="C7" s="212" t="e">
        <f>ROUND(C6*F7,0)</f>
        <v>#VALUE!</v>
      </c>
      <c r="D7" s="212"/>
      <c r="E7" s="210"/>
      <c r="F7" s="213">
        <f>IF(项目基本情况!B8="出让",0,'数据-取费表'!B48+'数据-取费表'!B49)</f>
        <v>3.0499999999999999E-2</v>
      </c>
      <c r="G7" s="211"/>
    </row>
    <row r="8" spans="1:8" s="215" customFormat="1">
      <c r="A8" s="732" t="s">
        <v>348</v>
      </c>
      <c r="B8" s="207" t="s">
        <v>1477</v>
      </c>
      <c r="C8" s="212" t="e">
        <f ca="1">IF(G8="已包含在土地购买价格中",0,C9+C10)</f>
        <v>#N/A</v>
      </c>
      <c r="D8" s="214"/>
      <c r="E8" s="212"/>
      <c r="F8" s="213"/>
      <c r="G8" s="1714" t="s">
        <v>3517</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200</v>
      </c>
      <c r="F19" s="223"/>
      <c r="G19" s="1714" t="s">
        <v>3518</v>
      </c>
    </row>
    <row r="20" spans="1:7" s="206" customFormat="1" ht="13.5" customHeight="1">
      <c r="A20" s="247" t="s">
        <v>1493</v>
      </c>
      <c r="B20" s="202" t="s">
        <v>1494</v>
      </c>
      <c r="C20" s="224" t="e">
        <f ca="1">ROUND((C5+C19)*F20,0)</f>
        <v>#VALUE!</v>
      </c>
      <c r="D20" s="224"/>
      <c r="E20" s="224"/>
      <c r="F20" s="225">
        <f>'结果一览表-库房'!H14</f>
        <v>0.01</v>
      </c>
      <c r="G20" s="226" t="s">
        <v>1495</v>
      </c>
    </row>
    <row r="21" spans="1:7" s="206" customFormat="1" ht="13.5" customHeight="1">
      <c r="A21" s="247" t="s">
        <v>1496</v>
      </c>
      <c r="B21" s="202" t="s">
        <v>1497</v>
      </c>
      <c r="C21" s="227">
        <f>F21</f>
        <v>0.01</v>
      </c>
      <c r="D21" s="228" t="s">
        <v>1498</v>
      </c>
      <c r="E21" s="224"/>
      <c r="F21" s="225">
        <f>'结果一览表-库房'!H15</f>
        <v>0.01</v>
      </c>
      <c r="G21" s="226" t="s">
        <v>1499</v>
      </c>
    </row>
    <row r="22" spans="1:7" s="206" customFormat="1" ht="13.5" customHeight="1">
      <c r="A22" s="247" t="s">
        <v>1500</v>
      </c>
      <c r="B22" s="202" t="s">
        <v>1501</v>
      </c>
      <c r="C22" s="224" t="e">
        <f ca="1">ROUND(SUM(C23:C25),0)</f>
        <v>#VALUE!</v>
      </c>
      <c r="D22" s="227">
        <f ca="1">C26</f>
        <v>2.9999999999999997E-4</v>
      </c>
      <c r="E22" s="228" t="s">
        <v>1498</v>
      </c>
      <c r="F22" s="229">
        <f ca="1">'数据-取费表'!B40</f>
        <v>3.4500000000000003E-2</v>
      </c>
      <c r="G22" s="226" t="str">
        <f>IF('数据-取费表'!B22&lt;=1,"单利计息","复利计息")</f>
        <v>复利计息</v>
      </c>
    </row>
    <row r="23" spans="1:7" s="206" customFormat="1" ht="13.5" customHeight="1">
      <c r="A23" s="734" t="s">
        <v>346</v>
      </c>
      <c r="B23" s="207" t="s">
        <v>1503</v>
      </c>
      <c r="C23" s="230" t="e">
        <f ca="1">ROUND(IF('数据-取费表'!B22&lt;=1,C5*F22*'数据-取费表'!B22,C5*(POWER((1+F22),'数据-取费表'!B22)-1)),0)</f>
        <v>#VALUE!</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t="e">
        <f ca="1">ROUND(IF('数据-取费表'!B22&lt;=1,C20*F22*'数据-取费表'!B22/2,C20*(POWER((1+F22),'数据-取费表'!B22/2)-1)),0)</f>
        <v>#VALUE!</v>
      </c>
      <c r="D25" s="230"/>
      <c r="E25" s="233"/>
      <c r="F25" s="231"/>
      <c r="G25" s="234" t="s">
        <v>1510</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t="e">
        <f ca="1">C28</f>
        <v>#VALUE!</v>
      </c>
      <c r="D27" s="227">
        <f>C29</f>
        <v>5.0000000000000001E-4</v>
      </c>
      <c r="E27" s="228" t="s">
        <v>1498</v>
      </c>
      <c r="F27" s="238">
        <v>0.05</v>
      </c>
      <c r="G27" s="239" t="s">
        <v>1515</v>
      </c>
    </row>
    <row r="28" spans="1:7" s="206" customFormat="1" ht="13.5" customHeight="1">
      <c r="A28" s="734" t="s">
        <v>346</v>
      </c>
      <c r="B28" s="240" t="s">
        <v>1516</v>
      </c>
      <c r="C28" s="241" t="e">
        <f ca="1">ROUND((C5+C19+C20)*F27,0)</f>
        <v>#VALUE!</v>
      </c>
      <c r="D28" s="227"/>
      <c r="E28" s="228"/>
      <c r="F28" s="238"/>
      <c r="G28" s="239"/>
    </row>
    <row r="29" spans="1:7" s="206" customFormat="1" ht="13.5" customHeight="1">
      <c r="A29" s="734" t="s">
        <v>347</v>
      </c>
      <c r="B29" s="240" t="s">
        <v>1517</v>
      </c>
      <c r="C29" s="230">
        <f>ROUND(C21*F27,4)</f>
        <v>5.0000000000000001E-4</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0.03</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0.01</v>
      </c>
      <c r="G39" s="226" t="s">
        <v>1536</v>
      </c>
    </row>
    <row r="40" spans="1:7" s="206" customFormat="1" ht="13.5" customHeight="1">
      <c r="A40" s="247" t="s">
        <v>1493</v>
      </c>
      <c r="B40" s="202" t="s">
        <v>1497</v>
      </c>
      <c r="C40" s="227">
        <f>F21</f>
        <v>0.01</v>
      </c>
      <c r="D40" s="228" t="s">
        <v>1539</v>
      </c>
      <c r="E40" s="224"/>
      <c r="F40" s="225">
        <f>F21</f>
        <v>0.01</v>
      </c>
      <c r="G40" s="226" t="s">
        <v>1540</v>
      </c>
    </row>
    <row r="41" spans="1:7" s="206" customFormat="1" ht="13.5" customHeight="1">
      <c r="A41" s="247" t="s">
        <v>1496</v>
      </c>
      <c r="B41" s="202" t="s">
        <v>1501</v>
      </c>
      <c r="C41" s="224" t="e">
        <f ca="1">ROUND(SUM(C42:C43),0)</f>
        <v>#N/A</v>
      </c>
      <c r="D41" s="227">
        <f ca="1">C44</f>
        <v>2.9999999999999997E-4</v>
      </c>
      <c r="E41" s="228" t="s">
        <v>1539</v>
      </c>
      <c r="F41" s="229">
        <f ca="1">F22</f>
        <v>3.4500000000000003E-2</v>
      </c>
      <c r="G41" s="226" t="str">
        <f>IF('数据-取费表'!B22&lt;=1,"单利计息","复利计息")</f>
        <v>复利计息</v>
      </c>
    </row>
    <row r="42" spans="1:7" ht="13.5" customHeight="1">
      <c r="A42" s="734" t="s">
        <v>346</v>
      </c>
      <c r="B42" s="207" t="s">
        <v>1503</v>
      </c>
      <c r="C42" s="230" t="e">
        <f ca="1">ROUND(IF('数据-取费表'!B22&lt;=1,C33*F22*'数据-取费表'!B20/2,C33*(POWER((1+F22),'数据-取费表'!B20/2)-1)),0)</f>
        <v>#N/A</v>
      </c>
      <c r="D42" s="230"/>
      <c r="E42" s="230"/>
      <c r="F42" s="231"/>
      <c r="G42" s="3441" t="s">
        <v>1591</v>
      </c>
    </row>
    <row r="43" spans="1:7" ht="13.5" customHeight="1">
      <c r="A43" s="734" t="s">
        <v>347</v>
      </c>
      <c r="B43" s="207" t="s">
        <v>1506</v>
      </c>
      <c r="C43" s="230" t="e">
        <f ca="1">ROUND(IF('数据-取费表'!B22&lt;=1,C39*F22*'数据-取费表'!B20/2,C39*(POWER((1+F22),'数据-取费表'!B20/2)-1)),0)</f>
        <v>#N/A</v>
      </c>
      <c r="D43" s="230"/>
      <c r="E43" s="230"/>
      <c r="F43" s="231"/>
      <c r="G43" s="3442"/>
    </row>
    <row r="44" spans="1:7" ht="13.5" customHeight="1">
      <c r="A44" s="734" t="s">
        <v>348</v>
      </c>
      <c r="B44" s="207" t="s">
        <v>1509</v>
      </c>
      <c r="C44" s="230">
        <f ca="1">ROUND(IF('数据-取费表'!B22&lt;=1,C40*F22*'数据-取费表'!B20/2,C40*(POWER((1+F22),'数据-取费表'!B20/2)-1)),4)</f>
        <v>2.9999999999999997E-4</v>
      </c>
      <c r="D44" s="230"/>
      <c r="E44" s="230"/>
      <c r="F44" s="231"/>
      <c r="G44" s="3443"/>
    </row>
    <row r="45" spans="1:7" s="206" customFormat="1" ht="13.5" customHeight="1">
      <c r="A45" s="247" t="s">
        <v>1500</v>
      </c>
      <c r="B45" s="236" t="s">
        <v>1513</v>
      </c>
      <c r="C45" s="237" t="e">
        <f ca="1">C46</f>
        <v>#N/A</v>
      </c>
      <c r="D45" s="227">
        <f>C47</f>
        <v>5.0000000000000001E-4</v>
      </c>
      <c r="E45" s="228" t="s">
        <v>1539</v>
      </c>
      <c r="F45" s="238">
        <f>F27</f>
        <v>0.05</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f>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0.72</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formatCells="0"/>
  <mergeCells count="1">
    <mergeCell ref="G42:G44"/>
  </mergeCells>
  <phoneticPr fontId="134" type="noConversion"/>
  <dataValidations count="5">
    <dataValidation type="list" allowBlank="1" showInputMessage="1" showErrorMessage="1" sqref="D2" xr:uid="{9207AC6B-C382-4E4B-9398-0D837EDE5813}">
      <formula1>"需扣减承租人权益,——"</formula1>
    </dataValidation>
    <dataValidation type="list" allowBlank="1" showInputMessage="1" showErrorMessage="1" sqref="G2" xr:uid="{892C115F-E722-477A-BB27-5090DE279309}">
      <formula1>估价方法</formula1>
    </dataValidation>
    <dataValidation type="list" allowBlank="1" showInputMessage="1" showErrorMessage="1" sqref="B1" xr:uid="{7E952861-2179-4D86-959F-01898546DF2A}">
      <formula1>项目类型</formula1>
    </dataValidation>
    <dataValidation type="list" allowBlank="1" showInputMessage="1" showErrorMessage="1" sqref="G19" xr:uid="{D52C9942-5D60-48AA-ACB5-2D12D3ED1DAC}">
      <formula1>"已包含在土地取得成本中,未包含在土地取得成本中"</formula1>
    </dataValidation>
    <dataValidation type="list" allowBlank="1" showInputMessage="1" showErrorMessage="1" sqref="G8" xr:uid="{CB1FDD68-28C3-42C3-B15D-36CBED8169C5}">
      <formula1>"已包含在土地购买价格中,未包含在土地购买价格中"</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6D863-1B2B-4D2A-808F-50BA4B1AF28A}">
  <sheetPr>
    <tabColor rgb="FF92D050"/>
  </sheetPr>
  <dimension ref="A1:AK122"/>
  <sheetViews>
    <sheetView view="pageBreakPreview" topLeftCell="A28" zoomScale="90" zoomScaleNormal="80" zoomScaleSheetLayoutView="90" workbookViewId="0">
      <selection activeCell="F21" sqref="F2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19" t="s">
        <v>21</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7" t="s">
        <v>3528</v>
      </c>
      <c r="F3" s="1848" t="s">
        <v>3516</v>
      </c>
      <c r="G3" s="708">
        <f>IF(F3="宗地容积率",'数据-汇总表'!I4,IF(F3="估价对象容积率",'数据-汇总表'!I6,'数据-汇总表'!I7))</f>
        <v>1.9</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75">
      <c r="A4" s="3541"/>
      <c r="B4" s="3542"/>
      <c r="C4" s="3542"/>
      <c r="D4" s="3543"/>
      <c r="E4" s="3543"/>
      <c r="F4" s="3543"/>
      <c r="G4" s="3543"/>
      <c r="H4" s="3543"/>
      <c r="I4" s="3543"/>
      <c r="J4" s="354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0</v>
      </c>
      <c r="D5" s="1252">
        <f>ROUND(C6*C17+C20,0)</f>
        <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75"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1.9</v>
      </c>
      <c r="AA7" s="1133"/>
      <c r="AB7" s="1133"/>
      <c r="AC7" s="1134"/>
      <c r="AD7" s="1135"/>
      <c r="AE7" s="1135"/>
      <c r="AF7" s="1135"/>
      <c r="AG7" s="1135"/>
      <c r="AH7" s="1135"/>
      <c r="AI7" s="1135"/>
      <c r="AJ7" s="1136"/>
    </row>
    <row r="8" spans="1:36" ht="25.5">
      <c r="A8" s="3008"/>
      <c r="B8" s="162" t="s">
        <v>1957</v>
      </c>
      <c r="C8" s="1870" t="s">
        <v>3514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538" t="s">
        <v>1960</v>
      </c>
      <c r="X8" s="353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540"/>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54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v>1</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15.7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8"/>
      <c r="C18" s="3033"/>
      <c r="D18" s="3028" t="s">
        <v>3248</v>
      </c>
      <c r="E18" s="2355"/>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545" t="s">
        <v>3254</v>
      </c>
      <c r="B20" s="159" t="s">
        <v>1994</v>
      </c>
      <c r="C20" s="3030">
        <f>ROUND(IF(F21="与级别开发程度一致",0,(G21-E21)/C21),0)</f>
        <v>0</v>
      </c>
      <c r="D20" s="3045" t="s">
        <v>1998</v>
      </c>
      <c r="E20" s="3046"/>
      <c r="F20" s="3551" t="s">
        <v>1995</v>
      </c>
      <c r="G20" s="3552"/>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54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t="s">
        <v>3515</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896" t="s">
        <v>2002</v>
      </c>
      <c r="E23" s="717">
        <v>44197</v>
      </c>
      <c r="F23" s="1896" t="s">
        <v>2003</v>
      </c>
      <c r="G23" s="718">
        <f>'数据-取费表'!B2</f>
        <v>45352</v>
      </c>
      <c r="H23" s="3047" t="s">
        <v>3256</v>
      </c>
      <c r="I23" s="3048" t="str">
        <f>IF(H23="季度增幅（自定义）",SUMIF(N25:N28,E2,O25:O28),"")</f>
        <v/>
      </c>
      <c r="J23" s="3140" t="s">
        <v>3255</v>
      </c>
      <c r="K23" s="1061"/>
      <c r="L23" s="1897" t="s">
        <v>2004</v>
      </c>
      <c r="M23" s="1241">
        <f>ROUND(SUMIF(地价!B2:G2,E2,地价!B16:G16),0)</f>
        <v>350</v>
      </c>
      <c r="N23" s="1898" t="s">
        <v>2005</v>
      </c>
      <c r="O23" s="719">
        <f>ROUNDDOWN(DATEDIF(E23,G23,"M")/3,0)</f>
        <v>12</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存贷款利率!E24/100</f>
        <v>4.3499999999999997E-2</v>
      </c>
      <c r="F24" s="1902" t="s">
        <v>1999</v>
      </c>
      <c r="G24" s="724">
        <f>SUMIF(M30:Q30,E2,M33:Q33)</f>
        <v>5.5E-2</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v>
      </c>
      <c r="E26" s="708">
        <f>ROUNDDOWN(G3,1)</f>
        <v>1.9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1.9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1.036</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f>'数据-汇总表'!F19</f>
        <v>0</v>
      </c>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3.4500000000000003E-2</v>
      </c>
      <c r="M36" s="2364">
        <f ca="1">ROUND($L$36*(1+M31),3)</f>
        <v>4.2999999999999997E-2</v>
      </c>
      <c r="N36" s="2364">
        <f ca="1">ROUND($L$36*(1+N31),3)</f>
        <v>4.1000000000000002E-2</v>
      </c>
      <c r="O36" s="2364">
        <f ca="1">ROUND($L$36*(1+O31),3)</f>
        <v>0.04</v>
      </c>
      <c r="P36" s="2364">
        <f ca="1">ROUND($L$36*(1+P31),3)</f>
        <v>3.7999999999999999E-2</v>
      </c>
      <c r="Q36" s="2364">
        <f ca="1">ROUND($L$36*(1+Q31),3)</f>
        <v>0.04</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49"/>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f ca="1">L36+K38</f>
        <v>3.95E-2</v>
      </c>
      <c r="M37" s="2364">
        <f ca="1">ROUND($L$37*(1+M31),3)</f>
        <v>4.9000000000000002E-2</v>
      </c>
      <c r="N37" s="2364">
        <f t="shared" ref="N37:Q37" ca="1" si="3">ROUND($L$37*(1+N31),3)</f>
        <v>4.7E-2</v>
      </c>
      <c r="O37" s="2364">
        <f t="shared" ca="1" si="3"/>
        <v>4.4999999999999998E-2</v>
      </c>
      <c r="P37" s="2364">
        <f t="shared" ca="1" si="3"/>
        <v>4.2999999999999997E-2</v>
      </c>
      <c r="Q37" s="2364">
        <f t="shared" ca="1" si="3"/>
        <v>4.4999999999999998E-2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50"/>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50"/>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#VALUE!</v>
      </c>
      <c r="D41" s="1940">
        <f>'数据-汇总表'!G20</f>
        <v>0</v>
      </c>
      <c r="E41" s="163" t="e">
        <f t="shared" si="4"/>
        <v>#VALUE!</v>
      </c>
      <c r="F41" s="167">
        <f>SUMIF(修正!A57:A68,G2,修正!F57:F68)</f>
        <v>0</v>
      </c>
      <c r="G41" s="163" t="e">
        <f>ROUND(IF(E2="工业",C41*$M$42,C41*$M$41),0)</f>
        <v>#VALUE!</v>
      </c>
      <c r="H41" s="163">
        <f t="shared" si="5"/>
        <v>0</v>
      </c>
      <c r="I41" s="163" t="e">
        <f t="shared" si="6"/>
        <v>#VALUE!</v>
      </c>
      <c r="J41" s="939"/>
      <c r="L41" s="3061"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#VALUE!</v>
      </c>
      <c r="D42" s="1945"/>
      <c r="E42" s="179" t="e">
        <f t="shared" si="4"/>
        <v>#VALUE!</v>
      </c>
      <c r="F42" s="723">
        <f>SUMIF(修正!A57:A68,G2,修正!G57:G68)</f>
        <v>0</v>
      </c>
      <c r="G42" s="179" t="e">
        <f>ROUND(IF(E2="工业",C42*$M$42,C42*$M$41),0)</f>
        <v>#VALUE!</v>
      </c>
      <c r="H42" s="179">
        <f t="shared" si="5"/>
        <v>0</v>
      </c>
      <c r="I42" s="179" t="e">
        <f t="shared" si="6"/>
        <v>#VALUE!</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#VALUE!</v>
      </c>
      <c r="D44" s="163" t="s">
        <v>1999</v>
      </c>
      <c r="E44" s="1991">
        <f>G24</f>
        <v>5.5E-2</v>
      </c>
      <c r="F44" s="163" t="s">
        <v>2008</v>
      </c>
      <c r="G44" s="175" t="str">
        <f>项目基本情况!G15</f>
        <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1.05</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估价对象周边多为住宅、办公配套商业、有华联商厦等商业设施，人流量较大，商业繁华度较好</v>
      </c>
      <c r="C50" s="1887" t="s">
        <v>3520</v>
      </c>
      <c r="D50" s="1002">
        <f t="shared" ref="D50:D58" si="7">SUMIF($J$49:$N$49,C50,J50:N50)</f>
        <v>1.4999999999999999E-2</v>
      </c>
      <c r="E50" s="702">
        <f>ROUND(SUM(D50:D58),4)</f>
        <v>0.05</v>
      </c>
      <c r="F50" s="1675" t="str">
        <f>IF(E2="商业",SUMIF(L1:L12,G2,N1:N12),"——")</f>
        <v>——</v>
      </c>
      <c r="G50" s="1000">
        <v>1.4999999999999999E-2</v>
      </c>
      <c r="H50" s="1003" t="str">
        <f t="shared" ref="H50:H58" si="8">IFERROR(ROUNDDOWN($F$50*I50/2,4),"——")</f>
        <v>——</v>
      </c>
      <c r="I50" s="3067">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76.5" hidden="1">
      <c r="A51" s="1970" t="s">
        <v>2053</v>
      </c>
      <c r="B51" s="1262" t="str">
        <f>估价对象房地状况!C18</f>
        <v>估价对象周边有305路、320路、365路、432路、614路、982路等多条公交线路，距离地铁13号线上地站约950米，周边道路网线较密集，通达度较好。综合评价交通便捷度较好。</v>
      </c>
      <c r="C51" s="1887" t="s">
        <v>3520</v>
      </c>
      <c r="D51" s="1002">
        <f t="shared" si="7"/>
        <v>1.0999999999999999E-2</v>
      </c>
      <c r="E51" s="703"/>
      <c r="F51" s="1675"/>
      <c r="G51" s="1000">
        <v>1.0999999999999999E-2</v>
      </c>
      <c r="H51" s="1003" t="str">
        <f t="shared" si="8"/>
        <v>——</v>
      </c>
      <c r="I51" s="3067">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hidden="1">
      <c r="A52" s="3069" t="s">
        <v>3269</v>
      </c>
      <c r="B52" s="1262">
        <f>估价对象房地状况!C19</f>
        <v>0</v>
      </c>
      <c r="C52" s="1887" t="s">
        <v>3520</v>
      </c>
      <c r="D52" s="1002">
        <f t="shared" si="7"/>
        <v>6.0000000000000001E-3</v>
      </c>
      <c r="E52" s="703"/>
      <c r="F52" s="1675"/>
      <c r="G52" s="1000">
        <v>6.0000000000000001E-3</v>
      </c>
      <c r="H52" s="1003" t="str">
        <f t="shared" si="8"/>
        <v>——</v>
      </c>
      <c r="I52" s="3067">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3520</v>
      </c>
      <c r="D53" s="1002">
        <f t="shared" si="7"/>
        <v>2.5000000000000001E-3</v>
      </c>
      <c r="E53" s="703"/>
      <c r="F53" s="1675"/>
      <c r="G53" s="1000">
        <v>2.5000000000000001E-3</v>
      </c>
      <c r="H53" s="1003" t="str">
        <f t="shared" si="8"/>
        <v>——</v>
      </c>
      <c r="I53" s="3067">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3521</v>
      </c>
      <c r="D54" s="1002">
        <f t="shared" si="7"/>
        <v>0</v>
      </c>
      <c r="E54" s="703"/>
      <c r="F54" s="1675"/>
      <c r="G54" s="1000">
        <v>4.0000000000000001E-3</v>
      </c>
      <c r="H54" s="1003" t="str">
        <f t="shared" si="8"/>
        <v>——</v>
      </c>
      <c r="I54" s="3067">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3520</v>
      </c>
      <c r="D55" s="1002">
        <f t="shared" si="7"/>
        <v>2.5000000000000001E-3</v>
      </c>
      <c r="E55" s="703"/>
      <c r="F55" s="1675"/>
      <c r="G55" s="1000">
        <v>2.5000000000000001E-3</v>
      </c>
      <c r="H55" s="1003" t="str">
        <f t="shared" si="8"/>
        <v>——</v>
      </c>
      <c r="I55" s="3067">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140.25" hidden="1">
      <c r="A56" s="1976" t="s">
        <v>2059</v>
      </c>
      <c r="B56" s="1240" t="str">
        <f>估价对象房地状况!C21</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C56" s="1887" t="s">
        <v>3520</v>
      </c>
      <c r="D56" s="1002">
        <f t="shared" si="7"/>
        <v>2.5000000000000001E-3</v>
      </c>
      <c r="E56" s="703"/>
      <c r="F56" s="1675"/>
      <c r="G56" s="1000">
        <v>2.5000000000000001E-3</v>
      </c>
      <c r="H56" s="1003" t="str">
        <f t="shared" si="8"/>
        <v>——</v>
      </c>
      <c r="I56" s="3067">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估价对象所在区域基础设施水平-七通</v>
      </c>
      <c r="C57" s="1887" t="s">
        <v>3522</v>
      </c>
      <c r="D57" s="1002">
        <f t="shared" si="7"/>
        <v>8.0000000000000002E-3</v>
      </c>
      <c r="E57" s="703"/>
      <c r="F57" s="1675"/>
      <c r="G57" s="1000">
        <v>4.0000000000000001E-3</v>
      </c>
      <c r="H57" s="1003" t="str">
        <f t="shared" si="8"/>
        <v>——</v>
      </c>
      <c r="I57" s="3067">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39" hidden="1" thickBot="1">
      <c r="A58" s="1977" t="s">
        <v>2061</v>
      </c>
      <c r="B58" s="1978" t="str">
        <f>估价对象房地状况!C20</f>
        <v>估价对象周边有树村郊野公园、生态花谷、北京体育大学场等自然人文场所，综合评价环境状况较好。</v>
      </c>
      <c r="C58" s="1887" t="s">
        <v>3520</v>
      </c>
      <c r="D58" s="1002">
        <f t="shared" si="7"/>
        <v>2.5000000000000001E-3</v>
      </c>
      <c r="E58" s="704"/>
      <c r="F58" s="1675"/>
      <c r="G58" s="1000">
        <v>2.5000000000000001E-3</v>
      </c>
      <c r="H58" s="1003" t="str">
        <f t="shared" si="8"/>
        <v>——</v>
      </c>
      <c r="I58" s="3068">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7" t="s">
        <v>2062</v>
      </c>
      <c r="B59" s="1968">
        <f>1+E61</f>
        <v>1.036</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f>估价对象房地状况!C17</f>
        <v>0</v>
      </c>
      <c r="C61" s="1887" t="s">
        <v>3521</v>
      </c>
      <c r="D61" s="1002">
        <f t="shared" ref="D61:D69" si="12">SUMIF($J$60:$N$60,C61,J61:N61)</f>
        <v>0</v>
      </c>
      <c r="E61" s="702">
        <f>ROUND(SUM(D61:D69),4)</f>
        <v>3.5999999999999997E-2</v>
      </c>
      <c r="F61" s="1675">
        <f>IF(E2="办公",SUMIF(L1:L12,G2,N1:N12),"——")</f>
        <v>0</v>
      </c>
      <c r="G61" s="1000">
        <v>1.2500000000000001E-2</v>
      </c>
      <c r="H61" s="1003">
        <f t="shared" ref="H61:H69" si="13">IFERROR(ROUNDDOWN($F$61*I61/2,4),"——")</f>
        <v>0</v>
      </c>
      <c r="I61" s="306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76.5">
      <c r="A62" s="1970" t="s">
        <v>2053</v>
      </c>
      <c r="B62" s="1262" t="str">
        <f>估价对象房地状况!C18</f>
        <v>估价对象周边有305路、320路、365路、432路、614路、982路等多条公交线路，距离地铁13号线上地站约950米，周边道路网线较密集，通达度较好。综合评价交通便捷度较好。</v>
      </c>
      <c r="C62" s="1887" t="s">
        <v>3520</v>
      </c>
      <c r="D62" s="1002">
        <f t="shared" si="12"/>
        <v>1.2999999999999999E-2</v>
      </c>
      <c r="E62" s="703"/>
      <c r="F62" s="1675"/>
      <c r="G62" s="1000">
        <v>1.2999999999999999E-2</v>
      </c>
      <c r="H62" s="1003">
        <f t="shared" si="13"/>
        <v>0</v>
      </c>
      <c r="I62" s="306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6">
      <c r="A63" s="3069" t="s">
        <v>3269</v>
      </c>
      <c r="B63" s="1262">
        <f>估价对象房地状况!C19</f>
        <v>0</v>
      </c>
      <c r="C63" s="1887" t="s">
        <v>3520</v>
      </c>
      <c r="D63" s="1002">
        <f t="shared" si="12"/>
        <v>5.4999999999999997E-3</v>
      </c>
      <c r="E63" s="703"/>
      <c r="F63" s="1675"/>
      <c r="G63" s="1000">
        <v>5.4999999999999997E-3</v>
      </c>
      <c r="H63" s="1003">
        <f t="shared" si="13"/>
        <v>0</v>
      </c>
      <c r="I63" s="306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6.75">
      <c r="A64" s="1970" t="s">
        <v>2054</v>
      </c>
      <c r="B64" s="1974" t="s">
        <v>2055</v>
      </c>
      <c r="C64" s="1887" t="s">
        <v>3520</v>
      </c>
      <c r="D64" s="1002">
        <f t="shared" si="12"/>
        <v>2.5000000000000001E-3</v>
      </c>
      <c r="E64" s="703"/>
      <c r="F64" s="1675"/>
      <c r="G64" s="1000">
        <v>2.5000000000000001E-3</v>
      </c>
      <c r="H64" s="1003">
        <f t="shared" si="13"/>
        <v>0</v>
      </c>
      <c r="I64" s="306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3521</v>
      </c>
      <c r="D65" s="1002">
        <f t="shared" si="12"/>
        <v>0</v>
      </c>
      <c r="E65" s="703"/>
      <c r="F65" s="1675"/>
      <c r="G65" s="1000">
        <v>2.5000000000000001E-3</v>
      </c>
      <c r="H65" s="1003">
        <f t="shared" si="13"/>
        <v>0</v>
      </c>
      <c r="I65" s="306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4">
      <c r="A66" s="1970" t="s">
        <v>2057</v>
      </c>
      <c r="B66" s="1975" t="s">
        <v>2058</v>
      </c>
      <c r="C66" s="1887" t="s">
        <v>3520</v>
      </c>
      <c r="D66" s="1002">
        <f t="shared" si="12"/>
        <v>3.0000000000000001E-3</v>
      </c>
      <c r="E66" s="703"/>
      <c r="F66" s="1675"/>
      <c r="G66" s="1000">
        <v>3.0000000000000001E-3</v>
      </c>
      <c r="H66" s="1003">
        <f t="shared" si="13"/>
        <v>0</v>
      </c>
      <c r="I66" s="306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101.25" customHeight="1">
      <c r="A67" s="1970" t="s">
        <v>2059</v>
      </c>
      <c r="B67" s="1240" t="str">
        <f>估价对象房地状况!C21</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C67" s="1887" t="s">
        <v>3520</v>
      </c>
      <c r="D67" s="1002">
        <f t="shared" si="12"/>
        <v>3.0000000000000001E-3</v>
      </c>
      <c r="E67" s="703"/>
      <c r="F67" s="1675"/>
      <c r="G67" s="1000">
        <v>3.0000000000000001E-3</v>
      </c>
      <c r="H67" s="1003">
        <f t="shared" si="13"/>
        <v>0</v>
      </c>
      <c r="I67" s="306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估价对象所在区域基础设施水平-七通</v>
      </c>
      <c r="C68" s="1887" t="s">
        <v>3522</v>
      </c>
      <c r="D68" s="1002">
        <f t="shared" si="12"/>
        <v>8.9999999999999993E-3</v>
      </c>
      <c r="E68" s="703"/>
      <c r="F68" s="1675"/>
      <c r="G68" s="1000">
        <v>4.4999999999999997E-3</v>
      </c>
      <c r="H68" s="1003">
        <f t="shared" si="13"/>
        <v>0</v>
      </c>
      <c r="I68" s="306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估价对象周边有树村郊野公园、生态花谷、北京体育大学场等自然人文场所，综合评价环境状况较好。</v>
      </c>
      <c r="C69" s="1887" t="s">
        <v>3521</v>
      </c>
      <c r="D69" s="1002">
        <f t="shared" si="12"/>
        <v>0</v>
      </c>
      <c r="E69" s="704"/>
      <c r="F69" s="1675"/>
      <c r="G69" s="1000">
        <v>3.5000000000000001E-3</v>
      </c>
      <c r="H69" s="1003">
        <f t="shared" si="13"/>
        <v>0</v>
      </c>
      <c r="I69" s="306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76.5">
      <c r="A73" s="1970" t="s">
        <v>2053</v>
      </c>
      <c r="B73" s="1262" t="str">
        <f>估价对象房地状况!C18</f>
        <v>估价对象周边有305路、320路、365路、432路、614路、982路等多条公交线路，距离地铁13号线上地站约950米，周边道路网线较密集，通达度较好。综合评价交通便捷度较好。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40.25">
      <c r="A76" s="1970" t="s">
        <v>2059</v>
      </c>
      <c r="B76" s="1240" t="str">
        <f>估价对象房地状况!C21</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估价对象所在区域基础设施水平-七通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估价对象周边有树村郊野公园、生态花谷、北京体育大学场等自然人文场所，综合评价环境状况较好。</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3269</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2044</v>
      </c>
      <c r="B92" s="2308"/>
      <c r="C92" s="2308" t="s">
        <v>2046</v>
      </c>
      <c r="D92" s="2308" t="s">
        <v>2047</v>
      </c>
      <c r="E92" s="3051" t="s">
        <v>2048</v>
      </c>
      <c r="F92" s="3081" t="s">
        <v>3283</v>
      </c>
      <c r="G92" s="2308" t="s">
        <v>1989</v>
      </c>
      <c r="H92" s="3088" t="s">
        <v>3287</v>
      </c>
      <c r="I92" s="2308" t="s">
        <v>2051</v>
      </c>
      <c r="J92" s="2150" t="s">
        <v>1721</v>
      </c>
      <c r="K92" s="2150" t="s">
        <v>1722</v>
      </c>
      <c r="L92" s="2150" t="s">
        <v>1723</v>
      </c>
      <c r="M92" s="2150" t="s">
        <v>1724</v>
      </c>
      <c r="N92" s="2150" t="s">
        <v>1725</v>
      </c>
    </row>
    <row r="93" spans="1:37" ht="24">
      <c r="A93" s="3069" t="s">
        <v>3272</v>
      </c>
      <c r="B93" s="1221"/>
      <c r="C93" s="1887"/>
      <c r="D93" s="2308">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76.5">
      <c r="A94" s="3079" t="s">
        <v>2053</v>
      </c>
      <c r="B94" s="3070" t="str">
        <f>估价对象房地状况!C18</f>
        <v>估价对象周边有305路、320路、365路、432路、614路、982路等多条公交线路，距离地铁13号线上地站约950米，周边道路网线较密集，通达度较好。综合评价交通便捷度较好。</v>
      </c>
      <c r="C94" s="1887"/>
      <c r="D94" s="2308">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3269</v>
      </c>
      <c r="B95" s="3070">
        <f>估价对象房地状况!C19</f>
        <v>0</v>
      </c>
      <c r="C95" s="1887"/>
      <c r="D95" s="2308">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2054</v>
      </c>
      <c r="B96" s="3085" t="s">
        <v>3285</v>
      </c>
      <c r="C96" s="1887"/>
      <c r="D96" s="2308">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2056</v>
      </c>
      <c r="B97" s="3070">
        <f>估价对象房地状况!C24</f>
        <v>0</v>
      </c>
      <c r="C97" s="1887"/>
      <c r="D97" s="2308">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2057</v>
      </c>
      <c r="B98" s="3086" t="s">
        <v>3286</v>
      </c>
      <c r="C98" s="1887"/>
      <c r="D98" s="2308">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140.25">
      <c r="A99" s="3079" t="s">
        <v>2059</v>
      </c>
      <c r="B99" s="3070" t="str">
        <f>估价对象房地状况!C21</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C99" s="1887"/>
      <c r="D99" s="2308">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2060</v>
      </c>
      <c r="B100" s="3070" t="str">
        <f>估价对象房地状况!C22</f>
        <v>估价对象所在区域基础设施水平-七通</v>
      </c>
      <c r="C100" s="1887"/>
      <c r="D100" s="2308">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39" thickBot="1">
      <c r="A101" s="3080" t="s">
        <v>2061</v>
      </c>
      <c r="B101" s="3087" t="str">
        <f>估价对象房地状况!C20</f>
        <v>估价对象周边有树村郊野公园、生态花谷、北京体育大学场等自然人文场所，综合评价环境状况较好。</v>
      </c>
      <c r="C101" s="1887"/>
      <c r="D101" s="2308">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547" t="s">
        <v>3294</v>
      </c>
      <c r="B103" s="3547"/>
      <c r="C103" s="3547"/>
      <c r="D103" s="3547"/>
      <c r="E103" s="3547"/>
      <c r="F103" s="3547"/>
      <c r="G103" s="3547"/>
      <c r="H103" s="3547"/>
      <c r="I103" s="3547"/>
      <c r="J103" s="3547"/>
      <c r="K103" s="1667"/>
      <c r="L103" s="1667"/>
      <c r="M103" s="1667"/>
      <c r="N103" s="1667"/>
    </row>
    <row r="104" spans="1:14">
      <c r="A104" s="3548" t="s">
        <v>3295</v>
      </c>
      <c r="B104" s="3548" t="s">
        <v>3296</v>
      </c>
      <c r="C104" s="3089" t="s">
        <v>3297</v>
      </c>
      <c r="D104" s="3090"/>
      <c r="E104" s="3090"/>
      <c r="F104" s="3090"/>
      <c r="G104" s="3090"/>
      <c r="H104" s="3090"/>
      <c r="I104" s="3090"/>
      <c r="J104" s="3091"/>
      <c r="K104" s="3092"/>
      <c r="L104" s="3092"/>
      <c r="M104" s="3092"/>
      <c r="N104" s="3092"/>
    </row>
    <row r="105" spans="1:14">
      <c r="A105" s="3548"/>
      <c r="B105" s="3548"/>
      <c r="C105" s="3093" t="s">
        <v>1961</v>
      </c>
      <c r="D105" s="3093" t="s">
        <v>1962</v>
      </c>
      <c r="E105" s="3093" t="s">
        <v>1963</v>
      </c>
      <c r="F105" s="3093" t="s">
        <v>1964</v>
      </c>
      <c r="G105" s="3093" t="s">
        <v>1965</v>
      </c>
      <c r="H105" s="3093" t="s">
        <v>1966</v>
      </c>
      <c r="I105" s="3093" t="s">
        <v>1967</v>
      </c>
      <c r="J105" s="3093" t="s">
        <v>1968</v>
      </c>
      <c r="K105" s="3093" t="s">
        <v>1969</v>
      </c>
      <c r="L105" s="3093" t="s">
        <v>1970</v>
      </c>
      <c r="M105" s="3093" t="s">
        <v>1971</v>
      </c>
      <c r="N105" s="3093" t="s">
        <v>1972</v>
      </c>
    </row>
    <row r="106" spans="1:14">
      <c r="A106" s="3534"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53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53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53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53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535"/>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536"/>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537" t="s">
        <v>3311</v>
      </c>
      <c r="B113" s="3537"/>
      <c r="C113" s="3537"/>
      <c r="D113" s="3537"/>
      <c r="E113" s="3537"/>
      <c r="F113" s="3537"/>
      <c r="G113" s="3537"/>
      <c r="H113" s="3537"/>
      <c r="I113" s="3537"/>
      <c r="J113" s="3537"/>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3312</v>
      </c>
      <c r="B116" s="3113">
        <f>G3</f>
        <v>1.9</v>
      </c>
      <c r="C116" s="3098" t="s">
        <v>3313</v>
      </c>
      <c r="D116" s="3099">
        <f>SUMPRODUCT((A118:A122=F116)*(B117:M117=H116)*B118:M122)</f>
        <v>0</v>
      </c>
      <c r="E116" s="162" t="s">
        <v>1936</v>
      </c>
      <c r="F116" s="3100" t="str">
        <f>E2</f>
        <v>办公</v>
      </c>
      <c r="G116" s="162" t="s">
        <v>1937</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1990</v>
      </c>
      <c r="B118" s="3088">
        <f>ROUND(0.9968-0.011*B116,4)</f>
        <v>0.97589999999999999</v>
      </c>
      <c r="C118" s="3088">
        <f>B118</f>
        <v>0.97589999999999999</v>
      </c>
      <c r="D118" s="3088">
        <f>ROUND(0.949-0.014*B116,4)</f>
        <v>0.9224</v>
      </c>
      <c r="E118" s="3088">
        <f>D118</f>
        <v>0.9224</v>
      </c>
      <c r="F118" s="3088">
        <f>E118</f>
        <v>0.9224</v>
      </c>
      <c r="G118" s="3088">
        <f>F118</f>
        <v>0.9224</v>
      </c>
      <c r="H118" s="3088">
        <f>G118</f>
        <v>0.9224</v>
      </c>
      <c r="I118" s="3088">
        <f>ROUND(0.8486-0.018*B116,4)</f>
        <v>0.81440000000000001</v>
      </c>
      <c r="J118" s="3088">
        <f t="shared" ref="J118:M122" si="35">I118</f>
        <v>0.81440000000000001</v>
      </c>
      <c r="K118" s="3088">
        <f t="shared" si="35"/>
        <v>0.81440000000000001</v>
      </c>
      <c r="L118" s="3088">
        <f t="shared" si="35"/>
        <v>0.81440000000000001</v>
      </c>
      <c r="M118" s="3108">
        <f t="shared" si="35"/>
        <v>0.81440000000000001</v>
      </c>
      <c r="N118" s="3096"/>
    </row>
    <row r="119" spans="1:14">
      <c r="A119" s="3056" t="s">
        <v>1991</v>
      </c>
      <c r="B119" s="3088">
        <f>ROUND(0.993-0.0112*B116,4)</f>
        <v>0.97170000000000001</v>
      </c>
      <c r="C119" s="3088">
        <f>B119</f>
        <v>0.97170000000000001</v>
      </c>
      <c r="D119" s="3088">
        <f>ROUND(0.9415-0.0142*B116,4)</f>
        <v>0.91449999999999998</v>
      </c>
      <c r="E119" s="3088">
        <f t="shared" ref="E119:H120" si="36">D119</f>
        <v>0.91449999999999998</v>
      </c>
      <c r="F119" s="3088">
        <f t="shared" si="36"/>
        <v>0.91449999999999998</v>
      </c>
      <c r="G119" s="3088">
        <f t="shared" si="36"/>
        <v>0.91449999999999998</v>
      </c>
      <c r="H119" s="3088">
        <f t="shared" si="36"/>
        <v>0.91449999999999998</v>
      </c>
      <c r="I119" s="3088">
        <f>ROUND(0.838-0.0182*B116,4)</f>
        <v>0.8034</v>
      </c>
      <c r="J119" s="3088">
        <f t="shared" si="35"/>
        <v>0.8034</v>
      </c>
      <c r="K119" s="3088">
        <f t="shared" si="35"/>
        <v>0.8034</v>
      </c>
      <c r="L119" s="3088">
        <f t="shared" si="35"/>
        <v>0.8034</v>
      </c>
      <c r="M119" s="3108">
        <f t="shared" si="35"/>
        <v>0.8034</v>
      </c>
      <c r="N119" s="3096"/>
    </row>
    <row r="120" spans="1:14">
      <c r="A120" s="3056" t="s">
        <v>1992</v>
      </c>
      <c r="B120" s="3088">
        <f>ROUND(0.9448-0.0115*B116,4)</f>
        <v>0.92300000000000004</v>
      </c>
      <c r="C120" s="3088">
        <f>B120</f>
        <v>0.92300000000000004</v>
      </c>
      <c r="D120" s="3088">
        <f>ROUND(0.937-0.0145*B116,4)</f>
        <v>0.90949999999999998</v>
      </c>
      <c r="E120" s="3088">
        <f t="shared" si="36"/>
        <v>0.90949999999999998</v>
      </c>
      <c r="F120" s="3088">
        <f t="shared" si="36"/>
        <v>0.90949999999999998</v>
      </c>
      <c r="G120" s="3088">
        <f t="shared" si="36"/>
        <v>0.90949999999999998</v>
      </c>
      <c r="H120" s="3088">
        <f t="shared" si="36"/>
        <v>0.90949999999999998</v>
      </c>
      <c r="I120" s="3088">
        <f>ROUND(0.7965-0.0185*B116,4)</f>
        <v>0.76139999999999997</v>
      </c>
      <c r="J120" s="3088">
        <f t="shared" si="35"/>
        <v>0.76139999999999997</v>
      </c>
      <c r="K120" s="3088">
        <f t="shared" si="35"/>
        <v>0.76139999999999997</v>
      </c>
      <c r="L120" s="3088">
        <f t="shared" si="35"/>
        <v>0.76139999999999997</v>
      </c>
      <c r="M120" s="3108">
        <f t="shared" si="35"/>
        <v>0.76139999999999997</v>
      </c>
      <c r="N120" s="3096"/>
    </row>
    <row r="121" spans="1:14" ht="13.5" thickBot="1">
      <c r="A121" s="3109" t="s">
        <v>1993</v>
      </c>
      <c r="B121" s="3110">
        <f>ROUND(0.7836-0.012*B116,4)</f>
        <v>0.76080000000000003</v>
      </c>
      <c r="C121" s="3110">
        <f>B121</f>
        <v>0.76080000000000003</v>
      </c>
      <c r="D121" s="3110">
        <f>ROUND(0.753-0.015*B116,4)</f>
        <v>0.72450000000000003</v>
      </c>
      <c r="E121" s="3110">
        <f>D121</f>
        <v>0.72450000000000003</v>
      </c>
      <c r="F121" s="3110">
        <f>E121</f>
        <v>0.72450000000000003</v>
      </c>
      <c r="G121" s="3110">
        <f>ROUND(0.6612-0.018*B116,4)</f>
        <v>0.627</v>
      </c>
      <c r="H121" s="3110">
        <f>G121</f>
        <v>0.627</v>
      </c>
      <c r="I121" s="3110">
        <f>ROUND(0.5905-0.019*B116,4)</f>
        <v>0.5544</v>
      </c>
      <c r="J121" s="3110">
        <f t="shared" si="35"/>
        <v>0.5544</v>
      </c>
      <c r="K121" s="3110">
        <f t="shared" si="35"/>
        <v>0.5544</v>
      </c>
      <c r="L121" s="3110">
        <f t="shared" si="35"/>
        <v>0.5544</v>
      </c>
      <c r="M121" s="3111">
        <f t="shared" si="35"/>
        <v>0.5544</v>
      </c>
      <c r="N121" s="3096"/>
    </row>
    <row r="122" spans="1:14">
      <c r="A122" s="3112" t="s">
        <v>2612</v>
      </c>
      <c r="B122" s="3088">
        <f>ROUND(0.9404-0.0106*B116,4)</f>
        <v>0.92030000000000001</v>
      </c>
      <c r="C122" s="3088">
        <f>B122</f>
        <v>0.92030000000000001</v>
      </c>
      <c r="D122" s="3088">
        <f>ROUND(0.8955-0.0135*B116,4)</f>
        <v>0.86990000000000001</v>
      </c>
      <c r="E122" s="3088">
        <f t="shared" ref="E122:H122" si="37">D122</f>
        <v>0.86990000000000001</v>
      </c>
      <c r="F122" s="3088">
        <f t="shared" si="37"/>
        <v>0.86990000000000001</v>
      </c>
      <c r="G122" s="3088">
        <f t="shared" si="37"/>
        <v>0.86990000000000001</v>
      </c>
      <c r="H122" s="3088">
        <f t="shared" si="37"/>
        <v>0.86990000000000001</v>
      </c>
      <c r="I122" s="3088">
        <f>ROUND(0.7632-0.0166*B116,4)</f>
        <v>0.73170000000000002</v>
      </c>
      <c r="J122" s="3088">
        <f t="shared" si="35"/>
        <v>0.73170000000000002</v>
      </c>
      <c r="K122" s="3088">
        <f t="shared" si="35"/>
        <v>0.73170000000000002</v>
      </c>
      <c r="L122" s="3088">
        <f t="shared" si="35"/>
        <v>0.73170000000000002</v>
      </c>
      <c r="M122" s="3108">
        <f t="shared" si="35"/>
        <v>0.73170000000000002</v>
      </c>
      <c r="N122" s="3096"/>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48" priority="6" stopIfTrue="1" operator="notEqual">
      <formula>"——"</formula>
    </cfRule>
  </conditionalFormatting>
  <conditionalFormatting sqref="F61">
    <cfRule type="cellIs" dxfId="47" priority="5" stopIfTrue="1" operator="notEqual">
      <formula>"——"</formula>
    </cfRule>
  </conditionalFormatting>
  <conditionalFormatting sqref="F72">
    <cfRule type="cellIs" dxfId="46" priority="4" stopIfTrue="1" operator="notEqual">
      <formula>"——"</formula>
    </cfRule>
  </conditionalFormatting>
  <conditionalFormatting sqref="F83">
    <cfRule type="cellIs" dxfId="45" priority="3" stopIfTrue="1" operator="notEqual">
      <formula>"——"</formula>
    </cfRule>
  </conditionalFormatting>
  <conditionalFormatting sqref="H50:H58 H61:H69 H72:H80 H83:H91">
    <cfRule type="cellIs" dxfId="44" priority="2" operator="notEqual">
      <formula>"——"</formula>
    </cfRule>
  </conditionalFormatting>
  <conditionalFormatting sqref="H93:H101">
    <cfRule type="cellIs" dxfId="43" priority="1" operator="notEqual">
      <formula>"——"</formula>
    </cfRule>
  </conditionalFormatting>
  <dataValidations count="12">
    <dataValidation type="list" allowBlank="1" showInputMessage="1" showErrorMessage="1" sqref="J23" xr:uid="{0D30B6C1-BF78-4585-B60C-C362DDD4B123}">
      <formula1>"不用分区数据,中心城区,中心城区以外"</formula1>
    </dataValidation>
    <dataValidation type="list" allowBlank="1" showInputMessage="1" showErrorMessage="1" sqref="H20:O20" xr:uid="{BED92433-3D26-4914-BEA1-7839DC9F042E}">
      <formula1>七通一平</formula1>
    </dataValidation>
    <dataValidation type="list" allowBlank="1" showInputMessage="1" showErrorMessage="1" sqref="H23" xr:uid="{6EDFBE57-D685-42BB-A50E-B1A90F19D9AD}">
      <formula1>"地价指数,季度增幅（自定义）,按公示增长率计算"</formula1>
    </dataValidation>
    <dataValidation type="list" allowBlank="1" showInputMessage="1" showErrorMessage="1" sqref="C61:C69 C72:C80 C50:C58 C83:C91 C93:C101" xr:uid="{625B60C3-0A07-4DB3-89BA-E00C8FB61655}">
      <formula1>五等判定</formula1>
    </dataValidation>
    <dataValidation type="list" allowBlank="1" showInputMessage="1" showErrorMessage="1" sqref="E3" xr:uid="{FAC6C534-B3A5-43DE-AD42-D1ACE8025CAA}">
      <formula1>二级分类</formula1>
    </dataValidation>
    <dataValidation type="list" allowBlank="1" showInputMessage="1" showErrorMessage="1" sqref="C8" xr:uid="{288C928F-4BA6-4387-AE2A-9C513A0651F7}">
      <formula1>商业街名称</formula1>
    </dataValidation>
    <dataValidation type="list" allowBlank="1" showInputMessage="1" showErrorMessage="1" sqref="F3" xr:uid="{A0AA94E2-42C6-45B3-A4B9-7BD010717B5A}">
      <formula1>"宗地容积率,估价对象容积率,自定义容积率"</formula1>
    </dataValidation>
    <dataValidation type="list" allowBlank="1" showInputMessage="1" showErrorMessage="1" sqref="E2" xr:uid="{5AF82E7F-2A54-4CFE-BC3D-55F9570C777E}">
      <formula1>"商业,办公,住宅,工业,公共服务"</formula1>
    </dataValidation>
    <dataValidation type="list" allowBlank="1" showInputMessage="1" showErrorMessage="1" sqref="F21" xr:uid="{D3731A89-DB0F-4F87-81F3-92B2FFDC509A}">
      <formula1>"与级别开发程度一致,与级别开发程度不一致"</formula1>
    </dataValidation>
    <dataValidation type="list" allowBlank="1" showInputMessage="1" showErrorMessage="1" sqref="B25" xr:uid="{EE9AC55E-2000-44AF-84FA-C3B7A1689D8A}">
      <formula1>"容积率修正,楼层修正"</formula1>
    </dataValidation>
    <dataValidation type="list" allowBlank="1" showInputMessage="1" showErrorMessage="1" sqref="C15:D15" xr:uid="{2D91EC31-6B21-4CD3-A71C-E8C57A607321}">
      <formula1>"有,无"</formula1>
    </dataValidation>
    <dataValidation type="list" allowBlank="1" showInputMessage="1" showErrorMessage="1" sqref="E15" xr:uid="{FEA36954-9914-4FCA-9C76-A9F5B5612604}">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B22" zoomScale="80" zoomScaleNormal="70" zoomScaleSheetLayoutView="80" workbookViewId="0">
      <selection activeCell="I26" sqref="I26"/>
    </sheetView>
  </sheetViews>
  <sheetFormatPr defaultColWidth="9" defaultRowHeight="14.25"/>
  <cols>
    <col min="1" max="1" width="10.5" style="347" customWidth="1"/>
    <col min="2" max="2" width="15.75" style="347" customWidth="1"/>
    <col min="3" max="3" width="16.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t="s">
        <v>3513</v>
      </c>
      <c r="E1" s="3130" t="s">
        <v>3525</v>
      </c>
      <c r="F1" s="1735" t="s">
        <v>3524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e">
        <f>IF(E1="项目模式",IF(C2="——",ROUND(C37*D3/10000,0),ROUND(C37*D3/10000,0)-D2),IF(E1="单套模式",IF(C2="——",ROUND(C37*D3/10000,4),ROUND(C37*D3/10000,4)-D2)))</f>
        <v>#DIV/0!</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62" t="s">
        <v>1770</v>
      </c>
      <c r="D4" s="3463"/>
      <c r="E4" s="3464" t="s">
        <v>1771</v>
      </c>
      <c r="F4" s="3465"/>
      <c r="G4" s="3462" t="s">
        <v>1772</v>
      </c>
      <c r="H4" s="3463"/>
      <c r="I4" s="3462" t="s">
        <v>1773</v>
      </c>
      <c r="J4" s="3463"/>
      <c r="K4" s="537" t="s">
        <v>1774</v>
      </c>
      <c r="L4" s="2485"/>
      <c r="M4" s="2486"/>
      <c r="N4" s="2486"/>
      <c r="O4" s="2486"/>
      <c r="P4" s="3466" t="s">
        <v>1775</v>
      </c>
      <c r="Q4" s="3467"/>
      <c r="R4" s="3472" t="s">
        <v>1771</v>
      </c>
      <c r="S4" s="3473"/>
      <c r="T4" s="3472" t="s">
        <v>1772</v>
      </c>
      <c r="U4" s="3473"/>
      <c r="V4" s="3445" t="s">
        <v>1773</v>
      </c>
      <c r="W4" s="3445"/>
      <c r="X4" s="1265"/>
      <c r="Y4" s="3472" t="s">
        <v>1775</v>
      </c>
      <c r="Z4" s="3473"/>
      <c r="AA4" s="3459" t="s">
        <v>1771</v>
      </c>
      <c r="AB4" s="3460" t="s">
        <v>1772</v>
      </c>
      <c r="AC4" s="3459" t="s">
        <v>1773</v>
      </c>
    </row>
    <row r="5" spans="1:29" ht="15">
      <c r="A5" s="348"/>
      <c r="B5" s="349"/>
      <c r="C5" s="3480" t="s">
        <v>1673</v>
      </c>
      <c r="D5" s="3481"/>
      <c r="E5" s="3516" t="str">
        <f>库房案例!K2</f>
        <v>九龙花园</v>
      </c>
      <c r="F5" s="3489"/>
      <c r="G5" s="3480" t="str">
        <f>库房案例!K4</f>
        <v>双龙南里</v>
      </c>
      <c r="H5" s="3481"/>
      <c r="I5" s="3480" t="str">
        <f>库房案例!K9</f>
        <v>南新园</v>
      </c>
      <c r="J5" s="3481"/>
      <c r="K5" s="537"/>
      <c r="L5" s="2485"/>
      <c r="M5" s="2486"/>
      <c r="N5" s="2486"/>
      <c r="O5" s="2486"/>
      <c r="P5" s="3468"/>
      <c r="Q5" s="3469"/>
      <c r="R5" s="3474"/>
      <c r="S5" s="3475"/>
      <c r="T5" s="3474"/>
      <c r="U5" s="3475"/>
      <c r="V5" s="3445"/>
      <c r="W5" s="3445"/>
      <c r="X5" s="1265"/>
      <c r="Y5" s="3474"/>
      <c r="Z5" s="3475"/>
      <c r="AA5" s="3460"/>
      <c r="AB5" s="3460"/>
      <c r="AC5" s="3460"/>
    </row>
    <row r="6" spans="1:29" ht="15.75" thickBot="1">
      <c r="A6" s="350"/>
      <c r="B6" s="351"/>
      <c r="C6" s="3478" t="s">
        <v>1677</v>
      </c>
      <c r="D6" s="3479"/>
      <c r="E6" s="3486" t="s">
        <v>1677</v>
      </c>
      <c r="F6" s="3487"/>
      <c r="G6" s="3478" t="s">
        <v>1677</v>
      </c>
      <c r="H6" s="3479"/>
      <c r="I6" s="3478" t="s">
        <v>1677</v>
      </c>
      <c r="J6" s="3479"/>
      <c r="K6" s="537" t="s">
        <v>1678</v>
      </c>
      <c r="L6" s="2485"/>
      <c r="M6" s="2486"/>
      <c r="N6" s="2486"/>
      <c r="O6" s="2486"/>
      <c r="P6" s="3470"/>
      <c r="Q6" s="3471"/>
      <c r="R6" s="3474"/>
      <c r="S6" s="3475"/>
      <c r="T6" s="3476"/>
      <c r="U6" s="3477"/>
      <c r="V6" s="3445"/>
      <c r="W6" s="3445"/>
      <c r="X6" s="1265"/>
      <c r="Y6" s="3476"/>
      <c r="Z6" s="3477"/>
      <c r="AA6" s="3461"/>
      <c r="AB6" s="3461"/>
      <c r="AC6" s="3461"/>
    </row>
    <row r="7" spans="1:29" s="102" customFormat="1" ht="15.75" thickBot="1">
      <c r="A7" s="352" t="s">
        <v>1679</v>
      </c>
      <c r="B7" s="353"/>
      <c r="C7" s="354">
        <f>'数据-取费表'!B2</f>
        <v>45352</v>
      </c>
      <c r="D7" s="355">
        <v>100</v>
      </c>
      <c r="E7" s="356">
        <v>45200</v>
      </c>
      <c r="F7" s="357">
        <f>SUMIF(46:46,YEAR(E7)&amp;"-"&amp;MONTH(E7),47:47)</f>
        <v>0</v>
      </c>
      <c r="G7" s="1822">
        <v>45231</v>
      </c>
      <c r="H7" s="355">
        <f>SUMIF(46:46,YEAR(G7)&amp;"-"&amp;MONTH(G7),47:47)</f>
        <v>0</v>
      </c>
      <c r="I7" s="356">
        <v>45170</v>
      </c>
      <c r="J7" s="355">
        <f>SUMIF(46:46,YEAR(I7)&amp;"-"&amp;MONTH(I7),47:47)</f>
        <v>0</v>
      </c>
      <c r="K7" s="38"/>
      <c r="L7" s="2487"/>
      <c r="M7" s="2438"/>
      <c r="N7" s="2438"/>
      <c r="O7" s="2438"/>
      <c r="P7" s="3482" t="s">
        <v>1680</v>
      </c>
      <c r="Q7" s="3484"/>
      <c r="R7" s="664" t="s">
        <v>14</v>
      </c>
      <c r="S7" s="665">
        <f t="shared" ref="S7:S14" si="0">F7</f>
        <v>0</v>
      </c>
      <c r="T7" s="664" t="s">
        <v>14</v>
      </c>
      <c r="U7" s="665">
        <f t="shared" ref="U7:U14" si="1">H7</f>
        <v>0</v>
      </c>
      <c r="V7" s="664" t="s">
        <v>14</v>
      </c>
      <c r="W7" s="665">
        <f t="shared" ref="W7:W14" si="2">J7</f>
        <v>0</v>
      </c>
      <c r="X7" s="666"/>
      <c r="Y7" s="3482" t="s">
        <v>1680</v>
      </c>
      <c r="Z7" s="3483"/>
      <c r="AA7" s="50" t="e">
        <f>D7/F7</f>
        <v>#DIV/0!</v>
      </c>
      <c r="AB7" s="50" t="e">
        <f>D7/H7</f>
        <v>#DIV/0!</v>
      </c>
      <c r="AC7" s="50" t="e">
        <f>D7/J7</f>
        <v>#DIV/0!</v>
      </c>
    </row>
    <row r="8" spans="1:29" s="102" customFormat="1" ht="15.75" thickBot="1">
      <c r="A8" s="352" t="s">
        <v>1681</v>
      </c>
      <c r="B8" s="353"/>
      <c r="C8" s="358" t="s">
        <v>3547</v>
      </c>
      <c r="D8" s="355">
        <v>100</v>
      </c>
      <c r="E8" s="358" t="s">
        <v>3548</v>
      </c>
      <c r="F8" s="357">
        <f>SUMIF(49:49,E8,50:50)-SUMIF(49:49,C8,50:50)+100</f>
        <v>102</v>
      </c>
      <c r="G8" s="358" t="s">
        <v>3548</v>
      </c>
      <c r="H8" s="355">
        <f>SUMIF(49:49,G8,50:50)-SUMIF(49:49,C8,50:50)+100</f>
        <v>102</v>
      </c>
      <c r="I8" s="358" t="s">
        <v>3548</v>
      </c>
      <c r="J8" s="355">
        <f>SUMIF(49:49,I8,50:50)-SUMIF(49:49,C8,50:50)+100</f>
        <v>102</v>
      </c>
      <c r="K8" s="38"/>
      <c r="L8" s="2487"/>
      <c r="M8" s="2438"/>
      <c r="N8" s="2438"/>
      <c r="O8" s="2438"/>
      <c r="P8" s="3482" t="s">
        <v>1683</v>
      </c>
      <c r="Q8" s="3483"/>
      <c r="R8" s="664" t="s">
        <v>14</v>
      </c>
      <c r="S8" s="665">
        <f t="shared" si="0"/>
        <v>102</v>
      </c>
      <c r="T8" s="664" t="s">
        <v>14</v>
      </c>
      <c r="U8" s="665">
        <f t="shared" si="1"/>
        <v>102</v>
      </c>
      <c r="V8" s="664" t="s">
        <v>14</v>
      </c>
      <c r="W8" s="665">
        <f t="shared" si="2"/>
        <v>102</v>
      </c>
      <c r="X8" s="666"/>
      <c r="Y8" s="3482" t="s">
        <v>1683</v>
      </c>
      <c r="Z8" s="3483"/>
      <c r="AA8" s="50">
        <f t="shared" ref="AA8:AA34" si="3">D8/F8</f>
        <v>0.98039215686274506</v>
      </c>
      <c r="AB8" s="50">
        <f t="shared" ref="AB8:AB34" si="4">D8/H8</f>
        <v>0.98039215686274506</v>
      </c>
      <c r="AC8" s="50">
        <f t="shared" ref="AC8:AC34" si="5">D8/J8</f>
        <v>0.98039215686274506</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44" t="s">
        <v>1686</v>
      </c>
      <c r="Q9" s="530" t="str">
        <f t="shared" ref="Q9:Q14" si="6">B9</f>
        <v>用途</v>
      </c>
      <c r="R9" s="664" t="s">
        <v>14</v>
      </c>
      <c r="S9" s="665">
        <f t="shared" si="0"/>
        <v>100</v>
      </c>
      <c r="T9" s="664" t="s">
        <v>14</v>
      </c>
      <c r="U9" s="665">
        <f t="shared" si="1"/>
        <v>100</v>
      </c>
      <c r="V9" s="664" t="s">
        <v>14</v>
      </c>
      <c r="W9" s="665">
        <f t="shared" si="2"/>
        <v>100</v>
      </c>
      <c r="X9" s="666"/>
      <c r="Y9" s="3308"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44"/>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44"/>
      <c r="Q11" s="530">
        <f t="shared" si="6"/>
        <v>111</v>
      </c>
      <c r="R11" s="664" t="s">
        <v>14</v>
      </c>
      <c r="S11" s="665">
        <f t="shared" si="0"/>
        <v>100</v>
      </c>
      <c r="T11" s="664" t="s">
        <v>14</v>
      </c>
      <c r="U11" s="665">
        <f t="shared" si="1"/>
        <v>100</v>
      </c>
      <c r="V11" s="664" t="s">
        <v>14</v>
      </c>
      <c r="W11" s="665">
        <f t="shared" si="2"/>
        <v>100</v>
      </c>
      <c r="X11" s="666"/>
      <c r="Y11" s="330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44"/>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44"/>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142.5">
      <c r="A14" s="379" t="s">
        <v>1690</v>
      </c>
      <c r="B14" s="58" t="s">
        <v>1833</v>
      </c>
      <c r="C14" s="1819" t="str">
        <f>IF(B1="工业",估价对象房地状况!G4,估价对象房地状况!C6)</f>
        <v>估价对象周边有305路、320路、365路、432路、614路、982路等多条公交线路，距离地铁13号线上地站约950米，周边道路网线较密集，通达度较好。综合评价交通便捷度较好。</v>
      </c>
      <c r="D14" s="380">
        <v>100</v>
      </c>
      <c r="E14" s="381"/>
      <c r="F14" s="382">
        <f>SUMIF(61:61,E15,62:62)-SUMIF(61:61,C15,62:62)+100</f>
        <v>100</v>
      </c>
      <c r="G14" s="383"/>
      <c r="H14" s="380">
        <f>SUMIF(61:61,G15,62:62)-SUMIF(61:61,C15,62:62)+100</f>
        <v>100</v>
      </c>
      <c r="I14" s="381"/>
      <c r="J14" s="380">
        <f>SUMIF(61:61,I15,62:62)-SUMIF(61:61,C15,62:62)+100</f>
        <v>100</v>
      </c>
      <c r="K14" s="540">
        <v>1</v>
      </c>
      <c r="L14" s="2491"/>
      <c r="M14" s="2486"/>
      <c r="N14" s="2486"/>
      <c r="O14" s="2541"/>
      <c r="P14" s="3451" t="s">
        <v>1691</v>
      </c>
      <c r="Q14" s="1263" t="str">
        <f t="shared" si="6"/>
        <v>交通便捷度</v>
      </c>
      <c r="R14" s="667" t="s">
        <v>14</v>
      </c>
      <c r="S14" s="668">
        <f t="shared" si="0"/>
        <v>100</v>
      </c>
      <c r="T14" s="667" t="s">
        <v>14</v>
      </c>
      <c r="U14" s="668">
        <f t="shared" si="1"/>
        <v>100</v>
      </c>
      <c r="V14" s="667" t="s">
        <v>14</v>
      </c>
      <c r="W14" s="668">
        <f t="shared" si="2"/>
        <v>100</v>
      </c>
      <c r="X14" s="1265"/>
      <c r="Y14" s="3451" t="s">
        <v>1691</v>
      </c>
      <c r="Z14" s="1264" t="str">
        <f t="shared" si="7"/>
        <v>交通便捷度</v>
      </c>
      <c r="AA14" s="1264">
        <f t="shared" si="3"/>
        <v>1</v>
      </c>
      <c r="AB14" s="1264">
        <f t="shared" si="4"/>
        <v>1</v>
      </c>
      <c r="AC14" s="1264">
        <f t="shared" si="5"/>
        <v>1</v>
      </c>
    </row>
    <row r="15" spans="1:29" ht="15">
      <c r="A15" s="367"/>
      <c r="B15" s="385"/>
      <c r="C15" s="386" t="s">
        <v>3520</v>
      </c>
      <c r="D15" s="387"/>
      <c r="E15" s="386" t="s">
        <v>3520</v>
      </c>
      <c r="F15" s="388"/>
      <c r="G15" s="386" t="s">
        <v>3520</v>
      </c>
      <c r="H15" s="389"/>
      <c r="I15" s="386" t="s">
        <v>3520</v>
      </c>
      <c r="J15" s="387"/>
      <c r="K15" s="541"/>
      <c r="L15" s="2491"/>
      <c r="M15" s="2486"/>
      <c r="N15" s="2486"/>
      <c r="O15" s="2541"/>
      <c r="P15" s="3452"/>
      <c r="Q15" s="1263"/>
      <c r="R15" s="667"/>
      <c r="S15" s="668"/>
      <c r="T15" s="667"/>
      <c r="U15" s="668"/>
      <c r="V15" s="667"/>
      <c r="W15" s="668"/>
      <c r="X15" s="1265"/>
      <c r="Y15" s="3452"/>
      <c r="Z15" s="1264"/>
      <c r="AA15" s="1264">
        <v>1</v>
      </c>
      <c r="AB15" s="1264">
        <v>1</v>
      </c>
      <c r="AC15" s="1264">
        <v>1</v>
      </c>
    </row>
    <row r="16" spans="1:29" ht="63" customHeight="1">
      <c r="A16" s="367"/>
      <c r="B16" s="390" t="s">
        <v>1812</v>
      </c>
      <c r="C16" s="1754" t="str">
        <f>IF(B1="工业",估价对象房地状况!G5,估价对象房地状况!C7)</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52"/>
      <c r="Q16" s="1263" t="str">
        <f>B16</f>
        <v>公共配套设施</v>
      </c>
      <c r="R16" s="667" t="s">
        <v>14</v>
      </c>
      <c r="S16" s="668">
        <f>F16</f>
        <v>100</v>
      </c>
      <c r="T16" s="667" t="s">
        <v>14</v>
      </c>
      <c r="U16" s="668">
        <f>H16</f>
        <v>100</v>
      </c>
      <c r="V16" s="667" t="s">
        <v>14</v>
      </c>
      <c r="W16" s="668">
        <f>J16</f>
        <v>100</v>
      </c>
      <c r="X16" s="1265"/>
      <c r="Y16" s="3452"/>
      <c r="Z16" s="1264" t="str">
        <f>Q16</f>
        <v>公共配套设施</v>
      </c>
      <c r="AA16" s="1264">
        <f t="shared" si="3"/>
        <v>1</v>
      </c>
      <c r="AB16" s="1264">
        <f t="shared" si="4"/>
        <v>1</v>
      </c>
      <c r="AC16" s="1264">
        <f t="shared" si="5"/>
        <v>1</v>
      </c>
    </row>
    <row r="17" spans="1:29" ht="15">
      <c r="A17" s="367"/>
      <c r="B17" s="395"/>
      <c r="C17" s="1755" t="s">
        <v>3520</v>
      </c>
      <c r="D17" s="387"/>
      <c r="E17" s="1755" t="s">
        <v>3520</v>
      </c>
      <c r="F17" s="388"/>
      <c r="G17" s="1755" t="s">
        <v>3520</v>
      </c>
      <c r="H17" s="387"/>
      <c r="I17" s="1755" t="s">
        <v>3520</v>
      </c>
      <c r="J17" s="387"/>
      <c r="K17" s="541"/>
      <c r="L17" s="2491"/>
      <c r="M17" s="2486"/>
      <c r="N17" s="2486"/>
      <c r="O17" s="2541"/>
      <c r="P17" s="3452"/>
      <c r="Q17" s="1263"/>
      <c r="R17" s="667"/>
      <c r="S17" s="668"/>
      <c r="T17" s="667"/>
      <c r="U17" s="668"/>
      <c r="V17" s="667"/>
      <c r="W17" s="668"/>
      <c r="X17" s="1265"/>
      <c r="Y17" s="3452"/>
      <c r="Z17" s="1264"/>
      <c r="AA17" s="1264">
        <v>1</v>
      </c>
      <c r="AB17" s="1264">
        <v>1</v>
      </c>
      <c r="AC17" s="1264">
        <v>1</v>
      </c>
    </row>
    <row r="18" spans="1:29" ht="28.5">
      <c r="A18" s="367"/>
      <c r="B18" s="586" t="s">
        <v>1813</v>
      </c>
      <c r="C18" s="1754" t="str">
        <f>IF(B1="工业",估价对象房地状况!G6,估价对象房地状况!C8)</f>
        <v>估价对象所在区域基础设施水平-七通</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52"/>
      <c r="Q18" s="1263" t="str">
        <f>B18</f>
        <v>基础设施水平</v>
      </c>
      <c r="R18" s="667" t="s">
        <v>14</v>
      </c>
      <c r="S18" s="668">
        <f>F18</f>
        <v>100</v>
      </c>
      <c r="T18" s="667" t="s">
        <v>14</v>
      </c>
      <c r="U18" s="668">
        <f>H18</f>
        <v>100</v>
      </c>
      <c r="V18" s="667" t="s">
        <v>14</v>
      </c>
      <c r="W18" s="668">
        <f>J18</f>
        <v>100</v>
      </c>
      <c r="X18" s="1265"/>
      <c r="Y18" s="3452"/>
      <c r="Z18" s="1264" t="str">
        <f>Q18</f>
        <v>基础设施水平</v>
      </c>
      <c r="AA18" s="1264">
        <f t="shared" ref="AA18" si="8">D18/F18</f>
        <v>1</v>
      </c>
      <c r="AB18" s="1264">
        <f t="shared" ref="AB18" si="9">D18/H18</f>
        <v>1</v>
      </c>
      <c r="AC18" s="1264">
        <f t="shared" ref="AC18" si="10">D18/J18</f>
        <v>1</v>
      </c>
    </row>
    <row r="19" spans="1:29" ht="15">
      <c r="A19" s="367"/>
      <c r="B19" s="586"/>
      <c r="C19" s="1755" t="s">
        <v>3529</v>
      </c>
      <c r="D19" s="389"/>
      <c r="E19" s="1755" t="s">
        <v>3529</v>
      </c>
      <c r="F19" s="392"/>
      <c r="G19" s="1755" t="s">
        <v>3529</v>
      </c>
      <c r="H19" s="387"/>
      <c r="I19" s="1755" t="s">
        <v>3529</v>
      </c>
      <c r="J19" s="387"/>
      <c r="K19" s="1064"/>
      <c r="L19" s="2491"/>
      <c r="M19" s="2486"/>
      <c r="N19" s="2486"/>
      <c r="O19" s="2541"/>
      <c r="P19" s="3452"/>
      <c r="Q19" s="1263"/>
      <c r="R19" s="667"/>
      <c r="S19" s="668"/>
      <c r="T19" s="667"/>
      <c r="U19" s="668"/>
      <c r="V19" s="667"/>
      <c r="W19" s="668"/>
      <c r="X19" s="1265"/>
      <c r="Y19" s="3452"/>
      <c r="Z19" s="1264"/>
      <c r="AA19" s="1264">
        <v>1</v>
      </c>
      <c r="AB19" s="1264">
        <v>1</v>
      </c>
      <c r="AC19" s="1264">
        <v>1</v>
      </c>
    </row>
    <row r="20" spans="1:29" ht="57">
      <c r="A20" s="367"/>
      <c r="B20" s="390" t="s">
        <v>1834</v>
      </c>
      <c r="C20" s="1754" t="str">
        <f>IF(B1="工业",估价对象房地状况!G7,估价对象房地状况!C9)</f>
        <v>估价对象周边有树村郊野公园、生态花谷、北京体育大学场等自然人文场所，综合评价环境状况较好。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52"/>
      <c r="Q20" s="1263" t="str">
        <f>B20</f>
        <v>自然及人文环境</v>
      </c>
      <c r="R20" s="667" t="s">
        <v>14</v>
      </c>
      <c r="S20" s="668">
        <f>F20</f>
        <v>100</v>
      </c>
      <c r="T20" s="667" t="s">
        <v>14</v>
      </c>
      <c r="U20" s="668">
        <f>H20</f>
        <v>100</v>
      </c>
      <c r="V20" s="667" t="s">
        <v>14</v>
      </c>
      <c r="W20" s="668">
        <f>J20</f>
        <v>100</v>
      </c>
      <c r="X20" s="1265"/>
      <c r="Y20" s="3452"/>
      <c r="Z20" s="1264" t="str">
        <f>Q20</f>
        <v>自然及人文环境</v>
      </c>
      <c r="AA20" s="1264">
        <f t="shared" si="3"/>
        <v>1</v>
      </c>
      <c r="AB20" s="1264">
        <f t="shared" si="4"/>
        <v>1</v>
      </c>
      <c r="AC20" s="1264">
        <f t="shared" si="5"/>
        <v>1</v>
      </c>
    </row>
    <row r="21" spans="1:29" ht="15">
      <c r="A21" s="367"/>
      <c r="B21" s="395"/>
      <c r="C21" s="386" t="s">
        <v>3520</v>
      </c>
      <c r="D21" s="387"/>
      <c r="E21" s="1755" t="s">
        <v>3520</v>
      </c>
      <c r="F21" s="388"/>
      <c r="G21" s="1755" t="s">
        <v>3520</v>
      </c>
      <c r="H21" s="387"/>
      <c r="I21" s="1755" t="s">
        <v>3520</v>
      </c>
      <c r="J21" s="387"/>
      <c r="K21" s="541"/>
      <c r="L21" s="2491"/>
      <c r="M21" s="2486"/>
      <c r="N21" s="2486"/>
      <c r="O21" s="2541"/>
      <c r="P21" s="3452"/>
      <c r="Q21" s="1263"/>
      <c r="R21" s="667"/>
      <c r="S21" s="668"/>
      <c r="T21" s="667"/>
      <c r="U21" s="668"/>
      <c r="V21" s="667"/>
      <c r="W21" s="668"/>
      <c r="X21" s="1265"/>
      <c r="Y21" s="345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52"/>
      <c r="Q22" s="1263" t="str">
        <f>B22</f>
        <v>楼层</v>
      </c>
      <c r="R22" s="667" t="s">
        <v>14</v>
      </c>
      <c r="S22" s="668">
        <f>F22</f>
        <v>100</v>
      </c>
      <c r="T22" s="667" t="s">
        <v>14</v>
      </c>
      <c r="U22" s="668">
        <f>H22</f>
        <v>100</v>
      </c>
      <c r="V22" s="667" t="s">
        <v>14</v>
      </c>
      <c r="W22" s="668">
        <f>J22</f>
        <v>100</v>
      </c>
      <c r="X22" s="1265"/>
      <c r="Y22" s="3452"/>
      <c r="Z22" s="1264" t="str">
        <f>Q22</f>
        <v>楼层</v>
      </c>
      <c r="AA22" s="1264">
        <f t="shared" si="3"/>
        <v>1</v>
      </c>
      <c r="AB22" s="1264">
        <f t="shared" si="4"/>
        <v>1</v>
      </c>
      <c r="AC22" s="1264">
        <f t="shared" si="5"/>
        <v>1</v>
      </c>
    </row>
    <row r="23" spans="1:29" ht="15" hidden="1">
      <c r="A23" s="348"/>
      <c r="B23" s="3208" t="s">
        <v>3543</v>
      </c>
      <c r="C23" s="3210" t="s">
        <v>3544</v>
      </c>
      <c r="D23" s="374">
        <v>100</v>
      </c>
      <c r="E23" s="3209" t="s">
        <v>3544</v>
      </c>
      <c r="F23" s="400">
        <f>SUMIF(71:71,E23,72:72)-SUMIF(71:71,C23,72:72)+100</f>
        <v>100</v>
      </c>
      <c r="G23" s="3209" t="s">
        <v>3544</v>
      </c>
      <c r="H23" s="374">
        <f>SUMIF(71:71,G23,72:72)-SUMIF(71:71,C23,72:72)+100</f>
        <v>100</v>
      </c>
      <c r="I23" s="3209" t="s">
        <v>3544</v>
      </c>
      <c r="J23" s="374">
        <f>SUMIF(71:71,I23,72:72)-SUMIF(71:71,C23,72:72)+100</f>
        <v>100</v>
      </c>
      <c r="K23" s="539"/>
      <c r="L23" s="2491"/>
      <c r="M23" s="2486"/>
      <c r="N23" s="2486"/>
      <c r="O23" s="2541"/>
      <c r="P23" s="3452"/>
      <c r="Q23" s="1263" t="str">
        <f>B23</f>
        <v>临路情况</v>
      </c>
      <c r="R23" s="667" t="s">
        <v>14</v>
      </c>
      <c r="S23" s="668">
        <f>F23</f>
        <v>100</v>
      </c>
      <c r="T23" s="667" t="s">
        <v>14</v>
      </c>
      <c r="U23" s="668">
        <f>H23</f>
        <v>100</v>
      </c>
      <c r="V23" s="667" t="s">
        <v>14</v>
      </c>
      <c r="W23" s="668">
        <f>J23</f>
        <v>100</v>
      </c>
      <c r="X23" s="1265"/>
      <c r="Y23" s="3452"/>
      <c r="Z23" s="1264" t="str">
        <f>Q23</f>
        <v>临路情况</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52"/>
      <c r="Q24" s="1263">
        <f t="shared" ref="Q24:Q34" si="11">B24</f>
        <v>111</v>
      </c>
      <c r="R24" s="667" t="s">
        <v>14</v>
      </c>
      <c r="S24" s="668">
        <f>F24</f>
        <v>100</v>
      </c>
      <c r="T24" s="667" t="s">
        <v>14</v>
      </c>
      <c r="U24" s="668">
        <f>H24</f>
        <v>100</v>
      </c>
      <c r="V24" s="667" t="s">
        <v>14</v>
      </c>
      <c r="W24" s="668">
        <f>J24</f>
        <v>100</v>
      </c>
      <c r="X24" s="1265"/>
      <c r="Y24" s="345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8"/>
      <c r="N25" s="2438"/>
      <c r="O25" s="2539"/>
      <c r="P25" s="3452"/>
      <c r="Q25" s="530">
        <f t="shared" si="11"/>
        <v>111</v>
      </c>
      <c r="R25" s="664" t="s">
        <v>14</v>
      </c>
      <c r="S25" s="665">
        <f>F25</f>
        <v>100</v>
      </c>
      <c r="T25" s="664" t="s">
        <v>14</v>
      </c>
      <c r="U25" s="665">
        <f>H25</f>
        <v>100</v>
      </c>
      <c r="V25" s="664" t="s">
        <v>14</v>
      </c>
      <c r="W25" s="665">
        <f>J25</f>
        <v>100</v>
      </c>
      <c r="X25" s="666"/>
      <c r="Y25" s="3452"/>
      <c r="Z25" s="50">
        <f>Q25</f>
        <v>111</v>
      </c>
      <c r="AA25" s="1264">
        <f>D25/F25</f>
        <v>1</v>
      </c>
      <c r="AB25" s="1264">
        <f>D25/H25</f>
        <v>1</v>
      </c>
      <c r="AC25" s="1264">
        <f>D25/J25</f>
        <v>1</v>
      </c>
    </row>
    <row r="26" spans="1:29" ht="28.5">
      <c r="A26" s="404" t="s">
        <v>1694</v>
      </c>
      <c r="B26" s="60" t="s">
        <v>1838</v>
      </c>
      <c r="C26" s="1764" t="s">
        <v>3521</v>
      </c>
      <c r="D26" s="405">
        <v>100</v>
      </c>
      <c r="E26" s="1764" t="s">
        <v>3521</v>
      </c>
      <c r="F26" s="587">
        <f>SUMIF(77:77,E26,78:78)-SUMIF(77:77,C26,78:78)+100</f>
        <v>100</v>
      </c>
      <c r="G26" s="1764" t="s">
        <v>3520</v>
      </c>
      <c r="H26" s="405">
        <f>SUMIF(77:77,G26,78:78)-SUMIF(77:77,C26,78:78)+100</f>
        <v>102</v>
      </c>
      <c r="I26" s="1764" t="s">
        <v>3520</v>
      </c>
      <c r="J26" s="405">
        <f>SUMIF(77:77,I26,78:78)-SUMIF(77:77,C26,78:78)+100</f>
        <v>102</v>
      </c>
      <c r="K26" s="538">
        <v>2</v>
      </c>
      <c r="L26" s="2491"/>
      <c r="M26" s="2486"/>
      <c r="N26" s="2486"/>
      <c r="O26" s="2541"/>
      <c r="P26" s="3532" t="s">
        <v>1696</v>
      </c>
      <c r="Q26" s="1263" t="str">
        <f t="shared" si="11"/>
        <v>公共部分装修</v>
      </c>
      <c r="R26" s="667" t="s">
        <v>14</v>
      </c>
      <c r="S26" s="668">
        <f t="shared" ref="S26:S34" si="12">F26</f>
        <v>100</v>
      </c>
      <c r="T26" s="667" t="s">
        <v>14</v>
      </c>
      <c r="U26" s="668">
        <f t="shared" ref="U26:U34" si="13">H26</f>
        <v>102</v>
      </c>
      <c r="V26" s="667" t="s">
        <v>14</v>
      </c>
      <c r="W26" s="668">
        <f t="shared" ref="W26:W34" si="14">J26</f>
        <v>102</v>
      </c>
      <c r="X26" s="1265"/>
      <c r="Y26" s="3456" t="s">
        <v>1696</v>
      </c>
      <c r="Z26" s="1264" t="str">
        <f t="shared" ref="Z26:Z34" si="15">Q26</f>
        <v>公共部分装修</v>
      </c>
      <c r="AA26" s="1264">
        <f t="shared" si="3"/>
        <v>1</v>
      </c>
      <c r="AB26" s="1264">
        <f t="shared" si="4"/>
        <v>0.98039215686274506</v>
      </c>
      <c r="AC26" s="1264">
        <f t="shared" si="5"/>
        <v>0.98039215686274506</v>
      </c>
    </row>
    <row r="27" spans="1:29" s="408" customFormat="1" ht="15">
      <c r="A27" s="406"/>
      <c r="B27" s="364" t="s">
        <v>1839</v>
      </c>
      <c r="C27" s="411">
        <v>0.8</v>
      </c>
      <c r="D27" s="119">
        <v>100</v>
      </c>
      <c r="E27" s="412">
        <v>0.75</v>
      </c>
      <c r="F27" s="400">
        <f>LOOKUP(E27,80:80,81:81)-LOOKUP(C27,80:80,81:81)+100</f>
        <v>98</v>
      </c>
      <c r="G27" s="413">
        <v>0.8</v>
      </c>
      <c r="H27" s="374">
        <f>LOOKUP(G27,80:80,81:81)-LOOKUP(C27,80:80,81:81)+100</f>
        <v>100</v>
      </c>
      <c r="I27" s="413">
        <v>0.8</v>
      </c>
      <c r="J27" s="374">
        <f>LOOKUP(I27,80:80,81:81)-LOOKUP(C27,80:80,81:81)+100</f>
        <v>100</v>
      </c>
      <c r="K27" s="538">
        <v>2</v>
      </c>
      <c r="L27" s="2490"/>
      <c r="M27" s="2492"/>
      <c r="N27" s="2492"/>
      <c r="O27" s="2542"/>
      <c r="P27" s="3456"/>
      <c r="Q27" s="531" t="str">
        <f t="shared" si="11"/>
        <v>成新率</v>
      </c>
      <c r="R27" s="669" t="s">
        <v>14</v>
      </c>
      <c r="S27" s="670">
        <f t="shared" si="12"/>
        <v>98</v>
      </c>
      <c r="T27" s="669" t="s">
        <v>14</v>
      </c>
      <c r="U27" s="670">
        <f t="shared" si="13"/>
        <v>100</v>
      </c>
      <c r="V27" s="669" t="s">
        <v>14</v>
      </c>
      <c r="W27" s="670">
        <f t="shared" si="14"/>
        <v>100</v>
      </c>
      <c r="X27" s="671"/>
      <c r="Y27" s="3456"/>
      <c r="Z27" s="672" t="str">
        <f t="shared" si="15"/>
        <v>成新率</v>
      </c>
      <c r="AA27" s="1264">
        <f t="shared" si="3"/>
        <v>1.0204081632653061</v>
      </c>
      <c r="AB27" s="1264">
        <f t="shared" si="4"/>
        <v>1</v>
      </c>
      <c r="AC27" s="1264">
        <f t="shared" si="5"/>
        <v>1</v>
      </c>
    </row>
    <row r="28" spans="1:29" ht="15">
      <c r="A28" s="409"/>
      <c r="B28" s="364" t="s">
        <v>1840</v>
      </c>
      <c r="C28" s="399" t="s">
        <v>3532</v>
      </c>
      <c r="D28" s="374">
        <v>100</v>
      </c>
      <c r="E28" s="399" t="s">
        <v>3532</v>
      </c>
      <c r="F28" s="400">
        <f>SUMIF(82:82,E28,83:83)-SUMIF(82:82,C28,83:83)+100</f>
        <v>100</v>
      </c>
      <c r="G28" s="399" t="s">
        <v>3532</v>
      </c>
      <c r="H28" s="374">
        <f>SUMIF(82:82,G28,83:83)-SUMIF(82:82,C28,83:83)+100</f>
        <v>100</v>
      </c>
      <c r="I28" s="399" t="s">
        <v>3532</v>
      </c>
      <c r="J28" s="374">
        <f>SUMIF(82:82,I28,83:83)-SUMIF(82:82,C28,83:83)+100</f>
        <v>100</v>
      </c>
      <c r="K28" s="538"/>
      <c r="L28" s="2491"/>
      <c r="M28" s="2486"/>
      <c r="N28" s="2486"/>
      <c r="O28" s="2541"/>
      <c r="P28" s="3456"/>
      <c r="Q28" s="1263" t="str">
        <f t="shared" si="11"/>
        <v>物业等级</v>
      </c>
      <c r="R28" s="667" t="s">
        <v>14</v>
      </c>
      <c r="S28" s="668">
        <f t="shared" si="12"/>
        <v>100</v>
      </c>
      <c r="T28" s="667" t="s">
        <v>14</v>
      </c>
      <c r="U28" s="668">
        <f t="shared" si="13"/>
        <v>100</v>
      </c>
      <c r="V28" s="667" t="s">
        <v>14</v>
      </c>
      <c r="W28" s="668">
        <f t="shared" si="14"/>
        <v>100</v>
      </c>
      <c r="X28" s="1265"/>
      <c r="Y28" s="3456"/>
      <c r="Z28" s="1264" t="str">
        <f t="shared" si="15"/>
        <v>物业等级</v>
      </c>
      <c r="AA28" s="1264">
        <f t="shared" si="3"/>
        <v>1</v>
      </c>
      <c r="AB28" s="1264">
        <f t="shared" si="4"/>
        <v>1</v>
      </c>
      <c r="AC28" s="1264">
        <f t="shared" si="5"/>
        <v>1</v>
      </c>
    </row>
    <row r="29" spans="1:29" ht="15">
      <c r="A29" s="409"/>
      <c r="B29" s="364" t="s">
        <v>1860</v>
      </c>
      <c r="C29" s="578" t="s">
        <v>3534</v>
      </c>
      <c r="D29" s="374">
        <v>100</v>
      </c>
      <c r="E29" s="578" t="s">
        <v>3534</v>
      </c>
      <c r="F29" s="400">
        <f>SUMIF(84:84,E29,85:85)-SUMIF(84:84,C29,85:85)+100</f>
        <v>100</v>
      </c>
      <c r="G29" s="578" t="s">
        <v>3534</v>
      </c>
      <c r="H29" s="374">
        <f>SUMIF(84:84,G29,85:85)-SUMIF(84:84,C29,85:85)+100</f>
        <v>100</v>
      </c>
      <c r="I29" s="578" t="s">
        <v>3534</v>
      </c>
      <c r="J29" s="374">
        <f>SUMIF(84:84,I29,85:85)-SUMIF(84:84,C29,85:85)+100</f>
        <v>100</v>
      </c>
      <c r="K29" s="538"/>
      <c r="L29" s="2491"/>
      <c r="M29" s="2486"/>
      <c r="N29" s="2486"/>
      <c r="O29" s="2541"/>
      <c r="P29" s="3456"/>
      <c r="Q29" s="1263" t="str">
        <f t="shared" si="11"/>
        <v>有无电梯</v>
      </c>
      <c r="R29" s="667" t="s">
        <v>14</v>
      </c>
      <c r="S29" s="668">
        <f t="shared" si="12"/>
        <v>100</v>
      </c>
      <c r="T29" s="667" t="s">
        <v>14</v>
      </c>
      <c r="U29" s="668">
        <f t="shared" si="13"/>
        <v>100</v>
      </c>
      <c r="V29" s="667" t="s">
        <v>14</v>
      </c>
      <c r="W29" s="668">
        <f t="shared" si="14"/>
        <v>100</v>
      </c>
      <c r="X29" s="1265"/>
      <c r="Y29" s="3456"/>
      <c r="Z29" s="1264" t="str">
        <f t="shared" si="15"/>
        <v>有无电梯</v>
      </c>
      <c r="AA29" s="1264">
        <f t="shared" si="3"/>
        <v>1</v>
      </c>
      <c r="AB29" s="1264">
        <f t="shared" si="4"/>
        <v>1</v>
      </c>
      <c r="AC29" s="1264">
        <f t="shared" si="5"/>
        <v>1</v>
      </c>
    </row>
    <row r="30" spans="1:29" ht="15">
      <c r="A30" s="409"/>
      <c r="B30" s="364" t="s">
        <v>1861</v>
      </c>
      <c r="C30" s="407">
        <f>'数据-汇总表'!G20</f>
        <v>0</v>
      </c>
      <c r="D30" s="374">
        <v>100</v>
      </c>
      <c r="E30" s="407">
        <f>库房案例!L2</f>
        <v>380</v>
      </c>
      <c r="F30" s="400">
        <f>LOOKUP(E30,87:87,88:88)-LOOKUP(C30,87:87,88:88)+100</f>
        <v>104</v>
      </c>
      <c r="G30" s="407">
        <f>库房案例!L4</f>
        <v>300</v>
      </c>
      <c r="H30" s="374">
        <f>LOOKUP(G30,87:87,88:88)-LOOKUP(C30,87:87,88:88)+100</f>
        <v>104</v>
      </c>
      <c r="I30" s="407">
        <f>库房案例!L9</f>
        <v>75</v>
      </c>
      <c r="J30" s="374">
        <f>LOOKUP(I30,87:87,88:88)-LOOKUP(C30,87:87,88:88)+100</f>
        <v>100</v>
      </c>
      <c r="K30" s="539"/>
      <c r="L30" s="2491"/>
      <c r="M30" s="2486"/>
      <c r="N30" s="2486"/>
      <c r="O30" s="2541"/>
      <c r="P30" s="3456"/>
      <c r="Q30" s="1263" t="str">
        <f t="shared" si="11"/>
        <v>建筑面积</v>
      </c>
      <c r="R30" s="667" t="s">
        <v>14</v>
      </c>
      <c r="S30" s="668">
        <f t="shared" si="12"/>
        <v>104</v>
      </c>
      <c r="T30" s="667" t="s">
        <v>14</v>
      </c>
      <c r="U30" s="668">
        <f t="shared" si="13"/>
        <v>104</v>
      </c>
      <c r="V30" s="667" t="s">
        <v>14</v>
      </c>
      <c r="W30" s="668">
        <f t="shared" si="14"/>
        <v>100</v>
      </c>
      <c r="X30" s="1265"/>
      <c r="Y30" s="3456"/>
      <c r="Z30" s="1264" t="str">
        <f t="shared" si="15"/>
        <v>建筑面积</v>
      </c>
      <c r="AA30" s="1264">
        <f t="shared" si="3"/>
        <v>0.96153846153846156</v>
      </c>
      <c r="AB30" s="1264">
        <f t="shared" si="4"/>
        <v>0.96153846153846156</v>
      </c>
      <c r="AC30" s="1264">
        <f t="shared" si="5"/>
        <v>1</v>
      </c>
    </row>
    <row r="31" spans="1:29" s="102" customFormat="1" ht="15">
      <c r="A31" s="410"/>
      <c r="B31" s="364" t="s">
        <v>1862</v>
      </c>
      <c r="C31" s="578" t="s">
        <v>3510</v>
      </c>
      <c r="D31" s="119">
        <v>100</v>
      </c>
      <c r="E31" s="578" t="s">
        <v>3510</v>
      </c>
      <c r="F31" s="400">
        <f>SUMIF(89:89,E31,90:90)-SUMIF(89:89,C31,90:90)+100</f>
        <v>100</v>
      </c>
      <c r="G31" s="578" t="s">
        <v>3510</v>
      </c>
      <c r="H31" s="374">
        <f>SUMIF(89:89,G31,90:90)-SUMIF(89:89,C31,90:90)+100</f>
        <v>100</v>
      </c>
      <c r="I31" s="578" t="s">
        <v>3510</v>
      </c>
      <c r="J31" s="374">
        <f>SUMIF(89:89,I31,90:90)-SUMIF(89:89,C31,90:90)+100</f>
        <v>100</v>
      </c>
      <c r="K31" s="538"/>
      <c r="L31" s="2487"/>
      <c r="M31" s="2438"/>
      <c r="N31" s="2438"/>
      <c r="O31" s="2539"/>
      <c r="P31" s="3456"/>
      <c r="Q31" s="530" t="str">
        <f t="shared" si="11"/>
        <v>是否封闭</v>
      </c>
      <c r="R31" s="664" t="s">
        <v>14</v>
      </c>
      <c r="S31" s="665">
        <f t="shared" si="12"/>
        <v>100</v>
      </c>
      <c r="T31" s="664" t="s">
        <v>14</v>
      </c>
      <c r="U31" s="665">
        <f t="shared" si="13"/>
        <v>100</v>
      </c>
      <c r="V31" s="664" t="s">
        <v>14</v>
      </c>
      <c r="W31" s="665">
        <f t="shared" si="14"/>
        <v>100</v>
      </c>
      <c r="X31" s="666"/>
      <c r="Y31" s="345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56" t="s">
        <v>1696</v>
      </c>
      <c r="Q32" s="1263">
        <f t="shared" si="11"/>
        <v>111</v>
      </c>
      <c r="R32" s="667" t="s">
        <v>14</v>
      </c>
      <c r="S32" s="668">
        <f t="shared" si="12"/>
        <v>100</v>
      </c>
      <c r="T32" s="667" t="s">
        <v>14</v>
      </c>
      <c r="U32" s="668">
        <f t="shared" si="13"/>
        <v>100</v>
      </c>
      <c r="V32" s="667" t="s">
        <v>14</v>
      </c>
      <c r="W32" s="668">
        <f t="shared" si="14"/>
        <v>100</v>
      </c>
      <c r="X32" s="1265"/>
      <c r="Y32" s="345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56"/>
      <c r="Q33" s="1263">
        <f t="shared" si="11"/>
        <v>111</v>
      </c>
      <c r="R33" s="667" t="s">
        <v>14</v>
      </c>
      <c r="S33" s="668">
        <f t="shared" si="12"/>
        <v>100</v>
      </c>
      <c r="T33" s="667" t="s">
        <v>14</v>
      </c>
      <c r="U33" s="668">
        <f t="shared" si="13"/>
        <v>100</v>
      </c>
      <c r="V33" s="667" t="s">
        <v>14</v>
      </c>
      <c r="W33" s="668">
        <f t="shared" si="14"/>
        <v>100</v>
      </c>
      <c r="X33" s="1265"/>
      <c r="Y33" s="345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56"/>
      <c r="Q34" s="1263">
        <f t="shared" si="11"/>
        <v>111</v>
      </c>
      <c r="R34" s="667" t="s">
        <v>14</v>
      </c>
      <c r="S34" s="668">
        <f t="shared" si="12"/>
        <v>100</v>
      </c>
      <c r="T34" s="667" t="s">
        <v>14</v>
      </c>
      <c r="U34" s="668">
        <f t="shared" si="13"/>
        <v>100</v>
      </c>
      <c r="V34" s="667" t="s">
        <v>14</v>
      </c>
      <c r="W34" s="668">
        <f t="shared" si="14"/>
        <v>100</v>
      </c>
      <c r="X34" s="1265"/>
      <c r="Y34" s="3456"/>
      <c r="Z34" s="1264">
        <f t="shared" si="15"/>
        <v>111</v>
      </c>
      <c r="AA34" s="1264">
        <f t="shared" si="3"/>
        <v>1</v>
      </c>
      <c r="AB34" s="1264">
        <f t="shared" si="4"/>
        <v>1</v>
      </c>
      <c r="AC34" s="1264">
        <f t="shared" si="5"/>
        <v>1</v>
      </c>
    </row>
    <row r="35" spans="1:30" ht="15">
      <c r="A35" s="416" t="s">
        <v>1708</v>
      </c>
      <c r="B35" s="417"/>
      <c r="C35" s="1081" t="s">
        <v>0</v>
      </c>
      <c r="D35" s="418"/>
      <c r="E35" s="419">
        <f>库房案例!M2</f>
        <v>1.2</v>
      </c>
      <c r="F35" s="420"/>
      <c r="G35" s="421">
        <f>库房案例!M4</f>
        <v>1.5</v>
      </c>
      <c r="H35" s="422"/>
      <c r="I35" s="419">
        <f>库房案例!M9</f>
        <v>1.3</v>
      </c>
      <c r="J35" s="422"/>
      <c r="K35" s="674"/>
      <c r="L35" s="2493"/>
      <c r="M35" s="2486"/>
      <c r="N35" s="2486"/>
      <c r="O35" s="2486"/>
      <c r="P35" s="3444" t="str">
        <f>A35</f>
        <v>成交单价（元/平方米）</v>
      </c>
      <c r="Q35" s="3444"/>
      <c r="R35" s="3445">
        <f>E35</f>
        <v>1.2</v>
      </c>
      <c r="S35" s="3445"/>
      <c r="T35" s="3445">
        <f>G35</f>
        <v>1.5</v>
      </c>
      <c r="U35" s="3445"/>
      <c r="V35" s="3445">
        <f>I35</f>
        <v>1.3</v>
      </c>
      <c r="W35" s="3445"/>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44" t="str">
        <f>A36</f>
        <v>比较价值（元/平方米）</v>
      </c>
      <c r="Q36" s="3444"/>
      <c r="R36" s="3445" t="e">
        <f>IF(F1="售价",ROUND(PRODUCT(R35,AA7:AA34),0),ROUND(PRODUCT(R35,AA7:AA34),2))</f>
        <v>#DIV/0!</v>
      </c>
      <c r="S36" s="3445"/>
      <c r="T36" s="3445" t="e">
        <f>IF(F1="售价",ROUND(PRODUCT(T35,AB7:AB34),0),ROUND(PRODUCT(T35,AB7:AB34),2))</f>
        <v>#DIV/0!</v>
      </c>
      <c r="U36" s="3445"/>
      <c r="V36" s="3445" t="e">
        <f>IF(F1="售价",ROUND(PRODUCT(V35,AC7:AC34),0),ROUND(PRODUCT(V35,AC7:AC34),2))</f>
        <v>#DIV/0!</v>
      </c>
      <c r="W36" s="344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46" t="str">
        <f>A37</f>
        <v>估价对象XX用房的比较价值（楼面单价，元/平方米）</v>
      </c>
      <c r="Q37" s="3447"/>
      <c r="R37" s="3533" t="e">
        <f>IF(F1="售价",ROUND(IF(D36="简单平均",AVERAGE(R36:W36),R36*F36+T36*H36+V36*J36),0),ROUND(IF(D36="简单平均",AVERAGE(R36:V36),R36*F36+T36*H36+V36*J36),1))</f>
        <v>#DIV/0!</v>
      </c>
      <c r="S37" s="3533"/>
      <c r="T37" s="3533"/>
      <c r="U37" s="3533"/>
      <c r="V37" s="3533"/>
      <c r="W37" s="353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f>IF(E35&lt;G35,G35/E35-1,E35/G35-1)</f>
        <v>0.25</v>
      </c>
      <c r="F42" s="435" t="str">
        <f>IF(OR(E42&gt;=0.3,E42&lt;=-0.3),"超过30%","")</f>
        <v/>
      </c>
      <c r="G42" s="434">
        <f>IF(G35&lt;I35,I35/G35-1,G35/I35-1)</f>
        <v>0.15384615384615374</v>
      </c>
      <c r="H42" s="435" t="str">
        <f>IF(OR(G42&gt;=0.3,G42&lt;=-0.3),"超过30%","")</f>
        <v/>
      </c>
      <c r="I42" s="434">
        <f>IF(I35&lt;E35,E35/I35-1,I35/E35-1)</f>
        <v>8.3333333333333481E-2</v>
      </c>
      <c r="J42" s="435" t="str">
        <f>IF(OR(I42&gt;=0.3,I42&lt;=-0.3),"超过30%","")</f>
        <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2024-3</v>
      </c>
      <c r="D46" s="1104">
        <f>EDATE(C46,-1)</f>
        <v>45323</v>
      </c>
      <c r="E46" s="1104">
        <f t="shared" ref="E46:O46" si="16">EDATE(D46,-1)</f>
        <v>45292</v>
      </c>
      <c r="F46" s="1104">
        <f t="shared" si="16"/>
        <v>45261</v>
      </c>
      <c r="G46" s="1104">
        <f t="shared" si="16"/>
        <v>45231</v>
      </c>
      <c r="H46" s="1104">
        <f t="shared" si="16"/>
        <v>45200</v>
      </c>
      <c r="I46" s="1104">
        <f t="shared" si="16"/>
        <v>45170</v>
      </c>
      <c r="J46" s="1104">
        <f t="shared" si="16"/>
        <v>45139</v>
      </c>
      <c r="K46" s="1104">
        <f t="shared" si="16"/>
        <v>45108</v>
      </c>
      <c r="L46" s="1104">
        <f t="shared" si="16"/>
        <v>45078</v>
      </c>
      <c r="M46" s="1104">
        <f t="shared" si="16"/>
        <v>45047</v>
      </c>
      <c r="N46" s="1104">
        <f t="shared" si="16"/>
        <v>45017</v>
      </c>
      <c r="O46" s="1104">
        <f t="shared" si="16"/>
        <v>44986</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v>100</v>
      </c>
      <c r="E47" s="446">
        <v>100</v>
      </c>
      <c r="F47" s="446">
        <v>100</v>
      </c>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214" t="s">
        <v>3555</v>
      </c>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v>102</v>
      </c>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99</v>
      </c>
      <c r="E62" s="475">
        <f>D62-$K14</f>
        <v>98</v>
      </c>
      <c r="F62" s="475">
        <f>E62-$K14</f>
        <v>97</v>
      </c>
      <c r="G62" s="475">
        <f>F62-$K14</f>
        <v>96</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t="str">
        <f>B23</f>
        <v>临路情况</v>
      </c>
      <c r="C71" s="3211" t="s">
        <v>3545</v>
      </c>
      <c r="D71" s="3211" t="s">
        <v>3544</v>
      </c>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v>100</v>
      </c>
      <c r="D72" s="467">
        <v>95</v>
      </c>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3207" t="s">
        <v>3530</v>
      </c>
      <c r="D77" s="3207" t="s">
        <v>3531</v>
      </c>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98</v>
      </c>
      <c r="E78" s="475">
        <f t="shared" si="17"/>
        <v>96</v>
      </c>
      <c r="F78" s="475">
        <f t="shared" si="17"/>
        <v>94</v>
      </c>
      <c r="G78" s="475">
        <f t="shared" si="17"/>
        <v>92</v>
      </c>
      <c r="H78" s="475">
        <f t="shared" si="17"/>
        <v>90</v>
      </c>
      <c r="I78" s="475">
        <f t="shared" si="17"/>
        <v>88</v>
      </c>
      <c r="J78" s="475">
        <f t="shared" si="17"/>
        <v>86</v>
      </c>
      <c r="K78" s="475">
        <f t="shared" si="17"/>
        <v>84</v>
      </c>
      <c r="L78" s="475">
        <f t="shared" si="17"/>
        <v>82</v>
      </c>
      <c r="M78" s="476">
        <f t="shared" si="17"/>
        <v>80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102</v>
      </c>
      <c r="E81" s="475">
        <f t="shared" si="18"/>
        <v>104</v>
      </c>
      <c r="F81" s="475">
        <f t="shared" si="18"/>
        <v>106</v>
      </c>
      <c r="G81" s="475">
        <f t="shared" si="18"/>
        <v>108</v>
      </c>
      <c r="H81" s="475">
        <f t="shared" si="18"/>
        <v>110</v>
      </c>
      <c r="I81" s="475">
        <f t="shared" si="18"/>
        <v>112</v>
      </c>
      <c r="J81" s="475">
        <f t="shared" si="18"/>
        <v>114</v>
      </c>
      <c r="K81" s="475">
        <f t="shared" si="18"/>
        <v>116</v>
      </c>
      <c r="L81" s="475">
        <f t="shared" si="18"/>
        <v>118</v>
      </c>
      <c r="M81" s="475">
        <f t="shared" si="18"/>
        <v>120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3207" t="s">
        <v>3533</v>
      </c>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3207" t="s">
        <v>3535</v>
      </c>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0(含)-100</v>
      </c>
      <c r="D86" s="509" t="str">
        <f t="shared" si="21"/>
        <v>100(含)-300</v>
      </c>
      <c r="E86" s="509" t="str">
        <f t="shared" si="21"/>
        <v>300(含)-800</v>
      </c>
      <c r="F86" s="509" t="str">
        <f t="shared" si="21"/>
        <v>800(含)-1000</v>
      </c>
      <c r="G86" s="509" t="str">
        <f t="shared" si="21"/>
        <v>1000(含)-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v>0</v>
      </c>
      <c r="D87" s="6">
        <v>100</v>
      </c>
      <c r="E87" s="6">
        <v>300</v>
      </c>
      <c r="F87" s="6">
        <v>800</v>
      </c>
      <c r="G87" s="6">
        <v>1000</v>
      </c>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v>100</v>
      </c>
      <c r="D88" s="467">
        <v>102</v>
      </c>
      <c r="E88" s="467">
        <v>104</v>
      </c>
      <c r="F88" s="467">
        <v>106</v>
      </c>
      <c r="G88" s="467">
        <v>108</v>
      </c>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3207" t="s">
        <v>3536</v>
      </c>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v>100</v>
      </c>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F731C-C1A5-40AB-8F80-2FBD2178DD3A}">
  <sheetPr>
    <tabColor theme="9" tint="-0.249977111117893"/>
  </sheetPr>
  <dimension ref="K2:M15"/>
  <sheetViews>
    <sheetView topLeftCell="D1" workbookViewId="0">
      <selection activeCell="K14" sqref="K14"/>
    </sheetView>
  </sheetViews>
  <sheetFormatPr defaultRowHeight="13.5"/>
  <sheetData>
    <row r="2" spans="11:13">
      <c r="K2" s="3204" t="s">
        <v>3556</v>
      </c>
      <c r="L2" s="3204">
        <v>380</v>
      </c>
      <c r="M2" s="3204">
        <v>1.2</v>
      </c>
    </row>
    <row r="3" spans="11:13">
      <c r="K3" s="3205" t="s">
        <v>3537</v>
      </c>
      <c r="L3" s="3205">
        <v>200</v>
      </c>
      <c r="M3" s="3205">
        <v>0.8</v>
      </c>
    </row>
    <row r="4" spans="11:13">
      <c r="K4" s="3204" t="s">
        <v>3542</v>
      </c>
      <c r="L4" s="3204">
        <v>300</v>
      </c>
      <c r="M4" s="3204">
        <v>1.5</v>
      </c>
    </row>
    <row r="5" spans="11:13">
      <c r="K5" s="3205" t="s">
        <v>3538</v>
      </c>
      <c r="L5" s="3205">
        <v>80</v>
      </c>
      <c r="M5" s="3205">
        <v>1</v>
      </c>
    </row>
    <row r="6" spans="11:13">
      <c r="K6" s="3205" t="s">
        <v>3509</v>
      </c>
      <c r="L6" s="3205">
        <v>100</v>
      </c>
      <c r="M6" s="3205">
        <v>1</v>
      </c>
    </row>
    <row r="7" spans="11:13">
      <c r="K7" s="3205" t="s">
        <v>3539</v>
      </c>
      <c r="L7" s="3205">
        <v>206</v>
      </c>
      <c r="M7" s="3205">
        <v>0.8</v>
      </c>
    </row>
    <row r="8" spans="11:13">
      <c r="K8" s="3205" t="s">
        <v>3540</v>
      </c>
      <c r="L8" s="3205">
        <v>260</v>
      </c>
      <c r="M8" s="3205">
        <v>1</v>
      </c>
    </row>
    <row r="9" spans="11:13">
      <c r="K9" s="3204" t="s">
        <v>3541</v>
      </c>
      <c r="L9" s="3204">
        <v>75</v>
      </c>
      <c r="M9" s="3204">
        <v>1.3</v>
      </c>
    </row>
    <row r="12" spans="11:13">
      <c r="K12" s="1405"/>
    </row>
    <row r="13" spans="11:13">
      <c r="K13" s="1405"/>
    </row>
    <row r="14" spans="11:13">
      <c r="K14" s="1405"/>
    </row>
    <row r="15" spans="11:13">
      <c r="K15" s="1405"/>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62" t="s">
        <v>1770</v>
      </c>
      <c r="D4" s="3463"/>
      <c r="E4" s="3464" t="s">
        <v>1771</v>
      </c>
      <c r="F4" s="3465"/>
      <c r="G4" s="3462" t="s">
        <v>1772</v>
      </c>
      <c r="H4" s="3463"/>
      <c r="I4" s="3462" t="s">
        <v>1773</v>
      </c>
      <c r="J4" s="3463"/>
      <c r="K4" s="537" t="s">
        <v>1774</v>
      </c>
      <c r="L4" s="2485"/>
      <c r="M4" s="2486"/>
      <c r="N4" s="2486"/>
      <c r="O4" s="2486"/>
      <c r="P4" s="3466" t="s">
        <v>1775</v>
      </c>
      <c r="Q4" s="3467"/>
      <c r="R4" s="3472" t="s">
        <v>1771</v>
      </c>
      <c r="S4" s="3473"/>
      <c r="T4" s="3472" t="s">
        <v>1772</v>
      </c>
      <c r="U4" s="3473"/>
      <c r="V4" s="3445" t="s">
        <v>1773</v>
      </c>
      <c r="W4" s="3445"/>
      <c r="X4" s="1265"/>
      <c r="Y4" s="3472" t="s">
        <v>1775</v>
      </c>
      <c r="Z4" s="3473"/>
      <c r="AA4" s="3459" t="s">
        <v>1771</v>
      </c>
      <c r="AB4" s="3460" t="s">
        <v>1772</v>
      </c>
      <c r="AC4" s="3459" t="s">
        <v>1773</v>
      </c>
    </row>
    <row r="5" spans="1:29" ht="15">
      <c r="A5" s="348"/>
      <c r="B5" s="349"/>
      <c r="C5" s="3480" t="s">
        <v>1673</v>
      </c>
      <c r="D5" s="3481"/>
      <c r="E5" s="3516" t="s">
        <v>1674</v>
      </c>
      <c r="F5" s="3489"/>
      <c r="G5" s="3480" t="s">
        <v>1675</v>
      </c>
      <c r="H5" s="3481"/>
      <c r="I5" s="3480" t="s">
        <v>1676</v>
      </c>
      <c r="J5" s="3481"/>
      <c r="K5" s="537"/>
      <c r="L5" s="2485"/>
      <c r="M5" s="2486"/>
      <c r="N5" s="2486"/>
      <c r="O5" s="2486"/>
      <c r="P5" s="3468"/>
      <c r="Q5" s="3469"/>
      <c r="R5" s="3474"/>
      <c r="S5" s="3475"/>
      <c r="T5" s="3474"/>
      <c r="U5" s="3475"/>
      <c r="V5" s="3445"/>
      <c r="W5" s="3445"/>
      <c r="X5" s="1265"/>
      <c r="Y5" s="3474"/>
      <c r="Z5" s="3475"/>
      <c r="AA5" s="3460"/>
      <c r="AB5" s="3460"/>
      <c r="AC5" s="3460"/>
    </row>
    <row r="6" spans="1:29" ht="15.75" thickBot="1">
      <c r="A6" s="350"/>
      <c r="B6" s="351"/>
      <c r="C6" s="3478" t="s">
        <v>1677</v>
      </c>
      <c r="D6" s="3479"/>
      <c r="E6" s="3486" t="s">
        <v>1677</v>
      </c>
      <c r="F6" s="3487"/>
      <c r="G6" s="3478" t="s">
        <v>1677</v>
      </c>
      <c r="H6" s="3479"/>
      <c r="I6" s="3478" t="s">
        <v>1677</v>
      </c>
      <c r="J6" s="3479"/>
      <c r="K6" s="537" t="s">
        <v>1678</v>
      </c>
      <c r="L6" s="2485"/>
      <c r="M6" s="2486"/>
      <c r="N6" s="2486"/>
      <c r="O6" s="2486"/>
      <c r="P6" s="3470"/>
      <c r="Q6" s="3471"/>
      <c r="R6" s="3474"/>
      <c r="S6" s="3475"/>
      <c r="T6" s="3476"/>
      <c r="U6" s="3477"/>
      <c r="V6" s="3445"/>
      <c r="W6" s="3445"/>
      <c r="X6" s="1265"/>
      <c r="Y6" s="3476"/>
      <c r="Z6" s="3477"/>
      <c r="AA6" s="3461"/>
      <c r="AB6" s="3461"/>
      <c r="AC6" s="3461"/>
    </row>
    <row r="7" spans="1:29" s="102" customFormat="1" ht="15.75" thickBot="1">
      <c r="A7" s="352" t="s">
        <v>1679</v>
      </c>
      <c r="B7" s="353"/>
      <c r="C7" s="354">
        <f>'数据-取费表'!B2</f>
        <v>45352</v>
      </c>
      <c r="D7" s="355">
        <v>100</v>
      </c>
      <c r="E7" s="356"/>
      <c r="F7" s="357">
        <f>SUMIF(69:69,YEAR(E7)&amp;"-"&amp;INT((MONTH(E7)+2)/3),70:70)</f>
        <v>0</v>
      </c>
      <c r="G7" s="1822"/>
      <c r="H7" s="355">
        <f>SUMIF(69:69,YEAR(G7)&amp;"-"&amp;INT((MONTH(G7)+2)/3),70:70)</f>
        <v>0</v>
      </c>
      <c r="I7" s="1822"/>
      <c r="J7" s="355">
        <f>SUMIF(69:69,YEAR(I7)&amp;"-"&amp;INT((MONTH(I7)+2)/3),70:70)</f>
        <v>0</v>
      </c>
      <c r="K7" s="38"/>
      <c r="L7" s="2487"/>
      <c r="M7" s="2438"/>
      <c r="N7" s="2438"/>
      <c r="O7" s="2438"/>
      <c r="P7" s="3482" t="s">
        <v>1680</v>
      </c>
      <c r="Q7" s="3484"/>
      <c r="R7" s="664" t="s">
        <v>14</v>
      </c>
      <c r="S7" s="665">
        <f t="shared" ref="S7:S15" si="0">F7</f>
        <v>0</v>
      </c>
      <c r="T7" s="664" t="s">
        <v>14</v>
      </c>
      <c r="U7" s="665">
        <f t="shared" ref="U7:U15" si="1">H7</f>
        <v>0</v>
      </c>
      <c r="V7" s="664" t="s">
        <v>14</v>
      </c>
      <c r="W7" s="665">
        <f t="shared" ref="W7:W15" si="2">J7</f>
        <v>0</v>
      </c>
      <c r="X7" s="666"/>
      <c r="Y7" s="3482" t="s">
        <v>1680</v>
      </c>
      <c r="Z7" s="348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82" t="s">
        <v>1683</v>
      </c>
      <c r="Q8" s="3483"/>
      <c r="R8" s="664" t="s">
        <v>14</v>
      </c>
      <c r="S8" s="665">
        <f t="shared" si="0"/>
        <v>0</v>
      </c>
      <c r="T8" s="664" t="s">
        <v>14</v>
      </c>
      <c r="U8" s="665">
        <f t="shared" si="1"/>
        <v>0</v>
      </c>
      <c r="V8" s="664" t="s">
        <v>14</v>
      </c>
      <c r="W8" s="665">
        <f t="shared" si="2"/>
        <v>0</v>
      </c>
      <c r="X8" s="666"/>
      <c r="Y8" s="3482" t="s">
        <v>1683</v>
      </c>
      <c r="Z8" s="348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8"/>
      <c r="N9" s="2438"/>
      <c r="O9" s="2539"/>
      <c r="P9" s="3444"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131</v>
      </c>
      <c r="G10" s="402"/>
      <c r="H10" s="119">
        <f>ROUND(100/'数据-取费表'!G16,0)</f>
        <v>131</v>
      </c>
      <c r="I10" s="402"/>
      <c r="J10" s="119">
        <f>ROUND(100/'数据-取费表'!G16,0)</f>
        <v>131</v>
      </c>
      <c r="K10" s="592"/>
      <c r="L10" s="2488"/>
      <c r="M10" s="2489"/>
      <c r="N10" s="2489"/>
      <c r="O10" s="2540"/>
      <c r="P10" s="3444"/>
      <c r="Q10" s="530" t="str">
        <f t="shared" si="6"/>
        <v>土地使用年限（年）</v>
      </c>
      <c r="R10" s="664" t="s">
        <v>14</v>
      </c>
      <c r="S10" s="665">
        <f t="shared" si="0"/>
        <v>131</v>
      </c>
      <c r="T10" s="664" t="s">
        <v>14</v>
      </c>
      <c r="U10" s="665">
        <f t="shared" si="1"/>
        <v>131</v>
      </c>
      <c r="V10" s="664" t="s">
        <v>14</v>
      </c>
      <c r="W10" s="665">
        <f t="shared" si="2"/>
        <v>131</v>
      </c>
      <c r="X10" s="666"/>
      <c r="Y10" s="3308"/>
      <c r="Z10" s="50" t="str">
        <f t="shared" si="7"/>
        <v>土地使用年限（年）</v>
      </c>
      <c r="AA10" s="50">
        <f t="shared" si="3"/>
        <v>0.76335877862595425</v>
      </c>
      <c r="AB10" s="50">
        <f t="shared" si="4"/>
        <v>0.76335877862595425</v>
      </c>
      <c r="AC10" s="50">
        <f t="shared" si="5"/>
        <v>0.76335877862595425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44"/>
      <c r="Q11" s="530" t="str">
        <f t="shared" si="6"/>
        <v>容积率</v>
      </c>
      <c r="R11" s="664" t="s">
        <v>14</v>
      </c>
      <c r="S11" s="665" t="e">
        <f t="shared" si="0"/>
        <v>#N/A</v>
      </c>
      <c r="T11" s="664" t="s">
        <v>14</v>
      </c>
      <c r="U11" s="665" t="e">
        <f t="shared" si="1"/>
        <v>#N/A</v>
      </c>
      <c r="V11" s="664" t="s">
        <v>14</v>
      </c>
      <c r="W11" s="665" t="e">
        <f t="shared" si="2"/>
        <v>#N/A</v>
      </c>
      <c r="X11" s="666"/>
      <c r="Y11" s="330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44"/>
      <c r="Q12" s="530" t="str">
        <f t="shared" si="6"/>
        <v>配建</v>
      </c>
      <c r="R12" s="664" t="s">
        <v>14</v>
      </c>
      <c r="S12" s="665">
        <f t="shared" si="0"/>
        <v>100</v>
      </c>
      <c r="T12" s="664" t="s">
        <v>14</v>
      </c>
      <c r="U12" s="665">
        <f t="shared" si="1"/>
        <v>100</v>
      </c>
      <c r="V12" s="664" t="s">
        <v>14</v>
      </c>
      <c r="W12" s="665">
        <f t="shared" si="2"/>
        <v>100</v>
      </c>
      <c r="X12" s="666"/>
      <c r="Y12" s="330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44"/>
      <c r="Q13" s="530">
        <f t="shared" si="6"/>
        <v>111</v>
      </c>
      <c r="R13" s="664" t="s">
        <v>14</v>
      </c>
      <c r="S13" s="665">
        <f t="shared" si="0"/>
        <v>100</v>
      </c>
      <c r="T13" s="664" t="s">
        <v>14</v>
      </c>
      <c r="U13" s="665">
        <f t="shared" si="1"/>
        <v>100</v>
      </c>
      <c r="V13" s="664" t="s">
        <v>14</v>
      </c>
      <c r="W13" s="665">
        <f t="shared" si="2"/>
        <v>100</v>
      </c>
      <c r="X13" s="666"/>
      <c r="Y13" s="3308"/>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44"/>
      <c r="Q14" s="530">
        <f t="shared" si="6"/>
        <v>111</v>
      </c>
      <c r="R14" s="664" t="s">
        <v>14</v>
      </c>
      <c r="S14" s="665">
        <f t="shared" si="0"/>
        <v>100</v>
      </c>
      <c r="T14" s="664" t="s">
        <v>14</v>
      </c>
      <c r="U14" s="665">
        <f t="shared" si="1"/>
        <v>100</v>
      </c>
      <c r="V14" s="664" t="s">
        <v>14</v>
      </c>
      <c r="W14" s="665">
        <f t="shared" si="2"/>
        <v>100</v>
      </c>
      <c r="X14" s="666"/>
      <c r="Y14" s="3308"/>
      <c r="Z14" s="50">
        <f t="shared" si="7"/>
        <v>111</v>
      </c>
      <c r="AA14" s="50">
        <f>D14/F14</f>
        <v>1</v>
      </c>
      <c r="AB14" s="50">
        <f>D14/H14</f>
        <v>1</v>
      </c>
      <c r="AC14" s="50">
        <f>D14/J14</f>
        <v>1</v>
      </c>
    </row>
    <row r="15" spans="1:29" ht="99.7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51" t="s">
        <v>1691</v>
      </c>
      <c r="Q15" s="1263" t="str">
        <f t="shared" si="6"/>
        <v>居住社区成熟度</v>
      </c>
      <c r="R15" s="667" t="s">
        <v>14</v>
      </c>
      <c r="S15" s="668">
        <f t="shared" si="0"/>
        <v>100</v>
      </c>
      <c r="T15" s="667" t="s">
        <v>14</v>
      </c>
      <c r="U15" s="668">
        <f t="shared" si="1"/>
        <v>100</v>
      </c>
      <c r="V15" s="667" t="s">
        <v>14</v>
      </c>
      <c r="W15" s="668">
        <f t="shared" si="2"/>
        <v>100</v>
      </c>
      <c r="X15" s="1265"/>
      <c r="Y15" s="345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52"/>
      <c r="Q16" s="1263"/>
      <c r="R16" s="667"/>
      <c r="S16" s="668"/>
      <c r="T16" s="667"/>
      <c r="U16" s="668"/>
      <c r="V16" s="667"/>
      <c r="W16" s="668"/>
      <c r="X16" s="1265"/>
      <c r="Y16" s="3452"/>
      <c r="Z16" s="1264"/>
      <c r="AA16" s="1264">
        <v>1</v>
      </c>
      <c r="AB16" s="1264">
        <v>1</v>
      </c>
      <c r="AC16" s="1264">
        <v>1</v>
      </c>
    </row>
    <row r="17" spans="1:29" ht="71.25">
      <c r="A17" s="367"/>
      <c r="B17" s="390" t="s">
        <v>1777</v>
      </c>
      <c r="C17" s="1806" t="str">
        <f>估价对象房地状况!C16</f>
        <v>估价对象周边多为住宅、办公配套商业、有华联商厦等商业设施，人流量较大，商业繁华度较好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52"/>
      <c r="Q17" s="1263" t="str">
        <f>B17</f>
        <v>商业繁华度</v>
      </c>
      <c r="R17" s="667" t="s">
        <v>14</v>
      </c>
      <c r="S17" s="668">
        <f>F17</f>
        <v>100</v>
      </c>
      <c r="T17" s="667" t="s">
        <v>14</v>
      </c>
      <c r="U17" s="668">
        <f>H17</f>
        <v>100</v>
      </c>
      <c r="V17" s="667" t="s">
        <v>14</v>
      </c>
      <c r="W17" s="668">
        <f>J17</f>
        <v>100</v>
      </c>
      <c r="X17" s="1265"/>
      <c r="Y17" s="345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52"/>
      <c r="Q18" s="1263"/>
      <c r="R18" s="667"/>
      <c r="S18" s="668"/>
      <c r="T18" s="667"/>
      <c r="U18" s="668"/>
      <c r="V18" s="667"/>
      <c r="W18" s="668"/>
      <c r="X18" s="1265"/>
      <c r="Y18" s="3452"/>
      <c r="Z18" s="1264"/>
      <c r="AA18" s="1264">
        <v>1</v>
      </c>
      <c r="AB18" s="1264">
        <v>1</v>
      </c>
      <c r="AC18" s="1264">
        <v>1</v>
      </c>
    </row>
    <row r="19" spans="1:29" ht="71.2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52"/>
      <c r="Q19" s="1263" t="str">
        <f>B19</f>
        <v>办公集聚程度</v>
      </c>
      <c r="R19" s="667" t="s">
        <v>14</v>
      </c>
      <c r="S19" s="668">
        <f>F19</f>
        <v>100</v>
      </c>
      <c r="T19" s="667" t="s">
        <v>14</v>
      </c>
      <c r="U19" s="668">
        <f>H19</f>
        <v>100</v>
      </c>
      <c r="V19" s="667" t="s">
        <v>14</v>
      </c>
      <c r="W19" s="668">
        <f>J19</f>
        <v>100</v>
      </c>
      <c r="X19" s="1265"/>
      <c r="Y19" s="345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52"/>
      <c r="Q20" s="1263"/>
      <c r="R20" s="667"/>
      <c r="S20" s="668"/>
      <c r="T20" s="667"/>
      <c r="U20" s="668"/>
      <c r="V20" s="667"/>
      <c r="W20" s="668"/>
      <c r="X20" s="1265"/>
      <c r="Y20" s="3452"/>
      <c r="Z20" s="1264"/>
      <c r="AA20" s="1264">
        <v>1</v>
      </c>
      <c r="AB20" s="1264">
        <v>1</v>
      </c>
      <c r="AC20" s="1264">
        <v>1</v>
      </c>
    </row>
    <row r="21" spans="1:29" ht="156.75">
      <c r="A21" s="367"/>
      <c r="B21" s="390" t="s">
        <v>1833</v>
      </c>
      <c r="C21" s="1754" t="str">
        <f>估价对象房地状况!C18</f>
        <v>估价对象周边有305路、320路、365路、432路、614路、982路等多条公交线路，距离地铁13号线上地站约950米，周边道路网线较密集，通达度较好。综合评价交通便捷度较好。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52"/>
      <c r="Q21" s="1263" t="str">
        <f>B21</f>
        <v>交通便捷度</v>
      </c>
      <c r="R21" s="667" t="s">
        <v>14</v>
      </c>
      <c r="S21" s="668">
        <f>F21</f>
        <v>100</v>
      </c>
      <c r="T21" s="667" t="s">
        <v>14</v>
      </c>
      <c r="U21" s="668">
        <f>H21</f>
        <v>100</v>
      </c>
      <c r="V21" s="667" t="s">
        <v>14</v>
      </c>
      <c r="W21" s="668">
        <f>J21</f>
        <v>100</v>
      </c>
      <c r="X21" s="1265"/>
      <c r="Y21" s="345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52"/>
      <c r="Q22" s="1263"/>
      <c r="R22" s="667"/>
      <c r="S22" s="668"/>
      <c r="T22" s="667"/>
      <c r="U22" s="668"/>
      <c r="V22" s="667"/>
      <c r="W22" s="668"/>
      <c r="X22" s="1265"/>
      <c r="Y22" s="345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52"/>
      <c r="Q23" s="1263" t="str">
        <f t="shared" ref="Q23:Q37" si="8">B23</f>
        <v>区域土地利用方向</v>
      </c>
      <c r="R23" s="667" t="s">
        <v>14</v>
      </c>
      <c r="S23" s="668">
        <f>F23</f>
        <v>100</v>
      </c>
      <c r="T23" s="667" t="s">
        <v>14</v>
      </c>
      <c r="U23" s="668">
        <f>H23</f>
        <v>100</v>
      </c>
      <c r="V23" s="667" t="s">
        <v>14</v>
      </c>
      <c r="W23" s="668">
        <f>J23</f>
        <v>100</v>
      </c>
      <c r="X23" s="1265"/>
      <c r="Y23" s="345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52"/>
      <c r="Q24" s="1263"/>
      <c r="R24" s="667"/>
      <c r="S24" s="668"/>
      <c r="T24" s="667"/>
      <c r="U24" s="668"/>
      <c r="V24" s="667"/>
      <c r="W24" s="668"/>
      <c r="X24" s="1265"/>
      <c r="Y24" s="3452"/>
      <c r="Z24" s="1264"/>
      <c r="AA24" s="1264"/>
      <c r="AB24" s="1264"/>
      <c r="AC24" s="1264"/>
    </row>
    <row r="25" spans="1:29" ht="71.25">
      <c r="A25" s="348"/>
      <c r="B25" s="586" t="s">
        <v>1872</v>
      </c>
      <c r="C25" s="1806" t="str">
        <f>估价对象房地状况!C20</f>
        <v>估价对象周边有树村郊野公园、生态花谷、北京体育大学场等自然人文场所，综合评价环境状况较好。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52"/>
      <c r="Q25" s="1263" t="str">
        <f t="shared" si="8"/>
        <v>自然及人文环境状况</v>
      </c>
      <c r="R25" s="667" t="s">
        <v>14</v>
      </c>
      <c r="S25" s="668">
        <f>F25</f>
        <v>100</v>
      </c>
      <c r="T25" s="667" t="s">
        <v>14</v>
      </c>
      <c r="U25" s="668">
        <f>H25</f>
        <v>100</v>
      </c>
      <c r="V25" s="667" t="s">
        <v>14</v>
      </c>
      <c r="W25" s="668">
        <f>J25</f>
        <v>100</v>
      </c>
      <c r="X25" s="1265"/>
      <c r="Y25" s="345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52"/>
      <c r="Q26" s="1263"/>
      <c r="R26" s="667"/>
      <c r="S26" s="668"/>
      <c r="T26" s="667"/>
      <c r="U26" s="668"/>
      <c r="V26" s="667"/>
      <c r="W26" s="668"/>
      <c r="X26" s="1265"/>
      <c r="Y26" s="3452"/>
      <c r="Z26" s="1264"/>
      <c r="AA26" s="1264">
        <v>1</v>
      </c>
      <c r="AB26" s="1264">
        <v>1</v>
      </c>
      <c r="AC26" s="1264">
        <v>1</v>
      </c>
    </row>
    <row r="27" spans="1:29" s="102" customFormat="1" ht="285">
      <c r="A27" s="443"/>
      <c r="B27" s="586" t="s">
        <v>1778</v>
      </c>
      <c r="C27" s="1754" t="str">
        <f>估价对象房地状况!C21</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52"/>
      <c r="Q27" s="530" t="str">
        <f t="shared" si="8"/>
        <v>公共配套设施</v>
      </c>
      <c r="R27" s="664" t="s">
        <v>14</v>
      </c>
      <c r="S27" s="665">
        <f>F27</f>
        <v>100</v>
      </c>
      <c r="T27" s="664" t="s">
        <v>14</v>
      </c>
      <c r="U27" s="665">
        <f>H27</f>
        <v>100</v>
      </c>
      <c r="V27" s="664" t="s">
        <v>14</v>
      </c>
      <c r="W27" s="665">
        <f>J27</f>
        <v>100</v>
      </c>
      <c r="X27" s="666"/>
      <c r="Y27" s="345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8"/>
      <c r="N28" s="2438"/>
      <c r="O28" s="2539"/>
      <c r="P28" s="3452"/>
      <c r="Q28" s="530"/>
      <c r="R28" s="664"/>
      <c r="S28" s="665"/>
      <c r="T28" s="664"/>
      <c r="U28" s="665"/>
      <c r="V28" s="664"/>
      <c r="W28" s="665"/>
      <c r="X28" s="666"/>
      <c r="Y28" s="3452"/>
      <c r="Z28" s="50"/>
      <c r="AA28" s="1264">
        <v>1</v>
      </c>
      <c r="AB28" s="1264">
        <v>1</v>
      </c>
      <c r="AC28" s="1264">
        <v>1</v>
      </c>
    </row>
    <row r="29" spans="1:29" s="102" customFormat="1" ht="42.75">
      <c r="A29" s="443"/>
      <c r="B29" s="586" t="s">
        <v>1779</v>
      </c>
      <c r="C29" s="1754" t="str">
        <f>估价对象房地状况!C22</f>
        <v>估价对象所在区域基础设施水平-七通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52"/>
      <c r="Q29" s="530" t="str">
        <f t="shared" ref="Q29" si="9">B29</f>
        <v>基础设施水平</v>
      </c>
      <c r="R29" s="664" t="s">
        <v>14</v>
      </c>
      <c r="S29" s="665">
        <f>F29</f>
        <v>100</v>
      </c>
      <c r="T29" s="664" t="s">
        <v>14</v>
      </c>
      <c r="U29" s="665">
        <f>H29</f>
        <v>100</v>
      </c>
      <c r="V29" s="664" t="s">
        <v>14</v>
      </c>
      <c r="W29" s="665">
        <f>J29</f>
        <v>100</v>
      </c>
      <c r="X29" s="666"/>
      <c r="Y29" s="345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8"/>
      <c r="N30" s="2438"/>
      <c r="O30" s="2539"/>
      <c r="P30" s="3452"/>
      <c r="Q30" s="530"/>
      <c r="R30" s="664"/>
      <c r="S30" s="665"/>
      <c r="T30" s="664"/>
      <c r="U30" s="665"/>
      <c r="V30" s="664"/>
      <c r="W30" s="665"/>
      <c r="X30" s="666"/>
      <c r="Y30" s="345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5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5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52"/>
      <c r="Q32" s="1263" t="str">
        <f t="shared" si="8"/>
        <v>毗邻道路的类型与等级</v>
      </c>
      <c r="R32" s="667" t="s">
        <v>14</v>
      </c>
      <c r="S32" s="668">
        <f t="shared" si="10"/>
        <v>100</v>
      </c>
      <c r="T32" s="667" t="s">
        <v>14</v>
      </c>
      <c r="U32" s="668">
        <f t="shared" si="11"/>
        <v>100</v>
      </c>
      <c r="V32" s="667" t="s">
        <v>14</v>
      </c>
      <c r="W32" s="668">
        <f t="shared" si="12"/>
        <v>100</v>
      </c>
      <c r="X32" s="1265"/>
      <c r="Y32" s="345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52"/>
      <c r="Q33" s="1263"/>
      <c r="R33" s="667"/>
      <c r="S33" s="668"/>
      <c r="T33" s="667"/>
      <c r="U33" s="668"/>
      <c r="V33" s="667"/>
      <c r="W33" s="668"/>
      <c r="X33" s="1265"/>
      <c r="Y33" s="345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52"/>
      <c r="Q34" s="1263" t="str">
        <f t="shared" si="8"/>
        <v>土地级别</v>
      </c>
      <c r="R34" s="667" t="s">
        <v>14</v>
      </c>
      <c r="S34" s="668">
        <f t="shared" si="10"/>
        <v>100</v>
      </c>
      <c r="T34" s="667" t="s">
        <v>14</v>
      </c>
      <c r="U34" s="668">
        <f t="shared" si="11"/>
        <v>100</v>
      </c>
      <c r="V34" s="667" t="s">
        <v>14</v>
      </c>
      <c r="W34" s="668">
        <f t="shared" si="12"/>
        <v>100</v>
      </c>
      <c r="X34" s="1265"/>
      <c r="Y34" s="345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52"/>
      <c r="Q35" s="1263">
        <f t="shared" si="8"/>
        <v>111</v>
      </c>
      <c r="R35" s="667" t="s">
        <v>14</v>
      </c>
      <c r="S35" s="668">
        <f t="shared" si="10"/>
        <v>100</v>
      </c>
      <c r="T35" s="667" t="s">
        <v>14</v>
      </c>
      <c r="U35" s="668">
        <f t="shared" si="11"/>
        <v>100</v>
      </c>
      <c r="V35" s="667" t="s">
        <v>14</v>
      </c>
      <c r="W35" s="668">
        <f t="shared" si="12"/>
        <v>100</v>
      </c>
      <c r="X35" s="1265"/>
      <c r="Y35" s="345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532" t="s">
        <v>1696</v>
      </c>
      <c r="Q36" s="1263">
        <f t="shared" si="8"/>
        <v>111</v>
      </c>
      <c r="R36" s="667" t="s">
        <v>14</v>
      </c>
      <c r="S36" s="668">
        <f t="shared" si="10"/>
        <v>100</v>
      </c>
      <c r="T36" s="667" t="s">
        <v>14</v>
      </c>
      <c r="U36" s="668">
        <f t="shared" si="11"/>
        <v>100</v>
      </c>
      <c r="V36" s="667" t="s">
        <v>14</v>
      </c>
      <c r="W36" s="668">
        <f t="shared" si="12"/>
        <v>100</v>
      </c>
      <c r="X36" s="1265"/>
      <c r="Y36" s="345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56"/>
      <c r="Q37" s="1263">
        <f t="shared" si="8"/>
        <v>111</v>
      </c>
      <c r="R37" s="669" t="s">
        <v>14</v>
      </c>
      <c r="S37" s="670">
        <f t="shared" si="10"/>
        <v>100</v>
      </c>
      <c r="T37" s="669" t="s">
        <v>14</v>
      </c>
      <c r="U37" s="670">
        <f t="shared" si="11"/>
        <v>100</v>
      </c>
      <c r="V37" s="669" t="s">
        <v>14</v>
      </c>
      <c r="W37" s="670">
        <f t="shared" si="12"/>
        <v>100</v>
      </c>
      <c r="X37" s="671"/>
      <c r="Y37" s="345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56"/>
      <c r="Q38" s="1263" t="str">
        <f>B38</f>
        <v>宗地面积</v>
      </c>
      <c r="R38" s="667" t="s">
        <v>14</v>
      </c>
      <c r="S38" s="668" t="e">
        <f t="shared" si="10"/>
        <v>#N/A</v>
      </c>
      <c r="T38" s="667" t="s">
        <v>14</v>
      </c>
      <c r="U38" s="668" t="e">
        <f t="shared" si="11"/>
        <v>#N/A</v>
      </c>
      <c r="V38" s="667" t="s">
        <v>14</v>
      </c>
      <c r="W38" s="668" t="e">
        <f t="shared" si="12"/>
        <v>#N/A</v>
      </c>
      <c r="X38" s="1265"/>
      <c r="Y38" s="345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56"/>
      <c r="Q39" s="1263" t="str">
        <f t="shared" ref="Q39:Q45" si="14">B39</f>
        <v>宗地形状</v>
      </c>
      <c r="R39" s="667" t="s">
        <v>14</v>
      </c>
      <c r="S39" s="668">
        <f t="shared" si="10"/>
        <v>100</v>
      </c>
      <c r="T39" s="667" t="s">
        <v>14</v>
      </c>
      <c r="U39" s="668">
        <f t="shared" si="11"/>
        <v>100</v>
      </c>
      <c r="V39" s="667" t="s">
        <v>14</v>
      </c>
      <c r="W39" s="668">
        <f t="shared" si="12"/>
        <v>100</v>
      </c>
      <c r="X39" s="1265"/>
      <c r="Y39" s="345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56"/>
      <c r="Q40" s="1263" t="str">
        <f t="shared" si="14"/>
        <v>临街宽度及深度</v>
      </c>
      <c r="R40" s="667" t="s">
        <v>14</v>
      </c>
      <c r="S40" s="668">
        <f t="shared" si="10"/>
        <v>100</v>
      </c>
      <c r="T40" s="667" t="s">
        <v>14</v>
      </c>
      <c r="U40" s="668">
        <f t="shared" si="11"/>
        <v>100</v>
      </c>
      <c r="V40" s="667" t="s">
        <v>14</v>
      </c>
      <c r="W40" s="668">
        <f t="shared" si="12"/>
        <v>100</v>
      </c>
      <c r="X40" s="1265"/>
      <c r="Y40" s="345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8"/>
      <c r="N41" s="2438"/>
      <c r="O41" s="2539"/>
      <c r="P41" s="3456"/>
      <c r="Q41" s="1263" t="str">
        <f t="shared" si="14"/>
        <v>宗地开发程度</v>
      </c>
      <c r="R41" s="664" t="s">
        <v>14</v>
      </c>
      <c r="S41" s="665">
        <f t="shared" si="10"/>
        <v>100</v>
      </c>
      <c r="T41" s="664" t="s">
        <v>14</v>
      </c>
      <c r="U41" s="665">
        <f t="shared" si="11"/>
        <v>100</v>
      </c>
      <c r="V41" s="664" t="s">
        <v>14</v>
      </c>
      <c r="W41" s="665">
        <f t="shared" si="12"/>
        <v>100</v>
      </c>
      <c r="X41" s="666"/>
      <c r="Y41" s="345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56" t="s">
        <v>1696</v>
      </c>
      <c r="Q42" s="1263" t="str">
        <f t="shared" si="14"/>
        <v>工程地质条件</v>
      </c>
      <c r="R42" s="667" t="s">
        <v>14</v>
      </c>
      <c r="S42" s="668">
        <f t="shared" si="10"/>
        <v>100</v>
      </c>
      <c r="T42" s="667" t="s">
        <v>14</v>
      </c>
      <c r="U42" s="668">
        <f t="shared" si="11"/>
        <v>100</v>
      </c>
      <c r="V42" s="667" t="s">
        <v>14</v>
      </c>
      <c r="W42" s="668">
        <f t="shared" si="12"/>
        <v>100</v>
      </c>
      <c r="X42" s="1265"/>
      <c r="Y42" s="345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56"/>
      <c r="Q43" s="1263">
        <f t="shared" si="14"/>
        <v>111</v>
      </c>
      <c r="R43" s="667" t="s">
        <v>14</v>
      </c>
      <c r="S43" s="668">
        <f t="shared" si="10"/>
        <v>100</v>
      </c>
      <c r="T43" s="667" t="s">
        <v>14</v>
      </c>
      <c r="U43" s="668">
        <f t="shared" si="11"/>
        <v>100</v>
      </c>
      <c r="V43" s="667" t="s">
        <v>14</v>
      </c>
      <c r="W43" s="668">
        <f t="shared" si="12"/>
        <v>100</v>
      </c>
      <c r="X43" s="1265"/>
      <c r="Y43" s="345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56"/>
      <c r="Q44" s="1263">
        <f t="shared" si="14"/>
        <v>111</v>
      </c>
      <c r="R44" s="667" t="s">
        <v>14</v>
      </c>
      <c r="S44" s="668">
        <f t="shared" si="10"/>
        <v>100</v>
      </c>
      <c r="T44" s="667" t="s">
        <v>14</v>
      </c>
      <c r="U44" s="668">
        <f t="shared" si="11"/>
        <v>100</v>
      </c>
      <c r="V44" s="667" t="s">
        <v>14</v>
      </c>
      <c r="W44" s="668">
        <f t="shared" si="12"/>
        <v>100</v>
      </c>
      <c r="X44" s="1265"/>
      <c r="Y44" s="345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56"/>
      <c r="Q45" s="1263">
        <f t="shared" si="14"/>
        <v>111</v>
      </c>
      <c r="R45" s="669" t="s">
        <v>14</v>
      </c>
      <c r="S45" s="670">
        <f t="shared" si="10"/>
        <v>100</v>
      </c>
      <c r="T45" s="669" t="s">
        <v>14</v>
      </c>
      <c r="U45" s="670">
        <f t="shared" si="11"/>
        <v>100</v>
      </c>
      <c r="V45" s="669" t="s">
        <v>14</v>
      </c>
      <c r="W45" s="670">
        <f t="shared" si="12"/>
        <v>100</v>
      </c>
      <c r="X45" s="671"/>
      <c r="Y45" s="345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3"/>
      <c r="M46" s="2486"/>
      <c r="N46" s="2486"/>
      <c r="O46" s="2486"/>
      <c r="P46" s="3444" t="str">
        <f>A46</f>
        <v>成交单价</v>
      </c>
      <c r="Q46" s="3444"/>
      <c r="R46" s="3445">
        <f>E46</f>
        <v>0</v>
      </c>
      <c r="S46" s="3445"/>
      <c r="T46" s="3445">
        <f>G46</f>
        <v>0</v>
      </c>
      <c r="U46" s="3445"/>
      <c r="V46" s="3445">
        <f>I46</f>
        <v>0</v>
      </c>
      <c r="W46" s="344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44" t="str">
        <f>A47</f>
        <v>比较价值（元/平方米）</v>
      </c>
      <c r="Q47" s="3444"/>
      <c r="R47" s="3555" t="e">
        <f>ROUND(PRODUCT(R46,AA7:AA45),0)</f>
        <v>#DIV/0!</v>
      </c>
      <c r="S47" s="3555"/>
      <c r="T47" s="3555" t="e">
        <f>ROUND(PRODUCT(T46,AB7:AB45),0)</f>
        <v>#DIV/0!</v>
      </c>
      <c r="U47" s="3555"/>
      <c r="V47" s="3555" t="e">
        <f>ROUND(PRODUCT(V46,AC7:AC45),0)</f>
        <v>#DIV/0!</v>
      </c>
      <c r="W47" s="355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46" t="str">
        <f>A48</f>
        <v>估价对象XX用房的比较价值（楼面单价，元/平方米）</v>
      </c>
      <c r="Q48" s="3447"/>
      <c r="R48" s="3556" t="e">
        <f>ROUND(IF(D47="简单平均",AVERAGE(R47:W47),R47*F47+T47*H47+V47*J47),0)</f>
        <v>#DIV/0!</v>
      </c>
      <c r="S48" s="3556"/>
      <c r="T48" s="3556"/>
      <c r="U48" s="3556"/>
      <c r="V48" s="3556"/>
      <c r="W48" s="3556"/>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62" t="s">
        <v>1887</v>
      </c>
      <c r="H55" s="3557"/>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0</v>
      </c>
      <c r="F56" s="833" t="e">
        <f t="shared" ref="F56:F64" si="15">ROUND(B56*E56/10000,0)</f>
        <v>#DIV/0!</v>
      </c>
      <c r="G56" s="3458"/>
      <c r="H56" s="3444"/>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1">
        <v>0.25</v>
      </c>
      <c r="E57" s="614"/>
      <c r="F57" s="833" t="e">
        <f t="shared" si="15"/>
        <v>#DIV/0!</v>
      </c>
      <c r="G57" s="2749" t="s">
        <v>1892</v>
      </c>
      <c r="H57" s="834" t="str">
        <f>项目基本情况!B37</f>
        <v>五级</v>
      </c>
      <c r="I57" s="838">
        <f>SUMIF(修正!A57:A68,H57,修正!B57:B68)</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1">
        <v>0.25</v>
      </c>
      <c r="E58" s="614"/>
      <c r="F58" s="833" t="e">
        <f t="shared" si="15"/>
        <v>#DIV/0!</v>
      </c>
      <c r="G58" s="2750"/>
      <c r="H58" s="834" t="str">
        <f>项目基本情况!B37</f>
        <v>五级</v>
      </c>
      <c r="I58" s="838">
        <f>SUMIF(修正!A57:A68,H58,修正!C57:C68)</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1">
        <v>0.25</v>
      </c>
      <c r="E59" s="614"/>
      <c r="F59" s="833" t="e">
        <f t="shared" si="15"/>
        <v>#DIV/0!</v>
      </c>
      <c r="G59" s="2750"/>
      <c r="H59" s="834" t="str">
        <f>项目基本情况!B37</f>
        <v>五级</v>
      </c>
      <c r="I59" s="838">
        <f>SUMIF(修正!A57:A68,H59,修正!D57:D68)</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五级</v>
      </c>
      <c r="I63" s="838">
        <f>SUMIF(修正!A57:A68,H63,修正!G57:G68)</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2024-3-1</v>
      </c>
      <c r="D67" s="656">
        <f>EDATE(C67,-3)</f>
        <v>45261</v>
      </c>
      <c r="E67" s="656">
        <f>EDATE(D67,-3)</f>
        <v>45170</v>
      </c>
      <c r="F67" s="656">
        <f t="shared" ref="F67:O67" si="18">EDATE(E67,-3)</f>
        <v>45078</v>
      </c>
      <c r="G67" s="656">
        <f t="shared" si="18"/>
        <v>44986</v>
      </c>
      <c r="H67" s="656">
        <f t="shared" si="18"/>
        <v>44896</v>
      </c>
      <c r="I67" s="656">
        <f t="shared" si="18"/>
        <v>44805</v>
      </c>
      <c r="J67" s="656">
        <f t="shared" si="18"/>
        <v>44713</v>
      </c>
      <c r="K67" s="656">
        <f t="shared" si="18"/>
        <v>44621</v>
      </c>
      <c r="L67" s="656">
        <f t="shared" si="18"/>
        <v>44531</v>
      </c>
      <c r="M67" s="656">
        <f t="shared" si="18"/>
        <v>44440</v>
      </c>
      <c r="N67" s="656">
        <f t="shared" si="18"/>
        <v>44348</v>
      </c>
      <c r="O67" s="656">
        <f t="shared" si="18"/>
        <v>44256</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2024-1</v>
      </c>
      <c r="D69" s="1101" t="str">
        <f>YEAR(D67)&amp;"-"&amp;ROUNDUP(MONTH(D67)/3,0)</f>
        <v>2023-4</v>
      </c>
      <c r="E69" s="1101" t="str">
        <f t="shared" ref="E69:O69" si="19">YEAR(E67)&amp;"-"&amp;ROUNDUP(MONTH(E67)/3,0)</f>
        <v>2023-3</v>
      </c>
      <c r="F69" s="1101" t="str">
        <f t="shared" si="19"/>
        <v>2023-2</v>
      </c>
      <c r="G69" s="1101" t="str">
        <f t="shared" si="19"/>
        <v>2023-1</v>
      </c>
      <c r="H69" s="1101" t="str">
        <f t="shared" si="19"/>
        <v>2022-4</v>
      </c>
      <c r="I69" s="1101" t="str">
        <f t="shared" si="19"/>
        <v>2022-3</v>
      </c>
      <c r="J69" s="1101" t="str">
        <f t="shared" si="19"/>
        <v>2022-2</v>
      </c>
      <c r="K69" s="1101" t="str">
        <f t="shared" si="19"/>
        <v>2022-1</v>
      </c>
      <c r="L69" s="1101" t="str">
        <f t="shared" si="19"/>
        <v>2021-4</v>
      </c>
      <c r="M69" s="1101" t="str">
        <f t="shared" si="19"/>
        <v>2021-3</v>
      </c>
      <c r="N69" s="1101" t="str">
        <f t="shared" si="19"/>
        <v>2021-2</v>
      </c>
      <c r="O69" s="1101" t="str">
        <f t="shared" si="19"/>
        <v>2021-1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"北京市平均增长率"&amp;TEXT(SUMIF('基准地价修正-商业'!N25:N29,A70,'基准地价修正-商业'!P25:P29),"0.00%")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62" t="s">
        <v>1770</v>
      </c>
      <c r="D4" s="3463"/>
      <c r="E4" s="3464" t="s">
        <v>1771</v>
      </c>
      <c r="F4" s="3465"/>
      <c r="G4" s="3462" t="s">
        <v>1772</v>
      </c>
      <c r="H4" s="3463"/>
      <c r="I4" s="3462" t="s">
        <v>1773</v>
      </c>
      <c r="J4" s="3463"/>
      <c r="K4" s="537" t="s">
        <v>1774</v>
      </c>
      <c r="L4" s="2485"/>
      <c r="M4" s="2486"/>
      <c r="N4" s="2486"/>
      <c r="O4" s="2486"/>
      <c r="P4" s="3466" t="s">
        <v>1775</v>
      </c>
      <c r="Q4" s="3467"/>
      <c r="R4" s="3472" t="s">
        <v>1771</v>
      </c>
      <c r="S4" s="3473"/>
      <c r="T4" s="3472" t="s">
        <v>1772</v>
      </c>
      <c r="U4" s="3473"/>
      <c r="V4" s="3445" t="s">
        <v>1773</v>
      </c>
      <c r="W4" s="3445"/>
      <c r="X4" s="1265"/>
      <c r="Y4" s="3472" t="s">
        <v>1775</v>
      </c>
      <c r="Z4" s="3473"/>
      <c r="AA4" s="3459" t="s">
        <v>1771</v>
      </c>
      <c r="AB4" s="3460" t="s">
        <v>1772</v>
      </c>
      <c r="AC4" s="3459" t="s">
        <v>1773</v>
      </c>
    </row>
    <row r="5" spans="1:29" ht="15">
      <c r="A5" s="348"/>
      <c r="B5" s="349"/>
      <c r="C5" s="3480" t="s">
        <v>1673</v>
      </c>
      <c r="D5" s="3481"/>
      <c r="E5" s="3516" t="s">
        <v>1674</v>
      </c>
      <c r="F5" s="3489"/>
      <c r="G5" s="3480" t="s">
        <v>1675</v>
      </c>
      <c r="H5" s="3481"/>
      <c r="I5" s="3480" t="s">
        <v>1676</v>
      </c>
      <c r="J5" s="3481"/>
      <c r="K5" s="537"/>
      <c r="L5" s="2485"/>
      <c r="M5" s="2486"/>
      <c r="N5" s="2486"/>
      <c r="O5" s="2486"/>
      <c r="P5" s="3468"/>
      <c r="Q5" s="3469"/>
      <c r="R5" s="3474"/>
      <c r="S5" s="3475"/>
      <c r="T5" s="3474"/>
      <c r="U5" s="3475"/>
      <c r="V5" s="3445"/>
      <c r="W5" s="3445"/>
      <c r="X5" s="1265"/>
      <c r="Y5" s="3474"/>
      <c r="Z5" s="3475"/>
      <c r="AA5" s="3460"/>
      <c r="AB5" s="3460"/>
      <c r="AC5" s="3460"/>
    </row>
    <row r="6" spans="1:29" ht="15.75" thickBot="1">
      <c r="A6" s="350"/>
      <c r="B6" s="351"/>
      <c r="C6" s="3558" t="s">
        <v>1919</v>
      </c>
      <c r="D6" s="3559"/>
      <c r="E6" s="3560" t="s">
        <v>1919</v>
      </c>
      <c r="F6" s="3561"/>
      <c r="G6" s="3558" t="s">
        <v>1919</v>
      </c>
      <c r="H6" s="3559"/>
      <c r="I6" s="3558" t="s">
        <v>1919</v>
      </c>
      <c r="J6" s="3559"/>
      <c r="K6" s="537" t="s">
        <v>1678</v>
      </c>
      <c r="L6" s="2485"/>
      <c r="M6" s="2486"/>
      <c r="N6" s="2486"/>
      <c r="O6" s="2486"/>
      <c r="P6" s="3470"/>
      <c r="Q6" s="3471"/>
      <c r="R6" s="3474"/>
      <c r="S6" s="3475"/>
      <c r="T6" s="3476"/>
      <c r="U6" s="3477"/>
      <c r="V6" s="3445"/>
      <c r="W6" s="3445"/>
      <c r="X6" s="1265"/>
      <c r="Y6" s="3476"/>
      <c r="Z6" s="3477"/>
      <c r="AA6" s="3461"/>
      <c r="AB6" s="3461"/>
      <c r="AC6" s="3461"/>
    </row>
    <row r="7" spans="1:29" s="102" customFormat="1" ht="15.75" thickBot="1">
      <c r="A7" s="352" t="s">
        <v>1679</v>
      </c>
      <c r="B7" s="353"/>
      <c r="C7" s="354">
        <f>'数据-取费表'!B2</f>
        <v>45352</v>
      </c>
      <c r="D7" s="355">
        <v>100</v>
      </c>
      <c r="E7" s="356"/>
      <c r="F7" s="357">
        <f>SUMIF(65:65,YEAR(E7)&amp;"-"&amp;INT((MONTH(E7)+2)/3),66:66)</f>
        <v>0</v>
      </c>
      <c r="G7" s="1822"/>
      <c r="H7" s="355">
        <f>SUMIF(65:65,YEAR(G7)&amp;"-"&amp;INT((MONTH(G7)+2)/3),66:66)</f>
        <v>0</v>
      </c>
      <c r="I7" s="1822"/>
      <c r="J7" s="355">
        <f>SUMIF(65:65,YEAR(I7)&amp;"-"&amp;INT((MONTH(I7)+2)/3),66:66)</f>
        <v>0</v>
      </c>
      <c r="K7" s="38"/>
      <c r="L7" s="2487"/>
      <c r="M7" s="2438"/>
      <c r="N7" s="2438"/>
      <c r="O7" s="2438"/>
      <c r="P7" s="3482" t="s">
        <v>1680</v>
      </c>
      <c r="Q7" s="3484"/>
      <c r="R7" s="664" t="s">
        <v>14</v>
      </c>
      <c r="S7" s="665">
        <f t="shared" ref="S7:S15" si="0">F7</f>
        <v>0</v>
      </c>
      <c r="T7" s="664" t="s">
        <v>14</v>
      </c>
      <c r="U7" s="665">
        <f t="shared" ref="U7:U15" si="1">H7</f>
        <v>0</v>
      </c>
      <c r="V7" s="664" t="s">
        <v>14</v>
      </c>
      <c r="W7" s="665">
        <f t="shared" ref="W7:W15" si="2">J7</f>
        <v>0</v>
      </c>
      <c r="X7" s="666"/>
      <c r="Y7" s="3482" t="s">
        <v>1680</v>
      </c>
      <c r="Z7" s="348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82" t="s">
        <v>1683</v>
      </c>
      <c r="Q8" s="3483"/>
      <c r="R8" s="664" t="s">
        <v>14</v>
      </c>
      <c r="S8" s="665">
        <f t="shared" si="0"/>
        <v>0</v>
      </c>
      <c r="T8" s="664" t="s">
        <v>14</v>
      </c>
      <c r="U8" s="665">
        <f t="shared" si="1"/>
        <v>0</v>
      </c>
      <c r="V8" s="664" t="s">
        <v>14</v>
      </c>
      <c r="W8" s="665">
        <f t="shared" si="2"/>
        <v>0</v>
      </c>
      <c r="X8" s="666"/>
      <c r="Y8" s="3482" t="s">
        <v>1683</v>
      </c>
      <c r="Z8" s="348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8"/>
      <c r="N9" s="2438"/>
      <c r="O9" s="2539"/>
      <c r="P9" s="3444"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131</v>
      </c>
      <c r="G10" s="371"/>
      <c r="H10" s="119">
        <f>ROUND(100/'数据-取费表'!G16,0)</f>
        <v>131</v>
      </c>
      <c r="I10" s="371"/>
      <c r="J10" s="119">
        <f>ROUND(100/'数据-取费表'!G16,0)</f>
        <v>131</v>
      </c>
      <c r="K10" s="592"/>
      <c r="L10" s="2488"/>
      <c r="M10" s="2489"/>
      <c r="N10" s="2489"/>
      <c r="O10" s="2540"/>
      <c r="P10" s="3444"/>
      <c r="Q10" s="530" t="str">
        <f t="shared" si="6"/>
        <v>土地使用年限（年）</v>
      </c>
      <c r="R10" s="664" t="s">
        <v>14</v>
      </c>
      <c r="S10" s="665">
        <f t="shared" si="0"/>
        <v>131</v>
      </c>
      <c r="T10" s="664" t="s">
        <v>14</v>
      </c>
      <c r="U10" s="665">
        <f t="shared" si="1"/>
        <v>131</v>
      </c>
      <c r="V10" s="664" t="s">
        <v>14</v>
      </c>
      <c r="W10" s="665">
        <f t="shared" si="2"/>
        <v>131</v>
      </c>
      <c r="X10" s="666"/>
      <c r="Y10" s="3308"/>
      <c r="Z10" s="50" t="str">
        <f t="shared" si="7"/>
        <v>土地使用年限（年）</v>
      </c>
      <c r="AA10" s="50">
        <f t="shared" si="3"/>
        <v>0.76335877862595425</v>
      </c>
      <c r="AB10" s="50">
        <f t="shared" si="4"/>
        <v>0.76335877862595425</v>
      </c>
      <c r="AC10" s="50">
        <f t="shared" si="5"/>
        <v>0.76335877862595425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44"/>
      <c r="Q11" s="530" t="str">
        <f t="shared" si="6"/>
        <v>容积率</v>
      </c>
      <c r="R11" s="664" t="s">
        <v>14</v>
      </c>
      <c r="S11" s="665" t="e">
        <f t="shared" si="0"/>
        <v>#N/A</v>
      </c>
      <c r="T11" s="664" t="s">
        <v>14</v>
      </c>
      <c r="U11" s="665" t="e">
        <f t="shared" si="1"/>
        <v>#N/A</v>
      </c>
      <c r="V11" s="664" t="s">
        <v>14</v>
      </c>
      <c r="W11" s="665" t="e">
        <f t="shared" si="2"/>
        <v>#N/A</v>
      </c>
      <c r="X11" s="666"/>
      <c r="Y11" s="330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44"/>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44"/>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44"/>
      <c r="Q14" s="530">
        <f t="shared" si="6"/>
        <v>111</v>
      </c>
      <c r="R14" s="664" t="s">
        <v>14</v>
      </c>
      <c r="S14" s="665">
        <f t="shared" si="0"/>
        <v>100</v>
      </c>
      <c r="T14" s="664" t="s">
        <v>14</v>
      </c>
      <c r="U14" s="665">
        <f t="shared" si="1"/>
        <v>100</v>
      </c>
      <c r="V14" s="664" t="s">
        <v>14</v>
      </c>
      <c r="W14" s="665">
        <f t="shared" si="2"/>
        <v>100</v>
      </c>
      <c r="X14" s="666"/>
      <c r="Y14" s="3308"/>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51" t="s">
        <v>1691</v>
      </c>
      <c r="Q15" s="1263" t="str">
        <f t="shared" si="6"/>
        <v>产业集聚程度</v>
      </c>
      <c r="R15" s="667" t="s">
        <v>14</v>
      </c>
      <c r="S15" s="668">
        <f t="shared" si="0"/>
        <v>100</v>
      </c>
      <c r="T15" s="667" t="s">
        <v>14</v>
      </c>
      <c r="U15" s="668">
        <f t="shared" si="1"/>
        <v>100</v>
      </c>
      <c r="V15" s="667" t="s">
        <v>14</v>
      </c>
      <c r="W15" s="668">
        <f t="shared" si="2"/>
        <v>100</v>
      </c>
      <c r="X15" s="1265"/>
      <c r="Y15" s="345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52"/>
      <c r="Q16" s="1263"/>
      <c r="R16" s="667"/>
      <c r="S16" s="668"/>
      <c r="T16" s="667"/>
      <c r="U16" s="668"/>
      <c r="V16" s="667"/>
      <c r="W16" s="668"/>
      <c r="X16" s="1265"/>
      <c r="Y16" s="3452"/>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52"/>
      <c r="Q17" s="1263" t="str">
        <f>B17</f>
        <v>交通便捷度</v>
      </c>
      <c r="R17" s="667" t="s">
        <v>14</v>
      </c>
      <c r="S17" s="668">
        <f>F17</f>
        <v>100</v>
      </c>
      <c r="T17" s="667" t="s">
        <v>14</v>
      </c>
      <c r="U17" s="668">
        <f>H17</f>
        <v>100</v>
      </c>
      <c r="V17" s="667" t="s">
        <v>14</v>
      </c>
      <c r="W17" s="668">
        <f>J17</f>
        <v>100</v>
      </c>
      <c r="X17" s="1265"/>
      <c r="Y17" s="345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52"/>
      <c r="Q18" s="1263"/>
      <c r="R18" s="667"/>
      <c r="S18" s="668"/>
      <c r="T18" s="667"/>
      <c r="U18" s="668"/>
      <c r="V18" s="667"/>
      <c r="W18" s="668"/>
      <c r="X18" s="1265"/>
      <c r="Y18" s="345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52"/>
      <c r="Q19" s="1263" t="str">
        <f t="shared" ref="Q19:Q33" si="8">B19</f>
        <v>区域土地利用方向</v>
      </c>
      <c r="R19" s="667" t="s">
        <v>14</v>
      </c>
      <c r="S19" s="668">
        <f>F19</f>
        <v>100</v>
      </c>
      <c r="T19" s="667" t="s">
        <v>14</v>
      </c>
      <c r="U19" s="668">
        <f>H19</f>
        <v>100</v>
      </c>
      <c r="V19" s="667" t="s">
        <v>14</v>
      </c>
      <c r="W19" s="668">
        <f>J19</f>
        <v>100</v>
      </c>
      <c r="X19" s="1265"/>
      <c r="Y19" s="345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52"/>
      <c r="Q20" s="1263"/>
      <c r="R20" s="667"/>
      <c r="S20" s="668"/>
      <c r="T20" s="667"/>
      <c r="U20" s="668"/>
      <c r="V20" s="667"/>
      <c r="W20" s="668"/>
      <c r="X20" s="1265"/>
      <c r="Y20" s="3452"/>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52"/>
      <c r="Q21" s="1263" t="str">
        <f t="shared" si="8"/>
        <v>环境状况</v>
      </c>
      <c r="R21" s="667" t="s">
        <v>14</v>
      </c>
      <c r="S21" s="668">
        <f>F21</f>
        <v>100</v>
      </c>
      <c r="T21" s="667" t="s">
        <v>14</v>
      </c>
      <c r="U21" s="668">
        <f>H21</f>
        <v>100</v>
      </c>
      <c r="V21" s="667" t="s">
        <v>14</v>
      </c>
      <c r="W21" s="668">
        <f>J21</f>
        <v>100</v>
      </c>
      <c r="X21" s="1265"/>
      <c r="Y21" s="345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52"/>
      <c r="Q22" s="1263"/>
      <c r="R22" s="667"/>
      <c r="S22" s="668"/>
      <c r="T22" s="667"/>
      <c r="U22" s="668"/>
      <c r="V22" s="667"/>
      <c r="W22" s="668"/>
      <c r="X22" s="1265"/>
      <c r="Y22" s="3452"/>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52"/>
      <c r="Q23" s="530" t="str">
        <f t="shared" si="8"/>
        <v>公共配套设施</v>
      </c>
      <c r="R23" s="664" t="s">
        <v>14</v>
      </c>
      <c r="S23" s="665">
        <f>F23</f>
        <v>100</v>
      </c>
      <c r="T23" s="664" t="s">
        <v>14</v>
      </c>
      <c r="U23" s="665">
        <f>H23</f>
        <v>100</v>
      </c>
      <c r="V23" s="664" t="s">
        <v>14</v>
      </c>
      <c r="W23" s="665">
        <f>J23</f>
        <v>100</v>
      </c>
      <c r="X23" s="666"/>
      <c r="Y23" s="345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8"/>
      <c r="N24" s="2438"/>
      <c r="O24" s="2539"/>
      <c r="P24" s="3452"/>
      <c r="Q24" s="530"/>
      <c r="R24" s="664"/>
      <c r="S24" s="665"/>
      <c r="T24" s="664"/>
      <c r="U24" s="665"/>
      <c r="V24" s="664"/>
      <c r="W24" s="665"/>
      <c r="X24" s="666"/>
      <c r="Y24" s="3452"/>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52"/>
      <c r="Q25" s="530" t="str">
        <f t="shared" ref="Q25" si="9">B25</f>
        <v>基础设施水平</v>
      </c>
      <c r="R25" s="664" t="s">
        <v>14</v>
      </c>
      <c r="S25" s="665">
        <f>F25</f>
        <v>100</v>
      </c>
      <c r="T25" s="664" t="s">
        <v>14</v>
      </c>
      <c r="U25" s="665">
        <f>H25</f>
        <v>100</v>
      </c>
      <c r="V25" s="664" t="s">
        <v>14</v>
      </c>
      <c r="W25" s="665">
        <f>J25</f>
        <v>100</v>
      </c>
      <c r="X25" s="666"/>
      <c r="Y25" s="345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8"/>
      <c r="N26" s="2438"/>
      <c r="O26" s="2539"/>
      <c r="P26" s="3452"/>
      <c r="Q26" s="530"/>
      <c r="R26" s="664"/>
      <c r="S26" s="665"/>
      <c r="T26" s="664"/>
      <c r="U26" s="665"/>
      <c r="V26" s="664"/>
      <c r="W26" s="665"/>
      <c r="X26" s="666"/>
      <c r="Y26" s="345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5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5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52"/>
      <c r="Q28" s="1263" t="str">
        <f t="shared" si="8"/>
        <v>毗邻道路的类型与等级</v>
      </c>
      <c r="R28" s="667" t="s">
        <v>14</v>
      </c>
      <c r="S28" s="668">
        <f t="shared" si="10"/>
        <v>100</v>
      </c>
      <c r="T28" s="667" t="s">
        <v>14</v>
      </c>
      <c r="U28" s="668">
        <f t="shared" si="11"/>
        <v>100</v>
      </c>
      <c r="V28" s="667" t="s">
        <v>14</v>
      </c>
      <c r="W28" s="668">
        <f t="shared" si="12"/>
        <v>100</v>
      </c>
      <c r="X28" s="1265"/>
      <c r="Y28" s="345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52"/>
      <c r="Q29" s="1263"/>
      <c r="R29" s="667"/>
      <c r="S29" s="668"/>
      <c r="T29" s="667"/>
      <c r="U29" s="668"/>
      <c r="V29" s="667"/>
      <c r="W29" s="668"/>
      <c r="X29" s="1265"/>
      <c r="Y29" s="345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52"/>
      <c r="Q30" s="1263" t="str">
        <f t="shared" si="8"/>
        <v>土地级别</v>
      </c>
      <c r="R30" s="667" t="s">
        <v>14</v>
      </c>
      <c r="S30" s="668">
        <f t="shared" si="10"/>
        <v>100</v>
      </c>
      <c r="T30" s="667" t="s">
        <v>14</v>
      </c>
      <c r="U30" s="668">
        <f t="shared" si="11"/>
        <v>100</v>
      </c>
      <c r="V30" s="667" t="s">
        <v>14</v>
      </c>
      <c r="W30" s="668">
        <f t="shared" si="12"/>
        <v>100</v>
      </c>
      <c r="X30" s="1265"/>
      <c r="Y30" s="345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52"/>
      <c r="Q31" s="1263">
        <f t="shared" si="8"/>
        <v>111</v>
      </c>
      <c r="R31" s="667" t="s">
        <v>14</v>
      </c>
      <c r="S31" s="668">
        <f t="shared" si="10"/>
        <v>100</v>
      </c>
      <c r="T31" s="667" t="s">
        <v>14</v>
      </c>
      <c r="U31" s="668">
        <f t="shared" si="11"/>
        <v>100</v>
      </c>
      <c r="V31" s="667" t="s">
        <v>14</v>
      </c>
      <c r="W31" s="668">
        <f t="shared" si="12"/>
        <v>100</v>
      </c>
      <c r="X31" s="1265"/>
      <c r="Y31" s="345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532" t="s">
        <v>1696</v>
      </c>
      <c r="Q32" s="1263">
        <f t="shared" si="8"/>
        <v>111</v>
      </c>
      <c r="R32" s="667" t="s">
        <v>14</v>
      </c>
      <c r="S32" s="668">
        <f t="shared" si="10"/>
        <v>100</v>
      </c>
      <c r="T32" s="667" t="s">
        <v>14</v>
      </c>
      <c r="U32" s="668">
        <f t="shared" si="11"/>
        <v>100</v>
      </c>
      <c r="V32" s="667" t="s">
        <v>14</v>
      </c>
      <c r="W32" s="668">
        <f t="shared" si="12"/>
        <v>100</v>
      </c>
      <c r="X32" s="1265"/>
      <c r="Y32" s="345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56"/>
      <c r="Q33" s="1263">
        <f t="shared" si="8"/>
        <v>111</v>
      </c>
      <c r="R33" s="669" t="s">
        <v>14</v>
      </c>
      <c r="S33" s="670">
        <f t="shared" si="10"/>
        <v>100</v>
      </c>
      <c r="T33" s="669" t="s">
        <v>14</v>
      </c>
      <c r="U33" s="670">
        <f t="shared" si="11"/>
        <v>100</v>
      </c>
      <c r="V33" s="669" t="s">
        <v>14</v>
      </c>
      <c r="W33" s="670">
        <f t="shared" si="12"/>
        <v>100</v>
      </c>
      <c r="X33" s="671"/>
      <c r="Y33" s="345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56"/>
      <c r="Q34" s="1263" t="str">
        <f>B34</f>
        <v>宗地面积</v>
      </c>
      <c r="R34" s="667" t="s">
        <v>14</v>
      </c>
      <c r="S34" s="668" t="e">
        <f t="shared" si="10"/>
        <v>#N/A</v>
      </c>
      <c r="T34" s="667" t="s">
        <v>14</v>
      </c>
      <c r="U34" s="668" t="e">
        <f t="shared" si="11"/>
        <v>#N/A</v>
      </c>
      <c r="V34" s="667" t="s">
        <v>14</v>
      </c>
      <c r="W34" s="668" t="e">
        <f t="shared" si="12"/>
        <v>#N/A</v>
      </c>
      <c r="X34" s="1265"/>
      <c r="Y34" s="345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56"/>
      <c r="Q35" s="1263" t="str">
        <f t="shared" ref="Q35:Q40" si="14">B35</f>
        <v>宗地形状</v>
      </c>
      <c r="R35" s="667" t="s">
        <v>14</v>
      </c>
      <c r="S35" s="668">
        <f t="shared" si="10"/>
        <v>100</v>
      </c>
      <c r="T35" s="667" t="s">
        <v>14</v>
      </c>
      <c r="U35" s="668">
        <f t="shared" si="11"/>
        <v>100</v>
      </c>
      <c r="V35" s="667" t="s">
        <v>14</v>
      </c>
      <c r="W35" s="668">
        <f t="shared" si="12"/>
        <v>100</v>
      </c>
      <c r="X35" s="1265"/>
      <c r="Y35" s="345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8"/>
      <c r="N36" s="2438"/>
      <c r="O36" s="2539"/>
      <c r="P36" s="3456"/>
      <c r="Q36" s="1263" t="str">
        <f t="shared" si="14"/>
        <v>宗地开发程度</v>
      </c>
      <c r="R36" s="664" t="s">
        <v>14</v>
      </c>
      <c r="S36" s="665">
        <f t="shared" si="10"/>
        <v>100</v>
      </c>
      <c r="T36" s="664" t="s">
        <v>14</v>
      </c>
      <c r="U36" s="665">
        <f t="shared" si="11"/>
        <v>100</v>
      </c>
      <c r="V36" s="664" t="s">
        <v>14</v>
      </c>
      <c r="W36" s="665">
        <f t="shared" si="12"/>
        <v>100</v>
      </c>
      <c r="X36" s="666"/>
      <c r="Y36" s="345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56" t="s">
        <v>1696</v>
      </c>
      <c r="Q37" s="1263" t="str">
        <f t="shared" si="14"/>
        <v>工程地质条件</v>
      </c>
      <c r="R37" s="667" t="s">
        <v>14</v>
      </c>
      <c r="S37" s="668">
        <f t="shared" si="10"/>
        <v>100</v>
      </c>
      <c r="T37" s="667" t="s">
        <v>14</v>
      </c>
      <c r="U37" s="668">
        <f t="shared" si="11"/>
        <v>100</v>
      </c>
      <c r="V37" s="667" t="s">
        <v>14</v>
      </c>
      <c r="W37" s="668">
        <f t="shared" si="12"/>
        <v>100</v>
      </c>
      <c r="X37" s="1265"/>
      <c r="Y37" s="345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56"/>
      <c r="Q38" s="1263">
        <f t="shared" si="14"/>
        <v>111</v>
      </c>
      <c r="R38" s="667" t="s">
        <v>14</v>
      </c>
      <c r="S38" s="668">
        <f t="shared" si="10"/>
        <v>100</v>
      </c>
      <c r="T38" s="667" t="s">
        <v>14</v>
      </c>
      <c r="U38" s="668">
        <f t="shared" si="11"/>
        <v>100</v>
      </c>
      <c r="V38" s="667" t="s">
        <v>14</v>
      </c>
      <c r="W38" s="668">
        <f t="shared" si="12"/>
        <v>100</v>
      </c>
      <c r="X38" s="1265"/>
      <c r="Y38" s="345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56"/>
      <c r="Q39" s="1263">
        <f t="shared" si="14"/>
        <v>111</v>
      </c>
      <c r="R39" s="667" t="s">
        <v>14</v>
      </c>
      <c r="S39" s="668">
        <f t="shared" si="10"/>
        <v>100</v>
      </c>
      <c r="T39" s="667" t="s">
        <v>14</v>
      </c>
      <c r="U39" s="668">
        <f t="shared" si="11"/>
        <v>100</v>
      </c>
      <c r="V39" s="667" t="s">
        <v>14</v>
      </c>
      <c r="W39" s="668">
        <f t="shared" si="12"/>
        <v>100</v>
      </c>
      <c r="X39" s="1265"/>
      <c r="Y39" s="345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56"/>
      <c r="Q40" s="1263">
        <f t="shared" si="14"/>
        <v>111</v>
      </c>
      <c r="R40" s="669" t="s">
        <v>14</v>
      </c>
      <c r="S40" s="670">
        <f t="shared" si="10"/>
        <v>100</v>
      </c>
      <c r="T40" s="669" t="s">
        <v>14</v>
      </c>
      <c r="U40" s="670">
        <f t="shared" si="11"/>
        <v>100</v>
      </c>
      <c r="V40" s="669" t="s">
        <v>14</v>
      </c>
      <c r="W40" s="670">
        <f t="shared" si="12"/>
        <v>100</v>
      </c>
      <c r="X40" s="671"/>
      <c r="Y40" s="345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3"/>
      <c r="M41" s="2486"/>
      <c r="N41" s="2486"/>
      <c r="O41" s="2486"/>
      <c r="P41" s="3444" t="str">
        <f>A41</f>
        <v>成交单价</v>
      </c>
      <c r="Q41" s="3444"/>
      <c r="R41" s="3445">
        <f>E41</f>
        <v>0</v>
      </c>
      <c r="S41" s="3445"/>
      <c r="T41" s="3445">
        <f>G41</f>
        <v>0</v>
      </c>
      <c r="U41" s="3445"/>
      <c r="V41" s="3445">
        <f>I41</f>
        <v>0</v>
      </c>
      <c r="W41" s="344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44" t="str">
        <f>A42</f>
        <v>比较价值（元/平方米）</v>
      </c>
      <c r="Q42" s="3444"/>
      <c r="R42" s="3555" t="e">
        <f>ROUND(PRODUCT(R41,AA7:AA40),0)</f>
        <v>#DIV/0!</v>
      </c>
      <c r="S42" s="3555"/>
      <c r="T42" s="3555" t="e">
        <f>ROUND(PRODUCT(T41,AB7:AB40),0)</f>
        <v>#DIV/0!</v>
      </c>
      <c r="U42" s="3555"/>
      <c r="V42" s="3555" t="e">
        <f>ROUND(PRODUCT(V41,AC7:AC40),0)</f>
        <v>#DIV/0!</v>
      </c>
      <c r="W42" s="355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46" t="str">
        <f>A43</f>
        <v>估价对象XX用房的比较价值（楼面单价，元/平方米）</v>
      </c>
      <c r="Q43" s="3447"/>
      <c r="R43" s="3556" t="e">
        <f>ROUND(IF(D42="简单平均",AVERAGE(R42:W42),R42*F42+T42*H42+V42*J42),0)</f>
        <v>#DIV/0!</v>
      </c>
      <c r="S43" s="3556"/>
      <c r="T43" s="3556"/>
      <c r="U43" s="3556"/>
      <c r="V43" s="3556"/>
      <c r="W43" s="3556"/>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462" t="s">
        <v>1887</v>
      </c>
      <c r="H50" s="3557"/>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0</v>
      </c>
      <c r="F51" s="611" t="e">
        <f t="shared" ref="F51:F60" si="15">ROUND(B51*E51/10000,0)</f>
        <v>#DIV/0!</v>
      </c>
      <c r="G51" s="3458"/>
      <c r="H51" s="3444"/>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1">
        <v>0.25</v>
      </c>
      <c r="E52" s="614"/>
      <c r="F52" s="611" t="e">
        <f t="shared" si="15"/>
        <v>#DIV/0!</v>
      </c>
      <c r="G52" s="2749" t="s">
        <v>1892</v>
      </c>
      <c r="H52" s="834" t="str">
        <f>项目基本情况!B37</f>
        <v>五级</v>
      </c>
      <c r="I52" s="727">
        <f>SUMIF(修正!A57:A68,H52,修正!B57:B68)</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1">
        <v>0.25</v>
      </c>
      <c r="E53" s="614"/>
      <c r="F53" s="611" t="e">
        <f t="shared" si="15"/>
        <v>#DIV/0!</v>
      </c>
      <c r="G53" s="2750"/>
      <c r="H53" s="834" t="str">
        <f>项目基本情况!B37</f>
        <v>五级</v>
      </c>
      <c r="I53" s="727">
        <f>SUMIF(修正!A57:A68,H53,修正!C57:C68)</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1">
        <v>0.25</v>
      </c>
      <c r="E54" s="614"/>
      <c r="F54" s="611" t="e">
        <f t="shared" si="15"/>
        <v>#DIV/0!</v>
      </c>
      <c r="G54" s="2750"/>
      <c r="H54" s="834" t="str">
        <f>项目基本情况!B37</f>
        <v>五级</v>
      </c>
      <c r="I54" s="727">
        <f>SUMIF(修正!A57:A68,H54,修正!D57:D68)</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五级</v>
      </c>
      <c r="I59" s="727">
        <f>SUMIF(修正!A57:A68,H59,修正!G57:G68)</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2024-3-1</v>
      </c>
      <c r="D63" s="656">
        <f>EDATE(C63,-3)</f>
        <v>45261</v>
      </c>
      <c r="E63" s="656">
        <f>EDATE(D63,-3)</f>
        <v>45170</v>
      </c>
      <c r="F63" s="656">
        <f t="shared" ref="F63:O63" si="18">EDATE(E63,-3)</f>
        <v>45078</v>
      </c>
      <c r="G63" s="656">
        <f t="shared" si="18"/>
        <v>44986</v>
      </c>
      <c r="H63" s="656">
        <f t="shared" si="18"/>
        <v>44896</v>
      </c>
      <c r="I63" s="656">
        <f t="shared" si="18"/>
        <v>44805</v>
      </c>
      <c r="J63" s="656">
        <f t="shared" si="18"/>
        <v>44713</v>
      </c>
      <c r="K63" s="656">
        <f t="shared" si="18"/>
        <v>44621</v>
      </c>
      <c r="L63" s="656">
        <f t="shared" si="18"/>
        <v>44531</v>
      </c>
      <c r="M63" s="656">
        <f t="shared" si="18"/>
        <v>44440</v>
      </c>
      <c r="N63" s="656">
        <f t="shared" si="18"/>
        <v>44348</v>
      </c>
      <c r="O63" s="656">
        <f t="shared" si="18"/>
        <v>44256</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2024-1</v>
      </c>
      <c r="D65" s="1101" t="str">
        <f t="shared" ref="D65:O65" si="19">YEAR(D63)&amp;"-"&amp;ROUNDUP(MONTH(D63)/3,0)</f>
        <v>2023-4</v>
      </c>
      <c r="E65" s="1101" t="str">
        <f t="shared" si="19"/>
        <v>2023-3</v>
      </c>
      <c r="F65" s="1101" t="str">
        <f t="shared" si="19"/>
        <v>2023-2</v>
      </c>
      <c r="G65" s="1101" t="str">
        <f t="shared" si="19"/>
        <v>2023-1</v>
      </c>
      <c r="H65" s="1101" t="str">
        <f t="shared" si="19"/>
        <v>2022-4</v>
      </c>
      <c r="I65" s="1101" t="str">
        <f t="shared" si="19"/>
        <v>2022-3</v>
      </c>
      <c r="J65" s="1101" t="str">
        <f t="shared" si="19"/>
        <v>2022-2</v>
      </c>
      <c r="K65" s="1101" t="str">
        <f t="shared" si="19"/>
        <v>2022-1</v>
      </c>
      <c r="L65" s="1101" t="str">
        <f t="shared" si="19"/>
        <v>2021-4</v>
      </c>
      <c r="M65" s="1101" t="str">
        <f t="shared" si="19"/>
        <v>2021-3</v>
      </c>
      <c r="N65" s="1101" t="str">
        <f t="shared" si="19"/>
        <v>2021-2</v>
      </c>
      <c r="O65" s="1101" t="str">
        <f t="shared" si="19"/>
        <v>2021-1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"北京市平均增长率"&amp;TEXT('基准地价修正-商业'!P28,"0.00%")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4"/>
      <c r="C2" s="3224"/>
      <c r="D2" s="3224"/>
      <c r="E2" s="3224"/>
    </row>
    <row r="3" spans="1:5" ht="18">
      <c r="A3" s="3225" t="str">
        <f>IF(项目基本情况!B9="房地产市场价值","估价结果一览表（市场价值不需“结果表-1”）","估价结果一览表")</f>
        <v>估价结果一览表（市场价值不需“结果表-1”）</v>
      </c>
      <c r="B3" s="3225"/>
      <c r="C3" s="3225"/>
      <c r="D3" s="3225"/>
      <c r="E3" s="3225"/>
    </row>
    <row r="4" spans="1:5" ht="19.5" thickBot="1">
      <c r="A4" s="1391"/>
      <c r="B4" s="3223" t="s">
        <v>917</v>
      </c>
      <c r="C4" s="3223"/>
      <c r="D4" s="3223"/>
      <c r="E4" s="1391"/>
    </row>
    <row r="5" spans="1:5" ht="16.5" thickTop="1">
      <c r="B5" s="3221" t="s">
        <v>909</v>
      </c>
      <c r="C5" s="1392" t="s">
        <v>910</v>
      </c>
      <c r="D5" s="797" t="e">
        <f ca="1">结果表!H101</f>
        <v>#REF!</v>
      </c>
    </row>
    <row r="6" spans="1:5" ht="15.75">
      <c r="B6" s="3221"/>
      <c r="C6" s="1392" t="s">
        <v>911</v>
      </c>
      <c r="D6" s="797" t="e">
        <f ca="1">NUMBERSTRING(INT(D5*10000),2)&amp;"元整"</f>
        <v>#REF!</v>
      </c>
    </row>
    <row r="7" spans="1:5" ht="15.75">
      <c r="B7" s="3226"/>
      <c r="C7" s="1393" t="s">
        <v>912</v>
      </c>
      <c r="D7" s="798" t="e">
        <f ca="1">结果表!H102</f>
        <v>#REF!</v>
      </c>
    </row>
    <row r="8" spans="1:5" ht="15.75">
      <c r="B8" s="3227" t="str">
        <f>结果表!E103</f>
        <v>2.估价师知悉的法定优先受偿款</v>
      </c>
      <c r="C8" s="1394" t="s">
        <v>913</v>
      </c>
      <c r="D8" s="798">
        <f>结果表!H103</f>
        <v>0</v>
      </c>
    </row>
    <row r="9" spans="1:5" ht="15.75">
      <c r="B9" s="322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20" t="str">
        <f>结果表!E107</f>
        <v>3.房地产抵押价值</v>
      </c>
      <c r="C13" s="1397" t="s">
        <v>910</v>
      </c>
      <c r="D13" s="800" t="e">
        <f ca="1">结果表!H107</f>
        <v>#REF!</v>
      </c>
    </row>
    <row r="14" spans="1:5" ht="15.75">
      <c r="B14" s="3221"/>
      <c r="C14" s="1392" t="s">
        <v>911</v>
      </c>
      <c r="D14" s="797" t="e">
        <f ca="1">NUMBERSTRING(INT(D13*10000),2)&amp;"元整"</f>
        <v>#REF!</v>
      </c>
    </row>
    <row r="15" spans="1:5" ht="15">
      <c r="B15" s="3226"/>
      <c r="C15" s="1393" t="s">
        <v>921</v>
      </c>
      <c r="D15" s="806" t="e">
        <f ca="1">结果表!H108</f>
        <v>#REF!</v>
      </c>
    </row>
    <row r="16" spans="1:5" ht="15">
      <c r="B16" s="3227" t="str">
        <f>结果表!E109</f>
        <v>——</v>
      </c>
      <c r="C16" s="1397" t="s">
        <v>922</v>
      </c>
      <c r="D16" s="1398" t="str">
        <f>结果表!H109</f>
        <v>——</v>
      </c>
    </row>
    <row r="17" spans="1:5" ht="15.75">
      <c r="B17" s="3228"/>
      <c r="C17" s="1392" t="s">
        <v>923</v>
      </c>
      <c r="D17" s="797" t="e">
        <f>NUMBERSTRING(INT(D16*10000),2)&amp;"元整"</f>
        <v>#VALUE!</v>
      </c>
    </row>
    <row r="18" spans="1:5" ht="15">
      <c r="B18" s="3229"/>
      <c r="C18" s="1393" t="s">
        <v>912</v>
      </c>
      <c r="D18" s="806" t="str">
        <f>结果表!H110</f>
        <v>——</v>
      </c>
    </row>
    <row r="19" spans="1:5" ht="15.75">
      <c r="B19" s="3220" t="str">
        <f>结果表!E111</f>
        <v>——</v>
      </c>
      <c r="C19" s="1397" t="s">
        <v>910</v>
      </c>
      <c r="D19" s="798" t="str">
        <f>结果表!H111</f>
        <v>——</v>
      </c>
    </row>
    <row r="20" spans="1:5" ht="15.75">
      <c r="B20" s="3221"/>
      <c r="C20" s="1392" t="s">
        <v>923</v>
      </c>
      <c r="D20" s="797" t="e">
        <f>NUMBERSTRING(INT(D19*10000),2)&amp;"元整"</f>
        <v>#VALUE!</v>
      </c>
    </row>
    <row r="21" spans="1:5" ht="15.75" thickBot="1">
      <c r="B21" s="322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65" t="s">
        <v>2084</v>
      </c>
      <c r="D1" s="3566"/>
      <c r="E1" s="3566"/>
      <c r="F1" s="3566"/>
      <c r="G1" s="3566"/>
      <c r="H1" s="3566"/>
      <c r="I1" s="3566"/>
      <c r="J1" s="3566"/>
      <c r="K1" s="3566"/>
      <c r="L1" s="3566"/>
      <c r="M1" s="3566"/>
      <c r="N1" s="3566"/>
      <c r="O1" s="3566"/>
      <c r="P1" s="3566"/>
      <c r="Q1" s="3566"/>
      <c r="R1" s="3566"/>
      <c r="S1" s="356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62" t="s">
        <v>27</v>
      </c>
      <c r="D22" s="3563"/>
      <c r="E22" s="3563"/>
      <c r="F22" s="3563"/>
      <c r="G22" s="3563"/>
      <c r="H22" s="3563"/>
      <c r="I22" s="3563"/>
      <c r="J22" s="3563"/>
      <c r="K22" s="3563"/>
      <c r="L22" s="3563"/>
      <c r="M22" s="3563"/>
      <c r="N22" s="3563"/>
      <c r="O22" s="3563"/>
      <c r="P22" s="3563"/>
      <c r="Q22" s="356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4" t="s">
        <v>2073</v>
      </c>
      <c r="B2" s="2386">
        <f ca="1">SUMIF(B6:B13,"&lt;&gt;#ref!",B6:B13)</f>
        <v>0</v>
      </c>
      <c r="C2" s="1984" t="s">
        <v>2074</v>
      </c>
      <c r="D2" s="1984" t="s">
        <v>2075</v>
      </c>
      <c r="E2" s="2396">
        <f ca="1">SUMIF(E6:E13,"&lt;&gt;#ref!",E6:E13)</f>
        <v>0</v>
      </c>
      <c r="F2" s="2543"/>
      <c r="G2" s="2543"/>
      <c r="H2" s="2543"/>
      <c r="I2" s="2543"/>
      <c r="J2" s="2543"/>
      <c r="K2" s="2543"/>
      <c r="L2" s="2543"/>
      <c r="M2" s="2543"/>
      <c r="N2" s="2543"/>
      <c r="O2" s="2543"/>
      <c r="P2" s="2543"/>
    </row>
    <row r="3" spans="1:16" ht="15.75">
      <c r="A3" s="1984" t="s">
        <v>2076</v>
      </c>
      <c r="B3" s="2386" t="e">
        <f ca="1">ROUND(B2*10000/E2,0)</f>
        <v>#DIV/0!</v>
      </c>
      <c r="C3" s="1984"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5"/>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#REF!</v>
      </c>
      <c r="C6" s="1984" t="s">
        <v>2074</v>
      </c>
      <c r="D6" s="2543"/>
      <c r="E6" s="2396" t="e">
        <f ca="1">SUMIF(INDIRECT("'"&amp;A6&amp;"'"&amp;"!C:C"),"建筑面积",INDIRECT("'"&amp;A6&amp;"'"&amp;"!D:D"))</f>
        <v>#REF!</v>
      </c>
      <c r="F6" s="2543"/>
      <c r="G6" s="2543"/>
      <c r="H6" s="2543"/>
      <c r="I6" s="2543"/>
      <c r="J6" s="2543"/>
      <c r="K6" s="2543"/>
      <c r="L6" s="2543"/>
      <c r="M6" s="2543"/>
      <c r="N6" s="2543"/>
      <c r="O6" s="2543"/>
      <c r="P6" s="2543"/>
    </row>
    <row r="7" spans="1:16" ht="15.75">
      <c r="A7" s="2393"/>
      <c r="B7" s="2386" t="e">
        <f ca="1">SUMIF(INDIRECT("'"&amp;A7&amp;"'"&amp;"!A:A"),"总价",INDIRECT("'"&amp;A7&amp;"'"&amp;"!B:B"))</f>
        <v>#REF!</v>
      </c>
      <c r="C7" s="1984"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4"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4"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4"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4"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4"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4"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577" t="s">
        <v>2607</v>
      </c>
      <c r="B20" s="3572" t="s">
        <v>2628</v>
      </c>
      <c r="C20" s="2841" t="s">
        <v>2439</v>
      </c>
      <c r="D20" s="2842"/>
      <c r="E20" s="2843">
        <v>1</v>
      </c>
      <c r="F20" s="2844" t="s">
        <v>2440</v>
      </c>
      <c r="G20" s="2844"/>
    </row>
    <row r="21" spans="1:13" ht="19.5" customHeight="1">
      <c r="A21" s="3578"/>
      <c r="B21" s="3571"/>
      <c r="C21" s="2845" t="s">
        <v>2441</v>
      </c>
      <c r="D21" s="2846"/>
      <c r="E21" s="2847">
        <v>1</v>
      </c>
      <c r="F21" s="2844" t="s">
        <v>2442</v>
      </c>
      <c r="G21" s="2844"/>
    </row>
    <row r="22" spans="1:13" ht="19.5" customHeight="1">
      <c r="A22" s="3578"/>
      <c r="B22" s="3571"/>
      <c r="C22" s="2845" t="s">
        <v>2443</v>
      </c>
      <c r="D22" s="2846"/>
      <c r="E22" s="2847">
        <v>0.9</v>
      </c>
      <c r="F22" s="2844" t="s">
        <v>2444</v>
      </c>
      <c r="G22" s="2844"/>
    </row>
    <row r="23" spans="1:13" ht="19.5" customHeight="1">
      <c r="A23" s="3578"/>
      <c r="B23" s="3571"/>
      <c r="C23" s="2845" t="s">
        <v>2445</v>
      </c>
      <c r="D23" s="2846"/>
      <c r="E23" s="2847">
        <v>0.9</v>
      </c>
      <c r="F23" s="2844" t="s">
        <v>2446</v>
      </c>
      <c r="G23" s="2844"/>
    </row>
    <row r="24" spans="1:13" ht="19.5" customHeight="1">
      <c r="A24" s="3578"/>
      <c r="B24" s="3571"/>
      <c r="C24" s="2845" t="s">
        <v>2447</v>
      </c>
      <c r="D24" s="2846"/>
      <c r="E24" s="2847">
        <v>0.8</v>
      </c>
      <c r="F24" s="2844" t="s">
        <v>2448</v>
      </c>
      <c r="G24" s="2844"/>
    </row>
    <row r="25" spans="1:13" ht="19.5" customHeight="1" thickBot="1">
      <c r="A25" s="3579"/>
      <c r="B25" s="3573"/>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574" t="s">
        <v>2631</v>
      </c>
      <c r="B27" s="3572" t="s">
        <v>2612</v>
      </c>
      <c r="C27" s="2841" t="s">
        <v>2452</v>
      </c>
      <c r="D27" s="2842"/>
      <c r="E27" s="2843">
        <v>1</v>
      </c>
      <c r="F27" s="2844" t="s">
        <v>2453</v>
      </c>
      <c r="G27" s="2844"/>
    </row>
    <row r="28" spans="1:13" ht="19.5" customHeight="1">
      <c r="A28" s="3575"/>
      <c r="B28" s="3571"/>
      <c r="C28" s="2845" t="s">
        <v>2454</v>
      </c>
      <c r="D28" s="2846"/>
      <c r="E28" s="2847">
        <v>1</v>
      </c>
      <c r="F28" s="2844" t="s">
        <v>2455</v>
      </c>
      <c r="G28" s="2844"/>
    </row>
    <row r="29" spans="1:13" ht="19.5" customHeight="1">
      <c r="A29" s="3575"/>
      <c r="B29" s="3571"/>
      <c r="C29" s="2845" t="s">
        <v>2456</v>
      </c>
      <c r="D29" s="2846"/>
      <c r="E29" s="2847">
        <v>0.8</v>
      </c>
      <c r="F29" s="2844" t="s">
        <v>2457</v>
      </c>
      <c r="G29" s="2844"/>
    </row>
    <row r="30" spans="1:13" ht="19.5" customHeight="1">
      <c r="A30" s="3575"/>
      <c r="B30" s="3571"/>
      <c r="C30" s="2845" t="s">
        <v>2458</v>
      </c>
      <c r="D30" s="2846"/>
      <c r="E30" s="2847">
        <v>0.8</v>
      </c>
      <c r="F30" s="2844" t="s">
        <v>2459</v>
      </c>
      <c r="G30" s="2844"/>
    </row>
    <row r="31" spans="1:13" ht="19.5" customHeight="1">
      <c r="A31" s="3575"/>
      <c r="B31" s="3571"/>
      <c r="C31" s="2845" t="s">
        <v>2460</v>
      </c>
      <c r="D31" s="2846"/>
      <c r="E31" s="2847">
        <v>0.8</v>
      </c>
      <c r="F31" s="2844" t="s">
        <v>2461</v>
      </c>
      <c r="G31" s="2844"/>
    </row>
    <row r="32" spans="1:13" ht="19.5" customHeight="1">
      <c r="A32" s="3575"/>
      <c r="B32" s="3571"/>
      <c r="C32" s="2845" t="s">
        <v>2462</v>
      </c>
      <c r="D32" s="2846"/>
      <c r="E32" s="2847">
        <v>0.7</v>
      </c>
      <c r="F32" s="2844" t="s">
        <v>2463</v>
      </c>
      <c r="G32" s="2844"/>
    </row>
    <row r="33" spans="1:7" ht="19.5" customHeight="1">
      <c r="A33" s="3575"/>
      <c r="B33" s="3571"/>
      <c r="C33" s="2845" t="s">
        <v>2464</v>
      </c>
      <c r="D33" s="2846"/>
      <c r="E33" s="2847">
        <v>0.8</v>
      </c>
      <c r="F33" s="2844" t="s">
        <v>2465</v>
      </c>
      <c r="G33" s="2844"/>
    </row>
    <row r="34" spans="1:7" ht="19.5" customHeight="1">
      <c r="A34" s="3575"/>
      <c r="B34" s="3571"/>
      <c r="C34" s="2845" t="s">
        <v>2466</v>
      </c>
      <c r="D34" s="2846"/>
      <c r="E34" s="2847">
        <v>0.6</v>
      </c>
      <c r="F34" s="2844" t="s">
        <v>2467</v>
      </c>
      <c r="G34" s="2844"/>
    </row>
    <row r="35" spans="1:7" ht="19.5" customHeight="1">
      <c r="A35" s="3575"/>
      <c r="B35" s="3571"/>
      <c r="C35" s="2845" t="s">
        <v>2468</v>
      </c>
      <c r="D35" s="2846"/>
      <c r="E35" s="2847">
        <v>0.2</v>
      </c>
      <c r="F35" s="2844" t="s">
        <v>2469</v>
      </c>
      <c r="G35" s="2844"/>
    </row>
    <row r="36" spans="1:7" ht="19.5" customHeight="1">
      <c r="A36" s="3575"/>
      <c r="B36" s="3571"/>
      <c r="C36" s="2845" t="s">
        <v>2470</v>
      </c>
      <c r="D36" s="2846"/>
      <c r="E36" s="2847">
        <v>0.2</v>
      </c>
      <c r="F36" s="2844" t="s">
        <v>2471</v>
      </c>
      <c r="G36" s="2844"/>
    </row>
    <row r="37" spans="1:7" ht="19.5" customHeight="1">
      <c r="A37" s="3575"/>
      <c r="B37" s="3569" t="s">
        <v>2632</v>
      </c>
      <c r="C37" s="2845" t="s">
        <v>2472</v>
      </c>
      <c r="D37" s="2846"/>
      <c r="E37" s="2847">
        <v>0.6</v>
      </c>
      <c r="F37" s="2844" t="s">
        <v>2473</v>
      </c>
      <c r="G37" s="2844"/>
    </row>
    <row r="38" spans="1:7" ht="19.5" customHeight="1">
      <c r="A38" s="3575"/>
      <c r="B38" s="3571"/>
      <c r="C38" s="2845" t="s">
        <v>2474</v>
      </c>
      <c r="D38" s="2846"/>
      <c r="E38" s="2847">
        <v>0.6</v>
      </c>
      <c r="F38" s="2844" t="s">
        <v>2475</v>
      </c>
      <c r="G38" s="2844"/>
    </row>
    <row r="39" spans="1:7" ht="19.5" customHeight="1" thickBot="1">
      <c r="A39" s="3576"/>
      <c r="B39" s="3573"/>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577" t="s">
        <v>2610</v>
      </c>
      <c r="B41" s="3572" t="s">
        <v>2634</v>
      </c>
      <c r="C41" s="2841" t="s">
        <v>2479</v>
      </c>
      <c r="D41" s="2842"/>
      <c r="E41" s="2843">
        <v>1</v>
      </c>
      <c r="F41" s="2844" t="s">
        <v>2480</v>
      </c>
      <c r="G41" s="2844"/>
    </row>
    <row r="42" spans="1:7" ht="19.5" customHeight="1">
      <c r="A42" s="3578"/>
      <c r="B42" s="3571"/>
      <c r="C42" s="2845" t="s">
        <v>2481</v>
      </c>
      <c r="D42" s="2846"/>
      <c r="E42" s="2847">
        <v>1</v>
      </c>
      <c r="F42" s="2844" t="s">
        <v>2482</v>
      </c>
      <c r="G42" s="2844"/>
    </row>
    <row r="43" spans="1:7" ht="19.5" customHeight="1">
      <c r="A43" s="3578"/>
      <c r="B43" s="3570"/>
      <c r="C43" s="2845" t="s">
        <v>2483</v>
      </c>
      <c r="D43" s="2846"/>
      <c r="E43" s="2847">
        <v>1.5</v>
      </c>
      <c r="F43" s="2844" t="s">
        <v>2484</v>
      </c>
      <c r="G43" s="2844"/>
    </row>
    <row r="44" spans="1:7" ht="19.5" customHeight="1">
      <c r="A44" s="3578"/>
      <c r="B44" s="2856" t="s">
        <v>2635</v>
      </c>
      <c r="C44" s="2845" t="s">
        <v>2636</v>
      </c>
      <c r="D44" s="2846"/>
      <c r="E44" s="2847">
        <v>2</v>
      </c>
      <c r="F44" s="2844" t="s">
        <v>2485</v>
      </c>
      <c r="G44" s="2844"/>
    </row>
    <row r="45" spans="1:7" ht="19.5" customHeight="1">
      <c r="A45" s="3578"/>
      <c r="B45" s="3569" t="s">
        <v>2637</v>
      </c>
      <c r="C45" s="2845" t="s">
        <v>2486</v>
      </c>
      <c r="D45" s="2846"/>
      <c r="E45" s="2847">
        <v>1</v>
      </c>
      <c r="F45" s="2844" t="s">
        <v>2487</v>
      </c>
      <c r="G45" s="2844"/>
    </row>
    <row r="46" spans="1:7" ht="19.5" customHeight="1">
      <c r="A46" s="3578"/>
      <c r="B46" s="3571"/>
      <c r="C46" s="2845" t="s">
        <v>2488</v>
      </c>
      <c r="D46" s="2846"/>
      <c r="E46" s="2847">
        <v>1</v>
      </c>
      <c r="F46" s="2844" t="s">
        <v>2489</v>
      </c>
      <c r="G46" s="2844"/>
    </row>
    <row r="47" spans="1:7" ht="19.5" customHeight="1">
      <c r="A47" s="3578"/>
      <c r="B47" s="3571"/>
      <c r="C47" s="2845" t="s">
        <v>2490</v>
      </c>
      <c r="D47" s="2846"/>
      <c r="E47" s="2847">
        <v>1</v>
      </c>
      <c r="F47" s="2844" t="s">
        <v>2491</v>
      </c>
      <c r="G47" s="2844"/>
    </row>
    <row r="48" spans="1:7" ht="19.5" customHeight="1">
      <c r="A48" s="3578"/>
      <c r="B48" s="3571"/>
      <c r="C48" s="2845" t="s">
        <v>2492</v>
      </c>
      <c r="D48" s="2846"/>
      <c r="E48" s="2847">
        <v>1</v>
      </c>
      <c r="F48" s="2844" t="s">
        <v>2493</v>
      </c>
      <c r="G48" s="2844"/>
    </row>
    <row r="49" spans="1:7" ht="19.5" customHeight="1">
      <c r="A49" s="3578"/>
      <c r="B49" s="3571"/>
      <c r="C49" s="2845" t="s">
        <v>2494</v>
      </c>
      <c r="D49" s="2846"/>
      <c r="E49" s="2847">
        <v>1</v>
      </c>
      <c r="F49" s="2844" t="s">
        <v>2495</v>
      </c>
      <c r="G49" s="2844"/>
    </row>
    <row r="50" spans="1:7" ht="19.5" customHeight="1">
      <c r="A50" s="3578"/>
      <c r="B50" s="3571"/>
      <c r="C50" s="2845" t="s">
        <v>2496</v>
      </c>
      <c r="D50" s="2846"/>
      <c r="E50" s="2847">
        <v>1</v>
      </c>
      <c r="F50" s="2844" t="s">
        <v>2497</v>
      </c>
      <c r="G50" s="2844"/>
    </row>
    <row r="51" spans="1:7" ht="19.5" customHeight="1" thickBot="1">
      <c r="A51" s="3579"/>
      <c r="B51" s="3573"/>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3.5">
      <c r="A72" s="2856"/>
      <c r="B72" s="2856"/>
      <c r="C72" s="2856" t="s">
        <v>2650</v>
      </c>
      <c r="D72" s="2856"/>
      <c r="E72" s="2856" t="s">
        <v>2621</v>
      </c>
      <c r="F72" s="2856" t="s">
        <v>2621</v>
      </c>
    </row>
    <row r="73" spans="1:7" ht="13.5">
      <c r="A73" s="2856">
        <v>1</v>
      </c>
      <c r="B73" s="3569" t="s">
        <v>2651</v>
      </c>
      <c r="C73" s="2830" t="s">
        <v>2652</v>
      </c>
      <c r="D73" s="2830" t="s">
        <v>2653</v>
      </c>
      <c r="E73" s="2856">
        <v>0.2</v>
      </c>
      <c r="F73" s="2856">
        <v>25</v>
      </c>
    </row>
    <row r="74" spans="1:7" ht="24">
      <c r="A74" s="2856">
        <v>2</v>
      </c>
      <c r="B74" s="3571"/>
      <c r="C74" s="2830" t="s">
        <v>2654</v>
      </c>
      <c r="D74" s="2830" t="s">
        <v>2655</v>
      </c>
      <c r="E74" s="2856">
        <v>0.2</v>
      </c>
      <c r="F74" s="2856">
        <v>25</v>
      </c>
    </row>
    <row r="75" spans="1:7" ht="24">
      <c r="A75" s="2856">
        <v>3</v>
      </c>
      <c r="B75" s="3571"/>
      <c r="C75" s="2830" t="s">
        <v>2656</v>
      </c>
      <c r="D75" s="2830" t="s">
        <v>2657</v>
      </c>
      <c r="E75" s="2856">
        <v>0.2</v>
      </c>
      <c r="F75" s="2856">
        <v>25</v>
      </c>
    </row>
    <row r="76" spans="1:7" ht="13.5">
      <c r="A76" s="2856">
        <v>4</v>
      </c>
      <c r="B76" s="3571"/>
      <c r="C76" s="2830" t="s">
        <v>2658</v>
      </c>
      <c r="D76" s="2830" t="s">
        <v>2659</v>
      </c>
      <c r="E76" s="2856">
        <v>0.15</v>
      </c>
      <c r="F76" s="2856">
        <v>20</v>
      </c>
    </row>
    <row r="77" spans="1:7" ht="24">
      <c r="A77" s="2856">
        <v>5</v>
      </c>
      <c r="B77" s="3571"/>
      <c r="C77" s="2830" t="s">
        <v>2660</v>
      </c>
      <c r="D77" s="2830" t="s">
        <v>2661</v>
      </c>
      <c r="E77" s="2856">
        <v>0.15</v>
      </c>
      <c r="F77" s="2856">
        <v>20</v>
      </c>
    </row>
    <row r="78" spans="1:7" ht="24">
      <c r="A78" s="2856">
        <v>6</v>
      </c>
      <c r="B78" s="3571"/>
      <c r="C78" s="2830" t="s">
        <v>2662</v>
      </c>
      <c r="D78" s="2830" t="s">
        <v>2663</v>
      </c>
      <c r="E78" s="2856">
        <v>0.15</v>
      </c>
      <c r="F78" s="2856">
        <v>20</v>
      </c>
    </row>
    <row r="79" spans="1:7" ht="24">
      <c r="A79" s="2856">
        <v>7</v>
      </c>
      <c r="B79" s="3571"/>
      <c r="C79" s="2830" t="s">
        <v>2664</v>
      </c>
      <c r="D79" s="2830" t="s">
        <v>2665</v>
      </c>
      <c r="E79" s="2856">
        <v>0.15</v>
      </c>
      <c r="F79" s="2856">
        <v>20</v>
      </c>
    </row>
    <row r="80" spans="1:7" ht="24">
      <c r="A80" s="2856">
        <v>8</v>
      </c>
      <c r="B80" s="3571"/>
      <c r="C80" s="2830" t="s">
        <v>2666</v>
      </c>
      <c r="D80" s="2830" t="s">
        <v>2667</v>
      </c>
      <c r="E80" s="2856">
        <v>0.1</v>
      </c>
      <c r="F80" s="2856">
        <v>15</v>
      </c>
    </row>
    <row r="81" spans="1:6" ht="24">
      <c r="A81" s="2856">
        <v>9</v>
      </c>
      <c r="B81" s="3571"/>
      <c r="C81" s="2830" t="s">
        <v>2668</v>
      </c>
      <c r="D81" s="2830" t="s">
        <v>2669</v>
      </c>
      <c r="E81" s="2856">
        <v>0.1</v>
      </c>
      <c r="F81" s="2856">
        <v>15</v>
      </c>
    </row>
    <row r="82" spans="1:6" ht="24">
      <c r="A82" s="2856">
        <v>10</v>
      </c>
      <c r="B82" s="3571"/>
      <c r="C82" s="2830" t="s">
        <v>2670</v>
      </c>
      <c r="D82" s="2830" t="s">
        <v>2671</v>
      </c>
      <c r="E82" s="2856">
        <v>0.1</v>
      </c>
      <c r="F82" s="2856">
        <v>15</v>
      </c>
    </row>
    <row r="83" spans="1:6" ht="24">
      <c r="A83" s="2856">
        <v>11</v>
      </c>
      <c r="B83" s="3571"/>
      <c r="C83" s="2830" t="s">
        <v>2672</v>
      </c>
      <c r="D83" s="2830" t="s">
        <v>2673</v>
      </c>
      <c r="E83" s="2856">
        <v>0.1</v>
      </c>
      <c r="F83" s="2856">
        <v>15</v>
      </c>
    </row>
    <row r="84" spans="1:6" ht="24">
      <c r="A84" s="2856">
        <v>12</v>
      </c>
      <c r="B84" s="3571"/>
      <c r="C84" s="2830" t="s">
        <v>2674</v>
      </c>
      <c r="D84" s="2830" t="s">
        <v>2675</v>
      </c>
      <c r="E84" s="2856">
        <v>0.1</v>
      </c>
      <c r="F84" s="2856">
        <v>15</v>
      </c>
    </row>
    <row r="85" spans="1:6" ht="13.5">
      <c r="A85" s="2856">
        <v>13</v>
      </c>
      <c r="B85" s="3571"/>
      <c r="C85" s="2830" t="s">
        <v>2676</v>
      </c>
      <c r="D85" s="2830" t="s">
        <v>2677</v>
      </c>
      <c r="E85" s="2856">
        <v>0.1</v>
      </c>
      <c r="F85" s="2856">
        <v>15</v>
      </c>
    </row>
    <row r="86" spans="1:6" ht="13.5">
      <c r="A86" s="2856">
        <v>14</v>
      </c>
      <c r="B86" s="3571"/>
      <c r="C86" s="2830" t="s">
        <v>2678</v>
      </c>
      <c r="D86" s="2830" t="s">
        <v>2679</v>
      </c>
      <c r="E86" s="2856">
        <v>0.1</v>
      </c>
      <c r="F86" s="2856">
        <v>15</v>
      </c>
    </row>
    <row r="87" spans="1:6" ht="13.5">
      <c r="A87" s="2856">
        <v>15</v>
      </c>
      <c r="B87" s="3571"/>
      <c r="C87" s="2830" t="s">
        <v>2680</v>
      </c>
      <c r="D87" s="2830" t="s">
        <v>2681</v>
      </c>
      <c r="E87" s="2856">
        <v>0.1</v>
      </c>
      <c r="F87" s="2856">
        <v>15</v>
      </c>
    </row>
    <row r="88" spans="1:6" ht="24">
      <c r="A88" s="2856">
        <v>16</v>
      </c>
      <c r="B88" s="3571"/>
      <c r="C88" s="2830" t="s">
        <v>2682</v>
      </c>
      <c r="D88" s="2830" t="s">
        <v>2683</v>
      </c>
      <c r="E88" s="2856">
        <v>0.1</v>
      </c>
      <c r="F88" s="2856">
        <v>15</v>
      </c>
    </row>
    <row r="89" spans="1:6" ht="24">
      <c r="A89" s="2856">
        <v>17</v>
      </c>
      <c r="B89" s="3570"/>
      <c r="C89" s="2830" t="s">
        <v>2684</v>
      </c>
      <c r="D89" s="2830" t="s">
        <v>2685</v>
      </c>
      <c r="E89" s="2856">
        <v>0.1</v>
      </c>
      <c r="F89" s="2856">
        <v>15</v>
      </c>
    </row>
    <row r="90" spans="1:6" ht="13.5">
      <c r="A90" s="2856">
        <v>18</v>
      </c>
      <c r="B90" s="3569" t="s">
        <v>2686</v>
      </c>
      <c r="C90" s="2830" t="s">
        <v>2687</v>
      </c>
      <c r="D90" s="2830" t="s">
        <v>2688</v>
      </c>
      <c r="E90" s="2856">
        <v>0.2</v>
      </c>
      <c r="F90" s="2856">
        <v>25</v>
      </c>
    </row>
    <row r="91" spans="1:6" ht="24">
      <c r="A91" s="2856">
        <v>19</v>
      </c>
      <c r="B91" s="3571"/>
      <c r="C91" s="2830" t="s">
        <v>2689</v>
      </c>
      <c r="D91" s="2830" t="s">
        <v>2690</v>
      </c>
      <c r="E91" s="2856">
        <v>0.2</v>
      </c>
      <c r="F91" s="2856">
        <v>25</v>
      </c>
    </row>
    <row r="92" spans="1:6" ht="13.5">
      <c r="A92" s="2856">
        <v>20</v>
      </c>
      <c r="B92" s="3571"/>
      <c r="C92" s="2830" t="s">
        <v>2691</v>
      </c>
      <c r="D92" s="2830" t="s">
        <v>2692</v>
      </c>
      <c r="E92" s="2856">
        <v>0.15</v>
      </c>
      <c r="F92" s="2856">
        <v>20</v>
      </c>
    </row>
    <row r="93" spans="1:6" ht="13.5">
      <c r="A93" s="2856">
        <v>21</v>
      </c>
      <c r="B93" s="3571"/>
      <c r="C93" s="2830" t="s">
        <v>2693</v>
      </c>
      <c r="D93" s="2830" t="s">
        <v>2694</v>
      </c>
      <c r="E93" s="2856">
        <v>0.15</v>
      </c>
      <c r="F93" s="2856">
        <v>20</v>
      </c>
    </row>
    <row r="94" spans="1:6" ht="13.5">
      <c r="A94" s="2856">
        <v>22</v>
      </c>
      <c r="B94" s="3571"/>
      <c r="C94" s="2830" t="s">
        <v>2695</v>
      </c>
      <c r="D94" s="2830" t="s">
        <v>2696</v>
      </c>
      <c r="E94" s="2856">
        <v>0.15</v>
      </c>
      <c r="F94" s="2856">
        <v>20</v>
      </c>
    </row>
    <row r="95" spans="1:6" ht="36">
      <c r="A95" s="2856">
        <v>23</v>
      </c>
      <c r="B95" s="3571"/>
      <c r="C95" s="2830" t="s">
        <v>2697</v>
      </c>
      <c r="D95" s="2830" t="s">
        <v>2698</v>
      </c>
      <c r="E95" s="2856">
        <v>0.15</v>
      </c>
      <c r="F95" s="2856">
        <v>20</v>
      </c>
    </row>
    <row r="96" spans="1:6" ht="13.5">
      <c r="A96" s="2856">
        <v>24</v>
      </c>
      <c r="B96" s="3571"/>
      <c r="C96" s="2830" t="s">
        <v>2699</v>
      </c>
      <c r="D96" s="2830" t="s">
        <v>2700</v>
      </c>
      <c r="E96" s="2856">
        <v>0.1</v>
      </c>
      <c r="F96" s="2856">
        <v>15</v>
      </c>
    </row>
    <row r="97" spans="1:6" ht="13.5">
      <c r="A97" s="2856">
        <v>25</v>
      </c>
      <c r="B97" s="3571"/>
      <c r="C97" s="2830" t="s">
        <v>2701</v>
      </c>
      <c r="D97" s="2830" t="s">
        <v>2702</v>
      </c>
      <c r="E97" s="2856">
        <v>0.1</v>
      </c>
      <c r="F97" s="2856">
        <v>15</v>
      </c>
    </row>
    <row r="98" spans="1:6" ht="24">
      <c r="A98" s="2856">
        <v>26</v>
      </c>
      <c r="B98" s="3571"/>
      <c r="C98" s="2830" t="s">
        <v>2703</v>
      </c>
      <c r="D98" s="2830" t="s">
        <v>2704</v>
      </c>
      <c r="E98" s="2856">
        <v>0.1</v>
      </c>
      <c r="F98" s="2856">
        <v>15</v>
      </c>
    </row>
    <row r="99" spans="1:6" ht="24">
      <c r="A99" s="2856">
        <v>27</v>
      </c>
      <c r="B99" s="3571"/>
      <c r="C99" s="2830" t="s">
        <v>2705</v>
      </c>
      <c r="D99" s="2830" t="s">
        <v>2706</v>
      </c>
      <c r="E99" s="2856">
        <v>0.1</v>
      </c>
      <c r="F99" s="2856">
        <v>15</v>
      </c>
    </row>
    <row r="100" spans="1:6" ht="13.5">
      <c r="A100" s="2856">
        <v>28</v>
      </c>
      <c r="B100" s="3571"/>
      <c r="C100" s="2830" t="s">
        <v>2707</v>
      </c>
      <c r="D100" s="2830" t="s">
        <v>2708</v>
      </c>
      <c r="E100" s="2856">
        <v>0.1</v>
      </c>
      <c r="F100" s="2856">
        <v>15</v>
      </c>
    </row>
    <row r="101" spans="1:6" ht="13.5">
      <c r="A101" s="2856">
        <v>29</v>
      </c>
      <c r="B101" s="3571"/>
      <c r="C101" s="2830" t="s">
        <v>2709</v>
      </c>
      <c r="D101" s="2830" t="s">
        <v>2710</v>
      </c>
      <c r="E101" s="2856">
        <v>0.1</v>
      </c>
      <c r="F101" s="2856">
        <v>15</v>
      </c>
    </row>
    <row r="102" spans="1:6" ht="13.5">
      <c r="A102" s="2856">
        <v>30</v>
      </c>
      <c r="B102" s="3571"/>
      <c r="C102" s="2830" t="s">
        <v>2711</v>
      </c>
      <c r="D102" s="2830" t="s">
        <v>2712</v>
      </c>
      <c r="E102" s="2856">
        <v>0.1</v>
      </c>
      <c r="F102" s="2856">
        <v>15</v>
      </c>
    </row>
    <row r="103" spans="1:6" ht="24">
      <c r="A103" s="2856">
        <v>31</v>
      </c>
      <c r="B103" s="3571"/>
      <c r="C103" s="2830" t="s">
        <v>2713</v>
      </c>
      <c r="D103" s="2830" t="s">
        <v>2714</v>
      </c>
      <c r="E103" s="2856">
        <v>0.1</v>
      </c>
      <c r="F103" s="2856">
        <v>15</v>
      </c>
    </row>
    <row r="104" spans="1:6" ht="24">
      <c r="A104" s="2856">
        <v>32</v>
      </c>
      <c r="B104" s="3571"/>
      <c r="C104" s="2830" t="s">
        <v>2715</v>
      </c>
      <c r="D104" s="2830" t="s">
        <v>2716</v>
      </c>
      <c r="E104" s="2856">
        <v>0.1</v>
      </c>
      <c r="F104" s="2856">
        <v>15</v>
      </c>
    </row>
    <row r="105" spans="1:6" ht="24">
      <c r="A105" s="2856">
        <v>33</v>
      </c>
      <c r="B105" s="3571"/>
      <c r="C105" s="2830" t="s">
        <v>2717</v>
      </c>
      <c r="D105" s="2830" t="s">
        <v>2718</v>
      </c>
      <c r="E105" s="2856">
        <v>0.1</v>
      </c>
      <c r="F105" s="2856">
        <v>15</v>
      </c>
    </row>
    <row r="106" spans="1:6" ht="24">
      <c r="A106" s="2856">
        <v>34</v>
      </c>
      <c r="B106" s="3570"/>
      <c r="C106" s="2830" t="s">
        <v>2719</v>
      </c>
      <c r="D106" s="2830" t="s">
        <v>2720</v>
      </c>
      <c r="E106" s="2856">
        <v>0.1</v>
      </c>
      <c r="F106" s="2856">
        <v>15</v>
      </c>
    </row>
    <row r="107" spans="1:6" ht="24">
      <c r="A107" s="2856">
        <v>35</v>
      </c>
      <c r="B107" s="3569" t="s">
        <v>2721</v>
      </c>
      <c r="C107" s="2856" t="s">
        <v>2722</v>
      </c>
      <c r="D107" s="2830" t="s">
        <v>2723</v>
      </c>
      <c r="E107" s="2856">
        <v>0.15</v>
      </c>
      <c r="F107" s="2856">
        <v>20</v>
      </c>
    </row>
    <row r="108" spans="1:6" ht="13.5">
      <c r="A108" s="2856">
        <v>36</v>
      </c>
      <c r="B108" s="3571"/>
      <c r="C108" s="2856" t="s">
        <v>2724</v>
      </c>
      <c r="D108" s="2830" t="s">
        <v>2725</v>
      </c>
      <c r="E108" s="2856">
        <v>0.15</v>
      </c>
      <c r="F108" s="2856">
        <v>20</v>
      </c>
    </row>
    <row r="109" spans="1:6" ht="13.5">
      <c r="A109" s="2856">
        <v>37</v>
      </c>
      <c r="B109" s="3571"/>
      <c r="C109" s="2856" t="s">
        <v>2726</v>
      </c>
      <c r="D109" s="2830" t="s">
        <v>2727</v>
      </c>
      <c r="E109" s="2856">
        <v>0.15</v>
      </c>
      <c r="F109" s="2856">
        <v>20</v>
      </c>
    </row>
    <row r="110" spans="1:6" ht="13.5">
      <c r="A110" s="2856">
        <v>38</v>
      </c>
      <c r="B110" s="3571"/>
      <c r="C110" s="2856" t="s">
        <v>2728</v>
      </c>
      <c r="D110" s="2830" t="s">
        <v>2729</v>
      </c>
      <c r="E110" s="2856">
        <v>0.1</v>
      </c>
      <c r="F110" s="2856">
        <v>15</v>
      </c>
    </row>
    <row r="111" spans="1:6" ht="24">
      <c r="A111" s="2856">
        <v>39</v>
      </c>
      <c r="B111" s="3571"/>
      <c r="C111" s="2856" t="s">
        <v>2730</v>
      </c>
      <c r="D111" s="2830" t="s">
        <v>2731</v>
      </c>
      <c r="E111" s="2856">
        <v>0.1</v>
      </c>
      <c r="F111" s="2856">
        <v>15</v>
      </c>
    </row>
    <row r="112" spans="1:6" ht="24">
      <c r="A112" s="2856">
        <v>40</v>
      </c>
      <c r="B112" s="3570"/>
      <c r="C112" s="2856" t="s">
        <v>2732</v>
      </c>
      <c r="D112" s="2830" t="s">
        <v>2733</v>
      </c>
      <c r="E112" s="2856">
        <v>0.1</v>
      </c>
      <c r="F112" s="2856">
        <v>15</v>
      </c>
    </row>
    <row r="113" spans="1:6" ht="13.5">
      <c r="A113" s="2856">
        <v>41</v>
      </c>
      <c r="B113" s="3568" t="s">
        <v>2734</v>
      </c>
      <c r="C113" s="2856" t="s">
        <v>2735</v>
      </c>
      <c r="D113" s="2830" t="s">
        <v>2736</v>
      </c>
      <c r="E113" s="2856">
        <v>0.1</v>
      </c>
      <c r="F113" s="2856">
        <v>15</v>
      </c>
    </row>
    <row r="114" spans="1:6" ht="13.5">
      <c r="A114" s="2856">
        <v>42</v>
      </c>
      <c r="B114" s="3568"/>
      <c r="C114" s="2856" t="s">
        <v>2737</v>
      </c>
      <c r="D114" s="2830" t="s">
        <v>2738</v>
      </c>
      <c r="E114" s="2856">
        <v>0.1</v>
      </c>
      <c r="F114" s="2856">
        <v>15</v>
      </c>
    </row>
    <row r="115" spans="1:6" ht="24">
      <c r="A115" s="2856">
        <v>43</v>
      </c>
      <c r="B115" s="3568"/>
      <c r="C115" s="2856" t="s">
        <v>2739</v>
      </c>
      <c r="D115" s="2830" t="s">
        <v>2740</v>
      </c>
      <c r="E115" s="2856">
        <v>0.1</v>
      </c>
      <c r="F115" s="2856">
        <v>15</v>
      </c>
    </row>
    <row r="116" spans="1:6" ht="13.5">
      <c r="A116" s="2856">
        <v>44</v>
      </c>
      <c r="B116" s="3569" t="s">
        <v>2741</v>
      </c>
      <c r="C116" s="2856" t="s">
        <v>2742</v>
      </c>
      <c r="D116" s="2830" t="s">
        <v>2743</v>
      </c>
      <c r="E116" s="2856">
        <v>0.1</v>
      </c>
      <c r="F116" s="2856">
        <v>15</v>
      </c>
    </row>
    <row r="117" spans="1:6" ht="24">
      <c r="A117" s="2856">
        <v>45</v>
      </c>
      <c r="B117" s="3570"/>
      <c r="C117" s="2830" t="s">
        <v>2744</v>
      </c>
      <c r="D117" s="2830" t="s">
        <v>2745</v>
      </c>
      <c r="E117" s="2856">
        <v>0.1</v>
      </c>
      <c r="F117" s="2856">
        <v>15</v>
      </c>
    </row>
    <row r="118" spans="1:6" ht="24">
      <c r="A118" s="2856">
        <v>46</v>
      </c>
      <c r="B118" s="3569" t="s">
        <v>2746</v>
      </c>
      <c r="C118" s="2856" t="s">
        <v>2747</v>
      </c>
      <c r="D118" s="2830" t="s">
        <v>2748</v>
      </c>
      <c r="E118" s="2856">
        <v>0.1</v>
      </c>
      <c r="F118" s="2856">
        <v>15</v>
      </c>
    </row>
    <row r="119" spans="1:6" ht="24">
      <c r="A119" s="2856">
        <v>47</v>
      </c>
      <c r="B119" s="3570"/>
      <c r="C119" s="2856" t="s">
        <v>2749</v>
      </c>
      <c r="D119" s="2830" t="s">
        <v>2750</v>
      </c>
      <c r="E119" s="2856">
        <v>0.1</v>
      </c>
      <c r="F119" s="2856">
        <v>15</v>
      </c>
    </row>
    <row r="120" spans="1:6" ht="13.5">
      <c r="A120" s="2856">
        <v>48</v>
      </c>
      <c r="B120" s="3569" t="s">
        <v>2751</v>
      </c>
      <c r="C120" s="2856" t="s">
        <v>2752</v>
      </c>
      <c r="D120" s="2830" t="s">
        <v>2753</v>
      </c>
      <c r="E120" s="2856">
        <v>0.1</v>
      </c>
      <c r="F120" s="2856">
        <v>15</v>
      </c>
    </row>
    <row r="121" spans="1:6" ht="13.5">
      <c r="A121" s="2856">
        <v>49</v>
      </c>
      <c r="B121" s="3570"/>
      <c r="C121" s="2856" t="s">
        <v>2754</v>
      </c>
      <c r="D121" s="2830" t="s">
        <v>2755</v>
      </c>
      <c r="E121" s="2856">
        <v>0.1</v>
      </c>
      <c r="F121" s="2856">
        <v>15</v>
      </c>
    </row>
    <row r="122" spans="1:6" ht="24">
      <c r="A122" s="2856">
        <v>50</v>
      </c>
      <c r="B122" s="3568" t="s">
        <v>2756</v>
      </c>
      <c r="C122" s="2856" t="s">
        <v>2757</v>
      </c>
      <c r="D122" s="2830" t="s">
        <v>2758</v>
      </c>
      <c r="E122" s="2856">
        <v>0.1</v>
      </c>
      <c r="F122" s="2856">
        <v>15</v>
      </c>
    </row>
    <row r="123" spans="1:6" ht="24">
      <c r="A123" s="2856">
        <v>51</v>
      </c>
      <c r="B123" s="3568"/>
      <c r="C123" s="2856" t="s">
        <v>2759</v>
      </c>
      <c r="D123" s="2830" t="s">
        <v>2760</v>
      </c>
      <c r="E123" s="2856">
        <v>0.1</v>
      </c>
      <c r="F123" s="2856">
        <v>15</v>
      </c>
    </row>
    <row r="124" spans="1:6" ht="24">
      <c r="A124" s="2856">
        <v>52</v>
      </c>
      <c r="B124" s="3568" t="s">
        <v>2761</v>
      </c>
      <c r="C124" s="2856" t="s">
        <v>2762</v>
      </c>
      <c r="D124" s="2830" t="s">
        <v>2763</v>
      </c>
      <c r="E124" s="2856">
        <v>0.1</v>
      </c>
      <c r="F124" s="2856">
        <v>15</v>
      </c>
    </row>
    <row r="125" spans="1:6" ht="24">
      <c r="A125" s="2856">
        <v>53</v>
      </c>
      <c r="B125" s="3568"/>
      <c r="C125" s="2856" t="s">
        <v>2764</v>
      </c>
      <c r="D125" s="2830" t="s">
        <v>2765</v>
      </c>
      <c r="E125" s="2856">
        <v>0.1</v>
      </c>
      <c r="F125" s="2856">
        <v>15</v>
      </c>
    </row>
    <row r="126" spans="1:6" ht="13.5">
      <c r="A126" s="2856">
        <v>54</v>
      </c>
      <c r="B126" s="2856" t="s">
        <v>2766</v>
      </c>
      <c r="C126" s="2856" t="s">
        <v>2767</v>
      </c>
      <c r="D126" s="2830" t="s">
        <v>2768</v>
      </c>
      <c r="E126" s="2856">
        <v>0.1</v>
      </c>
      <c r="F126" s="2856">
        <v>15</v>
      </c>
    </row>
    <row r="127" spans="1:6" ht="13.5">
      <c r="A127" s="2856">
        <v>55</v>
      </c>
      <c r="B127" s="3568" t="s">
        <v>2769</v>
      </c>
      <c r="C127" s="2856" t="s">
        <v>2770</v>
      </c>
      <c r="D127" s="2830" t="s">
        <v>2771</v>
      </c>
      <c r="E127" s="2856">
        <v>0.1</v>
      </c>
      <c r="F127" s="2856">
        <v>15</v>
      </c>
    </row>
    <row r="128" spans="1:6" ht="13.5">
      <c r="A128" s="2856">
        <v>56</v>
      </c>
      <c r="B128" s="3568"/>
      <c r="C128" s="2856" t="s">
        <v>2772</v>
      </c>
      <c r="D128" s="2830" t="s">
        <v>2773</v>
      </c>
      <c r="E128" s="2856">
        <v>0.1</v>
      </c>
      <c r="F128" s="2856">
        <v>15</v>
      </c>
    </row>
    <row r="129" spans="1:6" ht="24">
      <c r="A129" s="2856">
        <v>57</v>
      </c>
      <c r="B129" s="3568"/>
      <c r="C129" s="2856" t="s">
        <v>2774</v>
      </c>
      <c r="D129" s="2830" t="s">
        <v>2775</v>
      </c>
      <c r="E129" s="2856">
        <v>0.1</v>
      </c>
      <c r="F129" s="2856">
        <v>15</v>
      </c>
    </row>
    <row r="130" spans="1:6" ht="24">
      <c r="A130" s="2856">
        <v>58</v>
      </c>
      <c r="B130" s="3568" t="s">
        <v>2776</v>
      </c>
      <c r="C130" s="2856" t="s">
        <v>2777</v>
      </c>
      <c r="D130" s="2830" t="s">
        <v>2778</v>
      </c>
      <c r="E130" s="2856">
        <v>0.1</v>
      </c>
      <c r="F130" s="2856">
        <v>15</v>
      </c>
    </row>
    <row r="131" spans="1:6" ht="13.5">
      <c r="A131" s="2856">
        <v>59</v>
      </c>
      <c r="B131" s="3568"/>
      <c r="C131" s="2856" t="s">
        <v>2779</v>
      </c>
      <c r="D131" s="2830" t="s">
        <v>2780</v>
      </c>
      <c r="E131" s="2856">
        <v>0.1</v>
      </c>
      <c r="F131" s="2856">
        <v>15</v>
      </c>
    </row>
    <row r="132" spans="1:6" ht="13.5">
      <c r="A132" s="2856">
        <v>60</v>
      </c>
      <c r="B132" s="3569" t="s">
        <v>2781</v>
      </c>
      <c r="C132" s="2856" t="s">
        <v>2782</v>
      </c>
      <c r="D132" s="2830" t="s">
        <v>2783</v>
      </c>
      <c r="E132" s="2856">
        <v>0.1</v>
      </c>
      <c r="F132" s="2856">
        <v>15</v>
      </c>
    </row>
    <row r="133" spans="1:6" ht="13.5">
      <c r="A133" s="2856">
        <v>61</v>
      </c>
      <c r="B133" s="3570"/>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13.5">
      <c r="A135" s="2856">
        <v>63</v>
      </c>
      <c r="B135" s="3568" t="s">
        <v>2789</v>
      </c>
      <c r="C135" s="2856" t="s">
        <v>2790</v>
      </c>
      <c r="D135" s="2830" t="s">
        <v>2791</v>
      </c>
      <c r="E135" s="2856">
        <v>0.1</v>
      </c>
      <c r="F135" s="2856">
        <v>15</v>
      </c>
    </row>
    <row r="136" spans="1:6" ht="13.5">
      <c r="A136" s="2856">
        <v>64</v>
      </c>
      <c r="B136" s="3568"/>
      <c r="C136" s="2856" t="s">
        <v>2792</v>
      </c>
      <c r="D136" s="2830" t="s">
        <v>2793</v>
      </c>
      <c r="E136" s="2856">
        <v>0.1</v>
      </c>
      <c r="F136" s="2856">
        <v>15</v>
      </c>
    </row>
    <row r="137" spans="1:6" ht="13.5">
      <c r="A137" s="2856">
        <v>65</v>
      </c>
      <c r="B137" s="2856" t="s">
        <v>2794</v>
      </c>
      <c r="C137" s="2856" t="s">
        <v>2795</v>
      </c>
      <c r="D137" s="2830" t="s">
        <v>2796</v>
      </c>
      <c r="E137" s="2856">
        <v>0.1</v>
      </c>
      <c r="F137" s="2856">
        <v>15</v>
      </c>
    </row>
    <row r="138" spans="1:6" ht="13.5">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SUMPRODUCT((A95:A184=ROUNDDOWN('基准地价修正-商业'!G3,1))*(B94:M94='基准地价修正-商业'!G2)*(B95:M184))</f>
        <v>1.0637000000000001</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SUMPRODUCT((A371:A460=ROUNDDOWN('基准地价修正-商业'!G3,1))*(B370:M370='基准地价修正-商业'!G2)*(B371:M460))</f>
        <v>1.0118</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30888</v>
      </c>
      <c r="C2" s="2" t="s">
        <v>106</v>
      </c>
      <c r="D2" s="191"/>
      <c r="E2" s="191"/>
      <c r="F2" s="191"/>
      <c r="G2" s="191"/>
    </row>
    <row r="3" spans="1:7" s="192" customFormat="1" ht="18" customHeight="1" thickBot="1">
      <c r="A3" s="195" t="s">
        <v>58</v>
      </c>
      <c r="B3" s="196">
        <f ca="1">ROUND(B2*10000/'数据-汇总表'!E3,0)</f>
        <v>64756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95</v>
      </c>
      <c r="D10" s="795">
        <f>'数据-汇总表'!E6</f>
        <v>4769.92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95</v>
      </c>
      <c r="D19" s="204">
        <f>'数据-汇总表'!E3</f>
        <v>4769.92</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1468</v>
      </c>
      <c r="D22" s="227">
        <f ca="1">C26</f>
        <v>6.9999999999999999E-4</v>
      </c>
      <c r="E22" s="228" t="s">
        <v>99</v>
      </c>
      <c r="F22" s="229">
        <f ca="1">'数据-取费表'!B40</f>
        <v>3.4500000000000003E-2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1447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7</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4.75">
      <c r="A27" s="731" t="s">
        <v>342</v>
      </c>
      <c r="B27" s="236" t="s">
        <v>85</v>
      </c>
      <c r="C27" s="237">
        <f>C28</f>
        <v>4224</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4224</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29080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1839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1669</v>
      </c>
      <c r="D34" s="209"/>
      <c r="E34" s="212"/>
      <c r="F34" s="249">
        <f>IF('数据-取费表'!B24=0,1,'数据-取费表'!N16)</f>
        <v>1</v>
      </c>
      <c r="G34" s="211" t="s">
        <v>89</v>
      </c>
    </row>
    <row r="35" spans="1:7" ht="13.5" customHeight="1">
      <c r="A35" s="734" t="s">
        <v>351</v>
      </c>
      <c r="B35" s="207" t="s">
        <v>33</v>
      </c>
      <c r="C35" s="212">
        <f>ROUND(C34*F35,0)</f>
        <v>50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95</v>
      </c>
      <c r="D37" s="209">
        <f>'数据-汇总表'!E3</f>
        <v>4769.92</v>
      </c>
      <c r="E37" s="241">
        <f>'数据-取费表'!B35</f>
        <v>200</v>
      </c>
      <c r="F37" s="251"/>
      <c r="G37" s="253" t="s">
        <v>92</v>
      </c>
    </row>
    <row r="38" spans="1:7" ht="13.5" customHeight="1">
      <c r="A38" s="734" t="s">
        <v>354</v>
      </c>
      <c r="B38" s="207" t="s">
        <v>36</v>
      </c>
      <c r="C38" s="212">
        <f>ROUND(C34*F38,0)</f>
        <v>25</v>
      </c>
      <c r="D38" s="212"/>
      <c r="E38" s="212"/>
      <c r="F38" s="251">
        <f>'数据-取费表'!B36</f>
        <v>1.4999999999999999E-2</v>
      </c>
      <c r="G38" s="211" t="s">
        <v>90</v>
      </c>
    </row>
    <row r="39" spans="1:7" s="206" customFormat="1" ht="13.5" customHeight="1">
      <c r="A39" s="731" t="s">
        <v>338</v>
      </c>
      <c r="B39" s="202" t="s">
        <v>77</v>
      </c>
      <c r="C39" s="224">
        <f>ROUND(C33*F20,0)</f>
        <v>37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64</v>
      </c>
      <c r="D41" s="227">
        <f ca="1">C44</f>
        <v>6.9999999999999999E-4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63</v>
      </c>
      <c r="D42" s="230"/>
      <c r="E42" s="230"/>
      <c r="F42" s="231"/>
      <c r="G42" s="3441" t="s">
        <v>94</v>
      </c>
    </row>
    <row r="43" spans="1:7" ht="13.5" customHeight="1">
      <c r="A43" s="734" t="s">
        <v>347</v>
      </c>
      <c r="B43" s="207" t="s">
        <v>426</v>
      </c>
      <c r="C43" s="230">
        <f ca="1">ROUND(IF('数据-取费表'!B22&lt;=1,C39*F22*'数据-取费表'!B21/2,C39*(POWER((1+F22),'数据-取费表'!B21/2)-1)),0)</f>
        <v>1</v>
      </c>
      <c r="D43" s="230"/>
      <c r="E43" s="230"/>
      <c r="F43" s="231"/>
      <c r="G43" s="3442"/>
    </row>
    <row r="44" spans="1:7" ht="13.5" customHeight="1">
      <c r="A44" s="734" t="s">
        <v>348</v>
      </c>
      <c r="B44" s="207" t="s">
        <v>428</v>
      </c>
      <c r="C44" s="230">
        <f ca="1">ROUND(IF('数据-取费表'!B22&lt;=1,C40*F22*'数据-取费表'!B21/2,C40*(POWER((1+F22),'数据-取费表'!B21/2)-1)),4)</f>
        <v>6.9999999999999999E-4</v>
      </c>
      <c r="D44" s="230"/>
      <c r="E44" s="230"/>
      <c r="F44" s="231"/>
      <c r="G44" s="3443"/>
    </row>
    <row r="45" spans="1:7" s="206" customFormat="1" ht="13.5" customHeight="1">
      <c r="A45" s="731" t="s">
        <v>341</v>
      </c>
      <c r="B45" s="236" t="s">
        <v>85</v>
      </c>
      <c r="C45" s="237">
        <f>C46</f>
        <v>375</v>
      </c>
      <c r="D45" s="227">
        <f>C47</f>
        <v>4.0000000000000001E-3</v>
      </c>
      <c r="E45" s="228" t="s">
        <v>102</v>
      </c>
      <c r="F45" s="238"/>
      <c r="G45" s="239" t="s">
        <v>434</v>
      </c>
    </row>
    <row r="46" spans="1:7" s="206" customFormat="1" ht="13.5" customHeight="1">
      <c r="A46" s="734" t="s">
        <v>349</v>
      </c>
      <c r="B46" s="240" t="s">
        <v>427</v>
      </c>
      <c r="C46" s="241">
        <f>ROUND((C33+C39)*F27,0)</f>
        <v>375</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2511</v>
      </c>
      <c r="D49" s="224"/>
      <c r="E49" s="224"/>
      <c r="F49" s="256"/>
      <c r="G49" s="226" t="s">
        <v>435</v>
      </c>
    </row>
    <row r="50" spans="1:7" s="250" customFormat="1" ht="24">
      <c r="A50" s="731" t="s">
        <v>344</v>
      </c>
      <c r="B50" s="202" t="s">
        <v>97</v>
      </c>
      <c r="C50" s="224"/>
      <c r="D50" s="224"/>
      <c r="E50" s="224"/>
      <c r="F50" s="256">
        <f>IF('数据-取费表'!B24=0,'数据-取费表'!N16,1)</f>
        <v>0.72</v>
      </c>
      <c r="G50" s="239" t="s">
        <v>98</v>
      </c>
    </row>
    <row r="51" spans="1:7" ht="16.5" customHeight="1">
      <c r="A51" s="731" t="s">
        <v>345</v>
      </c>
      <c r="B51" s="202" t="s">
        <v>105</v>
      </c>
      <c r="C51" s="224">
        <f ca="1">ROUND(C49*F50,0)</f>
        <v>1808</v>
      </c>
      <c r="D51" s="224"/>
      <c r="E51" s="224"/>
      <c r="F51" s="256"/>
      <c r="G51" s="226" t="s">
        <v>37</v>
      </c>
    </row>
    <row r="52" spans="1:7" s="200" customFormat="1" ht="16.5" thickBot="1">
      <c r="A52" s="257" t="s">
        <v>38</v>
      </c>
      <c r="B52" s="258"/>
      <c r="C52" s="259">
        <f ca="1">C31+C51</f>
        <v>30888</v>
      </c>
      <c r="D52" s="258"/>
      <c r="E52" s="258"/>
      <c r="F52" s="258"/>
      <c r="G52" s="260"/>
    </row>
    <row r="55" spans="1:7" ht="15">
      <c r="B55" s="262" t="s">
        <v>39</v>
      </c>
      <c r="C55" s="263"/>
    </row>
    <row r="56" spans="1:7">
      <c r="B56" s="265" t="s">
        <v>40</v>
      </c>
      <c r="C56" s="266">
        <f ca="1">ROUND(C51/C52,3)</f>
        <v>5.8999999999999997E-2</v>
      </c>
    </row>
    <row r="57" spans="1:7">
      <c r="B57" s="265" t="s">
        <v>41</v>
      </c>
      <c r="C57" s="267">
        <f ca="1">1-C56</f>
        <v>0.94100000000000006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1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82" t="s">
        <v>2839</v>
      </c>
      <c r="B1" s="3582"/>
      <c r="C1" s="3582"/>
      <c r="D1" s="3582"/>
      <c r="E1" s="3582"/>
      <c r="F1" s="3582"/>
      <c r="G1" s="3583"/>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80"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581"/>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84" t="s">
        <v>3181</v>
      </c>
      <c r="B1" s="3584"/>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2"/>
  </cols>
  <sheetData>
    <row r="1" spans="1:6" ht="14.25">
      <c r="A1" s="3585" t="s">
        <v>3232</v>
      </c>
      <c r="B1" s="3585"/>
      <c r="C1" s="3585"/>
      <c r="D1" s="3585"/>
      <c r="E1" s="3585"/>
      <c r="F1" s="3586"/>
    </row>
    <row r="2" spans="1:6" ht="14.25">
      <c r="A2" s="3001" t="s">
        <v>3233</v>
      </c>
    </row>
    <row r="3" spans="1:6" ht="14.25">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zoomScale="80" zoomScaleNormal="80" workbookViewId="0">
      <selection activeCell="H13" sqref="H13"/>
    </sheetView>
  </sheetViews>
  <sheetFormatPr defaultRowHeight="13.5"/>
  <cols>
    <col min="1" max="1" width="13.875" customWidth="1"/>
    <col min="11" max="17" width="0" hidden="1" customWidth="1"/>
    <col min="25" max="30" width="0" hidden="1" customWidth="1"/>
  </cols>
  <sheetData>
    <row r="1" spans="1:30">
      <c r="A1" s="2936">
        <f>'基准地价修正-商业'!G23</f>
        <v>45352</v>
      </c>
      <c r="B1" s="2928" t="s">
        <v>3372</v>
      </c>
      <c r="C1" s="2929"/>
      <c r="D1" s="2929"/>
      <c r="E1" s="2929"/>
      <c r="F1" s="2929"/>
      <c r="G1" s="2929"/>
      <c r="H1" s="2929"/>
      <c r="I1" s="2929"/>
      <c r="J1" s="2895"/>
      <c r="K1" s="2929" t="s">
        <v>454</v>
      </c>
      <c r="L1" s="2929"/>
      <c r="M1" s="2929"/>
      <c r="N1" s="2929"/>
      <c r="O1" s="2929"/>
      <c r="P1" s="2929"/>
      <c r="Q1" s="2895"/>
      <c r="R1" s="3587" t="s">
        <v>456</v>
      </c>
      <c r="S1" s="3588"/>
      <c r="T1" s="3588"/>
      <c r="U1" s="3588"/>
      <c r="V1" s="3588"/>
      <c r="W1" s="3588"/>
      <c r="X1" s="2895"/>
      <c r="Y1" s="3587" t="s">
        <v>457</v>
      </c>
      <c r="Z1" s="3588"/>
      <c r="AA1" s="3588"/>
      <c r="AB1" s="3588"/>
      <c r="AC1" s="3588"/>
      <c r="AD1" s="3588"/>
    </row>
    <row r="2" spans="1:30" s="2010" customFormat="1" ht="14.2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2.75">
      <c r="A3" s="2883" t="s">
        <v>2819</v>
      </c>
      <c r="B3" s="2884"/>
      <c r="D3" s="2885">
        <f>ROUND(AVERAGEIF(D4:D18,"&lt;&gt;0"),2)</f>
        <v>0.73</v>
      </c>
      <c r="E3" s="2885">
        <f t="shared" ref="E3:H3" si="0">ROUND(AVERAGEIF(E4:E18,"&lt;&gt;0"),2)</f>
        <v>0.4</v>
      </c>
      <c r="F3" s="2885">
        <f t="shared" si="0"/>
        <v>0.2</v>
      </c>
      <c r="G3" s="2885">
        <f t="shared" si="0"/>
        <v>0.78</v>
      </c>
      <c r="H3" s="2885">
        <f t="shared" si="0"/>
        <v>0.63</v>
      </c>
      <c r="I3" s="2885">
        <f>F3</f>
        <v>0.2</v>
      </c>
      <c r="J3" s="2886"/>
      <c r="K3" s="2887">
        <f>ROUND(AVERAGEIF(K4:K18,"&lt;&gt;0"),4)</f>
        <v>7.3000000000000001E-3</v>
      </c>
      <c r="L3" s="2888">
        <f t="shared" ref="L3:O3" si="1">ROUND(AVERAGEIF(L4:L18,"&lt;&gt;0"),4)</f>
        <v>4.0000000000000001E-3</v>
      </c>
      <c r="M3" s="2888">
        <f t="shared" si="1"/>
        <v>2E-3</v>
      </c>
      <c r="N3" s="2888">
        <f t="shared" si="1"/>
        <v>7.7999999999999996E-3</v>
      </c>
      <c r="O3" s="2888">
        <f t="shared" si="1"/>
        <v>6.3E-3</v>
      </c>
      <c r="P3" s="2888">
        <f>M3</f>
        <v>2E-3</v>
      </c>
      <c r="Q3" s="2886"/>
      <c r="R3" s="2889">
        <f>ROUND(SUMPRODUCT(PRODUCT(1+K4:K18)),4)</f>
        <v>1.0908</v>
      </c>
      <c r="S3" s="2890">
        <f t="shared" ref="S3:V3" si="2">ROUND(SUMPRODUCT(PRODUCT(1+L4:L18)),4)</f>
        <v>1.0488</v>
      </c>
      <c r="T3" s="2890">
        <f t="shared" si="2"/>
        <v>1.024</v>
      </c>
      <c r="U3" s="2890">
        <f t="shared" si="2"/>
        <v>1.0980000000000001</v>
      </c>
      <c r="V3" s="2890">
        <f t="shared" si="2"/>
        <v>1.0779000000000001</v>
      </c>
      <c r="W3" s="2889">
        <f>T3</f>
        <v>1.024</v>
      </c>
      <c r="X3" s="2886"/>
      <c r="Y3" s="2891">
        <f>ROUND(AVERAGEIF(Y5:Y18,"&lt;&gt;0"),4)</f>
        <v>8.6999999999999994E-3</v>
      </c>
      <c r="Z3" s="2892">
        <f t="shared" ref="Z3:AC3" si="3">ROUND(AVERAGEIF(Z5:Z18,"&lt;&gt;0"),4)</f>
        <v>3.5000000000000001E-3</v>
      </c>
      <c r="AA3" s="2893">
        <f t="shared" si="3"/>
        <v>8.9999999999999998E-4</v>
      </c>
      <c r="AB3" s="2891">
        <f t="shared" si="3"/>
        <v>9.4999999999999998E-3</v>
      </c>
      <c r="AC3" s="2894">
        <f t="shared" si="3"/>
        <v>6.1000000000000004E-3</v>
      </c>
      <c r="AD3" s="2891">
        <f>AA3</f>
        <v>8.9999999999999998E-4</v>
      </c>
    </row>
    <row r="4" spans="1:30"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2.75">
      <c r="A5" s="2040" t="s">
        <v>3376</v>
      </c>
      <c r="B5" s="2031">
        <v>2023</v>
      </c>
      <c r="C5" s="2042">
        <v>4</v>
      </c>
      <c r="D5" s="2007">
        <v>0</v>
      </c>
      <c r="E5" s="2007">
        <v>0</v>
      </c>
      <c r="F5" s="2007">
        <v>0</v>
      </c>
      <c r="G5" s="2007">
        <v>0</v>
      </c>
      <c r="H5" s="2007">
        <v>0</v>
      </c>
      <c r="I5" s="2008">
        <f t="shared" ref="I5:I18" si="4">F5</f>
        <v>0</v>
      </c>
      <c r="J5" s="2905"/>
      <c r="K5" s="2043">
        <f t="shared" ref="K5:O18" si="5">D5/100</f>
        <v>0</v>
      </c>
      <c r="L5" s="2028">
        <f t="shared" si="5"/>
        <v>0</v>
      </c>
      <c r="M5" s="2028">
        <f t="shared" si="5"/>
        <v>0</v>
      </c>
      <c r="N5" s="2028">
        <f t="shared" si="5"/>
        <v>0</v>
      </c>
      <c r="O5" s="2028">
        <f t="shared" si="5"/>
        <v>0</v>
      </c>
      <c r="P5" s="2028">
        <f>M5</f>
        <v>0</v>
      </c>
      <c r="Q5" s="2905"/>
      <c r="R5" s="2027">
        <f>ROUND(IF(项目基本情况!$B$8="出让",SUMPRODUCT(PRODUCT(1+K5:$K$18)),SUMPRODUCT(PRODUCT(1+K5:$K$17))),4)</f>
        <v>1.0804</v>
      </c>
      <c r="S5" s="2027">
        <f>ROUND(IF(项目基本情况!$B$8="出让",SUMPRODUCT(PRODUCT(1+L5:$L$18)),SUMPRODUCT(PRODUCT(1+L5:$L$17))),4)</f>
        <v>1.0471999999999999</v>
      </c>
      <c r="T5" s="2027">
        <f>ROUND(IF(项目基本情况!$B$8="出让",SUMPRODUCT(PRODUCT(1+M5:$M$18)),SUMPRODUCT(PRODUCT(1+M5:$M$17))),4)</f>
        <v>1.0266</v>
      </c>
      <c r="U5" s="2027">
        <f>ROUND(IF(项目基本情况!$B$8="出让",SUMPRODUCT(PRODUCT(1+N5:$N$18)),SUMPRODUCT(PRODUCT(1+N5:$N$17))),4)</f>
        <v>1.0859000000000001</v>
      </c>
      <c r="V5" s="2027">
        <f>ROUND(IF(项目基本情况!$B$8="出让",SUMPRODUCT(PRODUCT(1+O5:$O$18)),SUMPRODUCT(PRODUCT(1+O5:$O$17))),4)</f>
        <v>1.0741000000000001</v>
      </c>
      <c r="W5" s="2027">
        <f>T5</f>
        <v>1.0266</v>
      </c>
      <c r="X5" s="2905"/>
      <c r="Y5" s="2028">
        <f>IF(D5=0,0,ROUND(AVERAGE(D5:D18)/100,4))</f>
        <v>0</v>
      </c>
      <c r="Z5" s="2028">
        <f t="shared" ref="Z5:AC5" si="6">IF(E5=0,0,ROUND(AVERAGE(E5:E18)/100,4))</f>
        <v>0</v>
      </c>
      <c r="AA5" s="2028">
        <f t="shared" si="6"/>
        <v>0</v>
      </c>
      <c r="AB5" s="2028">
        <f t="shared" si="6"/>
        <v>0</v>
      </c>
      <c r="AC5" s="2028">
        <f t="shared" si="6"/>
        <v>0</v>
      </c>
      <c r="AD5" s="2028">
        <f t="shared" ref="AD5:AD17" si="7">AA5</f>
        <v>0</v>
      </c>
    </row>
    <row r="6" spans="1:30" s="2045" customFormat="1" ht="12.75">
      <c r="A6" s="2040" t="s">
        <v>3377</v>
      </c>
      <c r="B6" s="2031">
        <v>2023</v>
      </c>
      <c r="C6" s="2042">
        <v>3</v>
      </c>
      <c r="D6" s="2007">
        <v>0</v>
      </c>
      <c r="E6" s="2007">
        <v>0</v>
      </c>
      <c r="F6" s="2007">
        <v>0</v>
      </c>
      <c r="G6" s="2007">
        <v>0</v>
      </c>
      <c r="H6" s="2916">
        <v>0</v>
      </c>
      <c r="I6" s="2008">
        <v>0</v>
      </c>
      <c r="J6" s="2905"/>
      <c r="K6" s="2043">
        <f t="shared" ref="K6" si="8">D6/100</f>
        <v>0</v>
      </c>
      <c r="L6" s="2028">
        <f t="shared" ref="L6" si="9">E6/100</f>
        <v>0</v>
      </c>
      <c r="M6" s="2028">
        <f t="shared" ref="M6" si="10">F6/100</f>
        <v>0</v>
      </c>
      <c r="N6" s="2028">
        <f t="shared" ref="N6" si="11">G6/100</f>
        <v>0</v>
      </c>
      <c r="O6" s="2028">
        <f t="shared" ref="O6" si="12">H6/100</f>
        <v>0</v>
      </c>
      <c r="P6" s="2028">
        <f t="shared" ref="P6" si="13">M6</f>
        <v>0</v>
      </c>
      <c r="Q6" s="2905"/>
      <c r="R6" s="2027">
        <f>ROUND(IF(项目基本情况!$B$8="出让",SUMPRODUCT(PRODUCT(1+K6:$K$18)),SUMPRODUCT(PRODUCT(1+K6:$K$17))),4)</f>
        <v>1.0804</v>
      </c>
      <c r="S6" s="2027">
        <f>ROUND(IF(项目基本情况!$B$8="出让",SUMPRODUCT(PRODUCT(1+L6:$L$18)),SUMPRODUCT(PRODUCT(1+L6:$L$17))),4)</f>
        <v>1.0471999999999999</v>
      </c>
      <c r="T6" s="2027">
        <f>ROUND(IF(项目基本情况!$B$8="出让",SUMPRODUCT(PRODUCT(1+M6:$M$18)),SUMPRODUCT(PRODUCT(1+M6:$M$17))),4)</f>
        <v>1.0266</v>
      </c>
      <c r="U6" s="2027">
        <f>ROUND(IF(项目基本情况!$B$8="出让",SUMPRODUCT(PRODUCT(1+N6:$N$18)),SUMPRODUCT(PRODUCT(1+N6:$N$17))),4)</f>
        <v>1.0859000000000001</v>
      </c>
      <c r="V6" s="2027">
        <f>ROUND(IF(项目基本情况!$B$8="出让",SUMPRODUCT(PRODUCT(1+O6:$O$18)),SUMPRODUCT(PRODUCT(1+O6:$O$17))),4)</f>
        <v>1.0741000000000001</v>
      </c>
      <c r="W6" s="2027">
        <f t="shared" ref="W6" si="14">T6</f>
        <v>1.0266</v>
      </c>
      <c r="X6" s="2905"/>
      <c r="Y6" s="2028"/>
      <c r="Z6" s="2028"/>
      <c r="AA6" s="2028"/>
      <c r="AB6" s="2028"/>
      <c r="AC6" s="2028"/>
      <c r="AD6" s="2028"/>
    </row>
    <row r="7" spans="1:30" s="2045" customFormat="1" ht="12.75">
      <c r="A7" s="2040" t="s">
        <v>3378</v>
      </c>
      <c r="B7" s="3601">
        <v>2023</v>
      </c>
      <c r="C7" s="2909">
        <v>4</v>
      </c>
      <c r="D7" s="2909">
        <v>0.19</v>
      </c>
      <c r="E7" s="2909">
        <v>0.24</v>
      </c>
      <c r="F7" s="2909">
        <v>-0.16</v>
      </c>
      <c r="G7" s="2909">
        <v>0.17</v>
      </c>
      <c r="H7" s="2910">
        <v>0.61</v>
      </c>
      <c r="I7" s="2911">
        <f>F7</f>
        <v>-0.16</v>
      </c>
      <c r="J7" s="2905"/>
      <c r="K7" s="2043">
        <f t="shared" si="5"/>
        <v>1.9E-3</v>
      </c>
      <c r="L7" s="2028">
        <f t="shared" si="5"/>
        <v>2.3999999999999998E-3</v>
      </c>
      <c r="M7" s="2028">
        <f t="shared" si="5"/>
        <v>-1.6000000000000001E-3</v>
      </c>
      <c r="N7" s="2028">
        <f t="shared" si="5"/>
        <v>1.7000000000000001E-3</v>
      </c>
      <c r="O7" s="2028">
        <f t="shared" si="5"/>
        <v>6.0999999999999995E-3</v>
      </c>
      <c r="P7" s="2028">
        <f t="shared" ref="P7" si="15">M7</f>
        <v>-1.6000000000000001E-3</v>
      </c>
      <c r="Q7" s="2905"/>
      <c r="R7" s="2027">
        <f>ROUND(IF(项目基本情况!$B$8="出让",SUMPRODUCT(PRODUCT(1+K7:$K$18)),SUMPRODUCT(PRODUCT(1+K7:$K$17))),4)</f>
        <v>1.0804</v>
      </c>
      <c r="S7" s="2027">
        <f>ROUND(IF(项目基本情况!$B$8="出让",SUMPRODUCT(PRODUCT(1+L7:$L$18)),SUMPRODUCT(PRODUCT(1+L7:$L$17))),4)</f>
        <v>1.0471999999999999</v>
      </c>
      <c r="T7" s="2027">
        <f>ROUND(IF(项目基本情况!$B$8="出让",SUMPRODUCT(PRODUCT(1+M7:$M$18)),SUMPRODUCT(PRODUCT(1+M7:$M$17))),4)</f>
        <v>1.0266</v>
      </c>
      <c r="U7" s="2027">
        <f>ROUND(IF(项目基本情况!$B$8="出让",SUMPRODUCT(PRODUCT(1+N7:$N$18)),SUMPRODUCT(PRODUCT(1+N7:$N$17))),4)</f>
        <v>1.0859000000000001</v>
      </c>
      <c r="V7" s="2027">
        <f>ROUND(IF(项目基本情况!$B$8="出让",SUMPRODUCT(PRODUCT(1+O7:$O$18)),SUMPRODUCT(PRODUCT(1+O7:$O$17))),4)</f>
        <v>1.0741000000000001</v>
      </c>
      <c r="W7" s="2027">
        <f t="shared" ref="W7" si="16">T7</f>
        <v>1.0266</v>
      </c>
      <c r="X7" s="2905"/>
      <c r="Y7" s="2028"/>
      <c r="Z7" s="2028"/>
      <c r="AA7" s="2028"/>
      <c r="AB7" s="2028"/>
      <c r="AC7" s="2028"/>
      <c r="AD7" s="2028"/>
    </row>
    <row r="8" spans="1:30" s="2915" customFormat="1" ht="12.75">
      <c r="A8" s="2906" t="s">
        <v>3370</v>
      </c>
      <c r="B8" s="3602">
        <v>2023</v>
      </c>
      <c r="C8" s="2007">
        <v>3</v>
      </c>
      <c r="D8" s="2007">
        <v>0.25</v>
      </c>
      <c r="E8" s="2007">
        <v>0.5</v>
      </c>
      <c r="F8" s="2007">
        <v>0.31</v>
      </c>
      <c r="G8" s="2007">
        <v>0.21</v>
      </c>
      <c r="H8" s="2916">
        <v>0.43</v>
      </c>
      <c r="I8" s="2008">
        <f t="shared" ref="I8:I10" si="17">F8</f>
        <v>0.31</v>
      </c>
      <c r="J8" s="2912"/>
      <c r="K8" s="2913">
        <f t="shared" ref="K8:K10" si="18">D8/100</f>
        <v>2.5000000000000001E-3</v>
      </c>
      <c r="L8" s="2914">
        <f t="shared" ref="L8:L10" si="19">E8/100</f>
        <v>5.0000000000000001E-3</v>
      </c>
      <c r="M8" s="2914">
        <f t="shared" ref="M8:M10" si="20">F8/100</f>
        <v>3.0999999999999999E-3</v>
      </c>
      <c r="N8" s="2914">
        <f t="shared" ref="N8:N10" si="21">G8/100</f>
        <v>2.0999999999999999E-3</v>
      </c>
      <c r="O8" s="2914">
        <f t="shared" ref="O8:O10" si="22">H8/100</f>
        <v>4.3E-3</v>
      </c>
      <c r="P8" s="2914">
        <f t="shared" ref="P8:P10" si="23">M8</f>
        <v>3.0999999999999999E-3</v>
      </c>
      <c r="Q8" s="2912"/>
      <c r="R8" s="2912">
        <f>ROUND(IF(项目基本情况!$B$8="出让",SUMPRODUCT(PRODUCT(1+K8:$K$18)),SUMPRODUCT(PRODUCT(1+K8:$K$17))),4)</f>
        <v>1.0783</v>
      </c>
      <c r="S8" s="2912">
        <f>ROUND(IF(项目基本情况!$B$8="出让",SUMPRODUCT(PRODUCT(1+L8:$L$18)),SUMPRODUCT(PRODUCT(1+L8:$L$17))),4)</f>
        <v>1.0447</v>
      </c>
      <c r="T8" s="2912">
        <f>ROUND(IF(项目基本情况!$B$8="出让",SUMPRODUCT(PRODUCT(1+M8:$M$18)),SUMPRODUCT(PRODUCT(1+M8:$M$17))),4)</f>
        <v>1.0282</v>
      </c>
      <c r="U8" s="2912">
        <f>ROUND(IF(项目基本情况!$B$8="出让",SUMPRODUCT(PRODUCT(1+N8:$N$18)),SUMPRODUCT(PRODUCT(1+N8:$N$17))),4)</f>
        <v>1.0841000000000001</v>
      </c>
      <c r="V8" s="2912">
        <f>ROUND(IF(项目基本情况!$B$8="出让",SUMPRODUCT(PRODUCT(1+O8:$O$18)),SUMPRODUCT(PRODUCT(1+O8:$O$17))),4)</f>
        <v>1.0674999999999999</v>
      </c>
      <c r="W8" s="2912">
        <f t="shared" ref="W8:W9" si="24">T8</f>
        <v>1.0282</v>
      </c>
      <c r="X8" s="2912"/>
      <c r="Y8" s="2914"/>
      <c r="Z8" s="2914"/>
      <c r="AA8" s="2914"/>
      <c r="AB8" s="2914"/>
      <c r="AC8" s="2914"/>
      <c r="AD8" s="2914"/>
    </row>
    <row r="9" spans="1:30" s="2045" customFormat="1" ht="12.75">
      <c r="A9" s="2904" t="s">
        <v>3371</v>
      </c>
      <c r="B9" s="3602">
        <v>2023</v>
      </c>
      <c r="C9" s="2007">
        <v>2</v>
      </c>
      <c r="D9" s="2007">
        <v>0.91</v>
      </c>
      <c r="E9" s="2007">
        <v>0.66</v>
      </c>
      <c r="F9" s="2007">
        <v>0.47</v>
      </c>
      <c r="G9" s="2007">
        <v>0.96</v>
      </c>
      <c r="H9" s="2916">
        <v>0.71</v>
      </c>
      <c r="I9" s="2008">
        <f t="shared" si="17"/>
        <v>0.47</v>
      </c>
      <c r="J9" s="2905"/>
      <c r="K9" s="2043">
        <f t="shared" si="18"/>
        <v>9.1000000000000004E-3</v>
      </c>
      <c r="L9" s="2028">
        <f t="shared" si="19"/>
        <v>6.6E-3</v>
      </c>
      <c r="M9" s="2028">
        <f t="shared" si="20"/>
        <v>4.6999999999999993E-3</v>
      </c>
      <c r="N9" s="2028">
        <f t="shared" si="21"/>
        <v>9.5999999999999992E-3</v>
      </c>
      <c r="O9" s="2028">
        <f t="shared" si="22"/>
        <v>7.0999999999999995E-3</v>
      </c>
      <c r="P9" s="2028">
        <f t="shared" si="23"/>
        <v>4.6999999999999993E-3</v>
      </c>
      <c r="Q9" s="2905"/>
      <c r="R9" s="2027">
        <f>ROUND(IF(项目基本情况!$B$8="出让",SUMPRODUCT(PRODUCT(1+K9:$K$18)),SUMPRODUCT(PRODUCT(1+K9:$K$17))),4)</f>
        <v>1.0755999999999999</v>
      </c>
      <c r="S9" s="2027">
        <f>ROUND(IF(项目基本情况!$B$8="出让",SUMPRODUCT(PRODUCT(1+L9:$L$18)),SUMPRODUCT(PRODUCT(1+L9:$L$17))),4)</f>
        <v>1.0395000000000001</v>
      </c>
      <c r="T9" s="2027">
        <f>ROUND(IF(项目基本情况!$B$8="出让",SUMPRODUCT(PRODUCT(1+M9:$M$18)),SUMPRODUCT(PRODUCT(1+M9:$M$17))),4)</f>
        <v>1.0250999999999999</v>
      </c>
      <c r="U9" s="2027">
        <f>ROUND(IF(项目基本情况!$B$8="出让",SUMPRODUCT(PRODUCT(1+N9:$N$18)),SUMPRODUCT(PRODUCT(1+N9:$N$17))),4)</f>
        <v>1.0818000000000001</v>
      </c>
      <c r="V9" s="2027">
        <f>ROUND(IF(项目基本情况!$B$8="出让",SUMPRODUCT(PRODUCT(1+O9:$O$18)),SUMPRODUCT(PRODUCT(1+O9:$O$17))),4)</f>
        <v>1.0629999999999999</v>
      </c>
      <c r="W9" s="2027">
        <f t="shared" si="24"/>
        <v>1.0250999999999999</v>
      </c>
      <c r="X9" s="2905"/>
      <c r="Y9" s="2028"/>
      <c r="Z9" s="2028"/>
      <c r="AA9" s="2028"/>
      <c r="AB9" s="2028"/>
      <c r="AC9" s="2028"/>
      <c r="AD9" s="2028"/>
    </row>
    <row r="10" spans="1:30" s="2045" customFormat="1" ht="12.75">
      <c r="A10" s="2904" t="s">
        <v>3369</v>
      </c>
      <c r="B10" s="3602">
        <v>2023</v>
      </c>
      <c r="C10" s="2007">
        <v>1</v>
      </c>
      <c r="D10" s="2007">
        <v>0.89</v>
      </c>
      <c r="E10" s="2007">
        <v>0.74</v>
      </c>
      <c r="F10" s="2007">
        <v>0.56999999999999995</v>
      </c>
      <c r="G10" s="2007">
        <v>0.92</v>
      </c>
      <c r="H10" s="2916">
        <v>0.5</v>
      </c>
      <c r="I10" s="2008">
        <f t="shared" si="17"/>
        <v>0.56999999999999995</v>
      </c>
      <c r="J10" s="2905"/>
      <c r="K10" s="2043">
        <f t="shared" si="18"/>
        <v>8.8999999999999999E-3</v>
      </c>
      <c r="L10" s="2028">
        <f t="shared" si="19"/>
        <v>7.4000000000000003E-3</v>
      </c>
      <c r="M10" s="2028">
        <f t="shared" si="20"/>
        <v>5.6999999999999993E-3</v>
      </c>
      <c r="N10" s="2028">
        <f t="shared" si="21"/>
        <v>9.1999999999999998E-3</v>
      </c>
      <c r="O10" s="2028">
        <f t="shared" si="22"/>
        <v>5.0000000000000001E-3</v>
      </c>
      <c r="P10" s="2028">
        <f t="shared" si="23"/>
        <v>5.6999999999999993E-3</v>
      </c>
      <c r="Q10" s="2905"/>
      <c r="R10" s="2027">
        <f>ROUND(IF(项目基本情况!$B$8="出让",SUMPRODUCT(PRODUCT(1+K10:$K$18)),SUMPRODUCT(PRODUCT(1+K10:$K$17))),4)</f>
        <v>1.0659000000000001</v>
      </c>
      <c r="S10" s="2027">
        <f>ROUND(IF(项目基本情况!$B$8="出让",SUMPRODUCT(PRODUCT(1+L10:$L$18)),SUMPRODUCT(PRODUCT(1+L10:$L$17))),4)</f>
        <v>1.0326</v>
      </c>
      <c r="T10" s="2027">
        <f>ROUND(IF(项目基本情况!$B$8="出让",SUMPRODUCT(PRODUCT(1+M10:$M$18)),SUMPRODUCT(PRODUCT(1+M10:$M$17))),4)</f>
        <v>1.0203</v>
      </c>
      <c r="U10" s="2027">
        <f>ROUND(IF(项目基本情况!$B$8="出让",SUMPRODUCT(PRODUCT(1+N10:$N$18)),SUMPRODUCT(PRODUCT(1+N10:$N$17))),4)</f>
        <v>1.0714999999999999</v>
      </c>
      <c r="V10" s="2027">
        <f>ROUND(IF(项目基本情况!$B$8="出让",SUMPRODUCT(PRODUCT(1+O10:$O$18)),SUMPRODUCT(PRODUCT(1+O10:$O$17))),4)</f>
        <v>1.0555000000000001</v>
      </c>
      <c r="W10" s="2027">
        <f t="shared" ref="W10:W17" si="25">T10</f>
        <v>1.0203</v>
      </c>
      <c r="X10" s="2905"/>
      <c r="Y10" s="2028"/>
      <c r="Z10" s="2028"/>
      <c r="AA10" s="2028"/>
      <c r="AB10" s="2028"/>
      <c r="AC10" s="2028"/>
      <c r="AD10" s="2028"/>
    </row>
    <row r="11" spans="1:30" s="2045" customFormat="1" ht="12.75">
      <c r="A11" s="2904" t="s">
        <v>3368</v>
      </c>
      <c r="B11" s="2031">
        <v>2022</v>
      </c>
      <c r="C11" s="2042">
        <v>4</v>
      </c>
      <c r="D11" s="2007">
        <v>0.62</v>
      </c>
      <c r="E11" s="2007">
        <v>0.2</v>
      </c>
      <c r="F11" s="2007">
        <v>0.11</v>
      </c>
      <c r="G11" s="2007">
        <v>0.69</v>
      </c>
      <c r="H11" s="2916">
        <v>0.53</v>
      </c>
      <c r="I11" s="2008">
        <f t="shared" si="4"/>
        <v>0.11</v>
      </c>
      <c r="J11" s="2905"/>
      <c r="K11" s="2043">
        <f t="shared" si="5"/>
        <v>6.1999999999999998E-3</v>
      </c>
      <c r="L11" s="2028">
        <f t="shared" si="5"/>
        <v>2E-3</v>
      </c>
      <c r="M11" s="2028">
        <f t="shared" si="5"/>
        <v>1.1000000000000001E-3</v>
      </c>
      <c r="N11" s="2028">
        <f t="shared" si="5"/>
        <v>6.8999999999999999E-3</v>
      </c>
      <c r="O11" s="2028">
        <f t="shared" si="5"/>
        <v>5.3E-3</v>
      </c>
      <c r="P11" s="2028">
        <f t="shared" ref="P11:P18" si="26">M11</f>
        <v>1.1000000000000001E-3</v>
      </c>
      <c r="Q11" s="2905"/>
      <c r="R11" s="2027">
        <f>ROUND(IF(项目基本情况!$B$8="出让",SUMPRODUCT(PRODUCT(1+K11:$K$18)),SUMPRODUCT(PRODUCT(1+K11:$K$17))),4)</f>
        <v>1.0565</v>
      </c>
      <c r="S11" s="2027">
        <f>ROUND(IF(项目基本情况!$B$8="出让",SUMPRODUCT(PRODUCT(1+L11:$L$18)),SUMPRODUCT(PRODUCT(1+L11:$L$17))),4)</f>
        <v>1.0250999999999999</v>
      </c>
      <c r="T11" s="2027">
        <f>ROUND(IF(项目基本情况!$B$8="出让",SUMPRODUCT(PRODUCT(1+M11:$M$18)),SUMPRODUCT(PRODUCT(1+M11:$M$17))),4)</f>
        <v>1.0145</v>
      </c>
      <c r="U11" s="2027">
        <f>ROUND(IF(项目基本情况!$B$8="出让",SUMPRODUCT(PRODUCT(1+N11:$N$18)),SUMPRODUCT(PRODUCT(1+N11:$N$17))),4)</f>
        <v>1.0618000000000001</v>
      </c>
      <c r="V11" s="2027">
        <f>ROUND(IF(项目基本情况!$B$8="出让",SUMPRODUCT(PRODUCT(1+O11:$O$18)),SUMPRODUCT(PRODUCT(1+O11:$O$17))),4)</f>
        <v>1.0502</v>
      </c>
      <c r="W11" s="2027">
        <f t="shared" si="25"/>
        <v>1.0145</v>
      </c>
      <c r="X11" s="2905"/>
      <c r="Y11" s="2028">
        <f>IF(D11=0,0,ROUND(AVERAGE(D11:D19)/100,4))</f>
        <v>8.0999999999999996E-3</v>
      </c>
      <c r="Z11" s="2028">
        <f t="shared" ref="Z11:AC11" si="27">IF(E11=0,0,ROUND(AVERAGE(E11:E18)/100,4))</f>
        <v>3.3E-3</v>
      </c>
      <c r="AA11" s="2028">
        <f t="shared" si="27"/>
        <v>1.5E-3</v>
      </c>
      <c r="AB11" s="2028">
        <f t="shared" si="27"/>
        <v>8.8999999999999999E-3</v>
      </c>
      <c r="AC11" s="2028">
        <f t="shared" si="27"/>
        <v>6.6E-3</v>
      </c>
      <c r="AD11" s="2028">
        <f t="shared" si="7"/>
        <v>1.5E-3</v>
      </c>
    </row>
    <row r="12" spans="1:30" s="2045" customFormat="1" ht="12.75">
      <c r="A12" s="2904" t="s">
        <v>3364</v>
      </c>
      <c r="B12" s="2031">
        <v>2022</v>
      </c>
      <c r="C12" s="2042">
        <v>3</v>
      </c>
      <c r="D12" s="2007">
        <v>0.66</v>
      </c>
      <c r="E12" s="2007">
        <v>0.32</v>
      </c>
      <c r="F12" s="2007">
        <v>0.23</v>
      </c>
      <c r="G12" s="2007">
        <v>0.72</v>
      </c>
      <c r="H12" s="2916">
        <v>0.63</v>
      </c>
      <c r="I12" s="2008">
        <f t="shared" si="4"/>
        <v>0.23</v>
      </c>
      <c r="J12" s="2905"/>
      <c r="K12" s="2043">
        <f t="shared" si="5"/>
        <v>6.6E-3</v>
      </c>
      <c r="L12" s="2028">
        <f t="shared" si="5"/>
        <v>3.2000000000000002E-3</v>
      </c>
      <c r="M12" s="2028">
        <f t="shared" si="5"/>
        <v>2.3E-3</v>
      </c>
      <c r="N12" s="2028">
        <f t="shared" si="5"/>
        <v>7.1999999999999998E-3</v>
      </c>
      <c r="O12" s="2028">
        <f t="shared" si="5"/>
        <v>6.3E-3</v>
      </c>
      <c r="P12" s="2028">
        <f t="shared" si="26"/>
        <v>2.3E-3</v>
      </c>
      <c r="Q12" s="2905"/>
      <c r="R12" s="2027">
        <f>ROUND(IF(项目基本情况!$B$8="出让",SUMPRODUCT(PRODUCT(1+K12:$K$18)),SUMPRODUCT(PRODUCT(1+K12:$K$17))),4)</f>
        <v>1.05</v>
      </c>
      <c r="S12" s="2027">
        <f>ROUND(IF(项目基本情况!$B$8="出让",SUMPRODUCT(PRODUCT(1+L12:$L$18)),SUMPRODUCT(PRODUCT(1+L12:$L$17))),4)</f>
        <v>1.0229999999999999</v>
      </c>
      <c r="T12" s="2027">
        <f>ROUND(IF(项目基本情况!$B$8="出让",SUMPRODUCT(PRODUCT(1+M12:$M$18)),SUMPRODUCT(PRODUCT(1+M12:$M$17))),4)</f>
        <v>1.0134000000000001</v>
      </c>
      <c r="U12" s="2027">
        <f>ROUND(IF(项目基本情况!$B$8="出让",SUMPRODUCT(PRODUCT(1+N12:$N$18)),SUMPRODUCT(PRODUCT(1+N12:$N$17))),4)</f>
        <v>1.0545</v>
      </c>
      <c r="V12" s="2027">
        <f>ROUND(IF(项目基本情况!$B$8="出让",SUMPRODUCT(PRODUCT(1+O12:$O$18)),SUMPRODUCT(PRODUCT(1+O12:$O$17))),4)</f>
        <v>1.0447</v>
      </c>
      <c r="W12" s="2027">
        <f t="shared" si="25"/>
        <v>1.0134000000000001</v>
      </c>
      <c r="X12" s="2905"/>
      <c r="Y12" s="2028">
        <f>IF(D12=0,0,ROUND(AVERAGE(D12:D18)/100,4))</f>
        <v>8.3999999999999995E-3</v>
      </c>
      <c r="Z12" s="2028">
        <f t="shared" ref="Z12:AC12" si="28">IF(E12=0,0,ROUND(AVERAGE(E12:E18)/100,4))</f>
        <v>3.5000000000000001E-3</v>
      </c>
      <c r="AA12" s="2028">
        <f t="shared" si="28"/>
        <v>1.5E-3</v>
      </c>
      <c r="AB12" s="2028">
        <f t="shared" si="28"/>
        <v>9.1999999999999998E-3</v>
      </c>
      <c r="AC12" s="2028">
        <f t="shared" si="28"/>
        <v>6.7999999999999996E-3</v>
      </c>
      <c r="AD12" s="2028">
        <f t="shared" si="7"/>
        <v>1.5E-3</v>
      </c>
    </row>
    <row r="13" spans="1:30" s="2045" customFormat="1" ht="12.75">
      <c r="A13" s="2904" t="s">
        <v>3355</v>
      </c>
      <c r="B13" s="2031">
        <v>2022</v>
      </c>
      <c r="C13" s="2042">
        <v>2</v>
      </c>
      <c r="D13" s="2007">
        <v>0.93</v>
      </c>
      <c r="E13" s="2007">
        <v>0.15</v>
      </c>
      <c r="F13" s="2007">
        <v>0.01</v>
      </c>
      <c r="G13" s="2007">
        <v>1.05</v>
      </c>
      <c r="H13" s="2916">
        <v>1.08</v>
      </c>
      <c r="I13" s="2008">
        <f t="shared" si="4"/>
        <v>0.01</v>
      </c>
      <c r="J13" s="2905"/>
      <c r="K13" s="2043">
        <f t="shared" si="5"/>
        <v>9.300000000000001E-3</v>
      </c>
      <c r="L13" s="2028">
        <f t="shared" si="5"/>
        <v>1.5E-3</v>
      </c>
      <c r="M13" s="2028">
        <f t="shared" si="5"/>
        <v>1E-4</v>
      </c>
      <c r="N13" s="2028">
        <f t="shared" si="5"/>
        <v>1.0500000000000001E-2</v>
      </c>
      <c r="O13" s="2028">
        <f t="shared" si="5"/>
        <v>1.0800000000000001E-2</v>
      </c>
      <c r="P13" s="2028">
        <f t="shared" si="26"/>
        <v>1E-4</v>
      </c>
      <c r="Q13" s="2905"/>
      <c r="R13" s="2027">
        <f>ROUND(IF(项目基本情况!$B$8="出让",SUMPRODUCT(PRODUCT(1+K13:$K$18)),SUMPRODUCT(PRODUCT(1+K13:$K$17))),4)</f>
        <v>1.0430999999999999</v>
      </c>
      <c r="S13" s="2027">
        <f>ROUND(IF(项目基本情况!$B$8="出让",SUMPRODUCT(PRODUCT(1+L13:$L$18)),SUMPRODUCT(PRODUCT(1+L13:$L$17))),4)</f>
        <v>1.0197000000000001</v>
      </c>
      <c r="T13" s="2027">
        <f>ROUND(IF(项目基本情况!$B$8="出让",SUMPRODUCT(PRODUCT(1+M13:$M$18)),SUMPRODUCT(PRODUCT(1+M13:$M$17))),4)</f>
        <v>1.0109999999999999</v>
      </c>
      <c r="U13" s="2027">
        <f>ROUND(IF(项目基本情况!$B$8="出让",SUMPRODUCT(PRODUCT(1+N13:$N$18)),SUMPRODUCT(PRODUCT(1+N13:$N$17))),4)</f>
        <v>1.0468999999999999</v>
      </c>
      <c r="V13" s="2027">
        <f>ROUND(IF(项目基本情况!$B$8="出让",SUMPRODUCT(PRODUCT(1+O13:$O$18)),SUMPRODUCT(PRODUCT(1+O13:$O$17))),4)</f>
        <v>1.0382</v>
      </c>
      <c r="W13" s="2027">
        <f t="shared" si="25"/>
        <v>1.0109999999999999</v>
      </c>
      <c r="X13" s="2905"/>
      <c r="Y13" s="2028">
        <f>IF(D13=0,0,ROUND(AVERAGE(D13:D18)/100,4))</f>
        <v>8.6999999999999994E-3</v>
      </c>
      <c r="Z13" s="2028">
        <f t="shared" ref="Z13:AC13" si="29">IF(E13=0,0,ROUND(AVERAGE(E13:E18)/100,4))</f>
        <v>3.5000000000000001E-3</v>
      </c>
      <c r="AA13" s="2028">
        <f t="shared" si="29"/>
        <v>1.4E-3</v>
      </c>
      <c r="AB13" s="2028">
        <f t="shared" si="29"/>
        <v>9.4999999999999998E-3</v>
      </c>
      <c r="AC13" s="2028">
        <f t="shared" si="29"/>
        <v>6.8999999999999999E-3</v>
      </c>
      <c r="AD13" s="2028">
        <f t="shared" si="7"/>
        <v>1.4E-3</v>
      </c>
    </row>
    <row r="14" spans="1:30" s="2045" customFormat="1" ht="12.75">
      <c r="A14" s="2904" t="s">
        <v>2820</v>
      </c>
      <c r="B14" s="2031">
        <v>2022</v>
      </c>
      <c r="C14" s="2042">
        <v>1</v>
      </c>
      <c r="D14" s="2007">
        <v>0.89</v>
      </c>
      <c r="E14" s="2007">
        <v>0.44</v>
      </c>
      <c r="F14" s="2007">
        <v>0.37</v>
      </c>
      <c r="G14" s="2007">
        <v>0.96</v>
      </c>
      <c r="H14" s="2916">
        <v>0.64</v>
      </c>
      <c r="I14" s="2008">
        <f t="shared" si="4"/>
        <v>0.37</v>
      </c>
      <c r="J14" s="2905"/>
      <c r="K14" s="2043">
        <f t="shared" si="5"/>
        <v>8.8999999999999999E-3</v>
      </c>
      <c r="L14" s="2028">
        <f t="shared" si="5"/>
        <v>4.4000000000000003E-3</v>
      </c>
      <c r="M14" s="2028">
        <f t="shared" si="5"/>
        <v>3.7000000000000002E-3</v>
      </c>
      <c r="N14" s="2028">
        <f t="shared" si="5"/>
        <v>9.5999999999999992E-3</v>
      </c>
      <c r="O14" s="2028">
        <f t="shared" si="5"/>
        <v>6.4000000000000003E-3</v>
      </c>
      <c r="P14" s="2028">
        <f t="shared" si="26"/>
        <v>3.7000000000000002E-3</v>
      </c>
      <c r="Q14" s="2905"/>
      <c r="R14" s="2027">
        <f>ROUND(IF(项目基本情况!$B$8="出让",SUMPRODUCT(PRODUCT(1+K14:$K$18)),SUMPRODUCT(PRODUCT(1+K14:$K$17))),4)</f>
        <v>1.0335000000000001</v>
      </c>
      <c r="S14" s="2027">
        <f>ROUND(IF(项目基本情况!$B$8="出让",SUMPRODUCT(PRODUCT(1+L14:$L$18)),SUMPRODUCT(PRODUCT(1+L14:$L$17))),4)</f>
        <v>1.0182</v>
      </c>
      <c r="T14" s="2027">
        <f>ROUND(IF(项目基本情况!$B$8="出让",SUMPRODUCT(PRODUCT(1+M14:$M$18)),SUMPRODUCT(PRODUCT(1+M14:$M$17))),4)</f>
        <v>1.0108999999999999</v>
      </c>
      <c r="U14" s="2027">
        <f>ROUND(IF(项目基本情况!$B$8="出让",SUMPRODUCT(PRODUCT(1+N14:$N$18)),SUMPRODUCT(PRODUCT(1+N14:$N$17))),4)</f>
        <v>1.0361</v>
      </c>
      <c r="V14" s="2027">
        <f>ROUND(IF(项目基本情况!$B$8="出让",SUMPRODUCT(PRODUCT(1+O14:$O$18)),SUMPRODUCT(PRODUCT(1+O14:$O$17))),4)</f>
        <v>1.0270999999999999</v>
      </c>
      <c r="W14" s="2027">
        <f t="shared" si="25"/>
        <v>1.0108999999999999</v>
      </c>
      <c r="X14" s="2905"/>
      <c r="Y14" s="2028">
        <f>IF(D14=0,0,ROUND(AVERAGE(D14:D18)/100,4))</f>
        <v>8.6E-3</v>
      </c>
      <c r="Z14" s="2028">
        <f t="shared" ref="Z14:AC14" si="30">IF(E14=0,0,ROUND(AVERAGE(E14:E18)/100,4))</f>
        <v>3.8999999999999998E-3</v>
      </c>
      <c r="AA14" s="2028">
        <f t="shared" si="30"/>
        <v>1.6999999999999999E-3</v>
      </c>
      <c r="AB14" s="2028">
        <f t="shared" si="30"/>
        <v>9.2999999999999992E-3</v>
      </c>
      <c r="AC14" s="2028">
        <f t="shared" si="30"/>
        <v>6.1000000000000004E-3</v>
      </c>
      <c r="AD14" s="2028">
        <f t="shared" si="7"/>
        <v>1.6999999999999999E-3</v>
      </c>
    </row>
    <row r="15" spans="1:30" s="2045" customFormat="1" ht="12.75">
      <c r="A15" s="2904" t="s">
        <v>2821</v>
      </c>
      <c r="B15" s="2031">
        <v>2021</v>
      </c>
      <c r="C15" s="2042">
        <v>4</v>
      </c>
      <c r="D15" s="2007">
        <v>1.03</v>
      </c>
      <c r="E15" s="2007">
        <v>0.24</v>
      </c>
      <c r="F15" s="2007">
        <v>7.0000000000000007E-2</v>
      </c>
      <c r="G15" s="2007">
        <v>1.17</v>
      </c>
      <c r="H15" s="2916">
        <v>0.55000000000000004</v>
      </c>
      <c r="I15" s="2008">
        <f t="shared" si="4"/>
        <v>7.0000000000000007E-2</v>
      </c>
      <c r="J15" s="2905"/>
      <c r="K15" s="2043">
        <f t="shared" si="5"/>
        <v>1.03E-2</v>
      </c>
      <c r="L15" s="2028">
        <f t="shared" si="5"/>
        <v>2.3999999999999998E-3</v>
      </c>
      <c r="M15" s="2028">
        <f t="shared" si="5"/>
        <v>7.000000000000001E-4</v>
      </c>
      <c r="N15" s="2028">
        <f t="shared" si="5"/>
        <v>1.1699999999999999E-2</v>
      </c>
      <c r="O15" s="2028">
        <f t="shared" si="5"/>
        <v>5.5000000000000005E-3</v>
      </c>
      <c r="P15" s="2028">
        <f t="shared" si="26"/>
        <v>7.000000000000001E-4</v>
      </c>
      <c r="Q15" s="2905"/>
      <c r="R15" s="2027">
        <f>ROUND(IF(项目基本情况!$B$8="出让",SUMPRODUCT(PRODUCT(1+K15:$K$18)),SUMPRODUCT(PRODUCT(1+K15:$K$17))),4)</f>
        <v>1.0244</v>
      </c>
      <c r="S15" s="2027">
        <f>ROUND(IF(项目基本情况!$B$8="出让",SUMPRODUCT(PRODUCT(1+L15:$L$18)),SUMPRODUCT(PRODUCT(1+L15:$L$17))),4)</f>
        <v>1.0138</v>
      </c>
      <c r="T15" s="2027">
        <f>ROUND(IF(项目基本情况!$B$8="出让",SUMPRODUCT(PRODUCT(1+M15:$M$18)),SUMPRODUCT(PRODUCT(1+M15:$M$17))),4)</f>
        <v>1.0072000000000001</v>
      </c>
      <c r="U15" s="2027">
        <f>ROUND(IF(项目基本情况!$B$8="出让",SUMPRODUCT(PRODUCT(1+N15:$N$18)),SUMPRODUCT(PRODUCT(1+N15:$N$17))),4)</f>
        <v>1.0262</v>
      </c>
      <c r="V15" s="2027">
        <f>ROUND(IF(项目基本情况!$B$8="出让",SUMPRODUCT(PRODUCT(1+O15:$O$18)),SUMPRODUCT(PRODUCT(1+O15:$O$17))),4)</f>
        <v>1.0205</v>
      </c>
      <c r="W15" s="2027">
        <f t="shared" si="25"/>
        <v>1.0072000000000001</v>
      </c>
      <c r="X15" s="2905"/>
      <c r="Y15" s="2028">
        <f>IF(D15=0,0,ROUND(AVERAGE(D15:D18)/100,4))</f>
        <v>8.5000000000000006E-3</v>
      </c>
      <c r="Z15" s="2028">
        <f t="shared" ref="Z15:AC15" si="31">IF(E15=0,0,ROUND(AVERAGE(E15:E18)/100,4))</f>
        <v>3.8E-3</v>
      </c>
      <c r="AA15" s="2028">
        <f t="shared" si="31"/>
        <v>1.1999999999999999E-3</v>
      </c>
      <c r="AB15" s="2028">
        <f t="shared" si="31"/>
        <v>9.2999999999999992E-3</v>
      </c>
      <c r="AC15" s="2028">
        <f t="shared" si="31"/>
        <v>6.0000000000000001E-3</v>
      </c>
      <c r="AD15" s="2028">
        <f t="shared" si="7"/>
        <v>1.1999999999999999E-3</v>
      </c>
    </row>
    <row r="16" spans="1:30" s="2045" customFormat="1" ht="12.75">
      <c r="A16" s="2904" t="s">
        <v>2822</v>
      </c>
      <c r="B16" s="2031">
        <v>2021</v>
      </c>
      <c r="C16" s="2042">
        <v>3</v>
      </c>
      <c r="D16" s="2007">
        <v>0.47</v>
      </c>
      <c r="E16" s="2007">
        <v>0.41</v>
      </c>
      <c r="F16" s="2007">
        <v>0.24</v>
      </c>
      <c r="G16" s="2007">
        <v>0.48</v>
      </c>
      <c r="H16" s="2916">
        <v>0.48</v>
      </c>
      <c r="I16" s="2008">
        <f t="shared" si="4"/>
        <v>0.24</v>
      </c>
      <c r="J16" s="2905"/>
      <c r="K16" s="2043">
        <f t="shared" si="5"/>
        <v>4.6999999999999993E-3</v>
      </c>
      <c r="L16" s="2028">
        <f t="shared" si="5"/>
        <v>4.0999999999999995E-3</v>
      </c>
      <c r="M16" s="2028">
        <f t="shared" si="5"/>
        <v>2.3999999999999998E-3</v>
      </c>
      <c r="N16" s="2028">
        <f t="shared" si="5"/>
        <v>4.7999999999999996E-3</v>
      </c>
      <c r="O16" s="2028">
        <f t="shared" si="5"/>
        <v>4.7999999999999996E-3</v>
      </c>
      <c r="P16" s="2028">
        <f t="shared" si="26"/>
        <v>2.3999999999999998E-3</v>
      </c>
      <c r="Q16" s="2905"/>
      <c r="R16" s="2027">
        <f>ROUND(IF(项目基本情况!$B$8="出让",SUMPRODUCT(PRODUCT(1+K16:$K$18)),SUMPRODUCT(PRODUCT(1+K16:$K$17))),4)</f>
        <v>1.0139</v>
      </c>
      <c r="S16" s="2027">
        <f>ROUND(IF(项目基本情况!$B$8="出让",SUMPRODUCT(PRODUCT(1+L16:$L$18)),SUMPRODUCT(PRODUCT(1+L16:$L$17))),4)</f>
        <v>1.0113000000000001</v>
      </c>
      <c r="T16" s="2027">
        <f>ROUND(IF(项目基本情况!$B$8="出让",SUMPRODUCT(PRODUCT(1+M16:$M$18)),SUMPRODUCT(PRODUCT(1+M16:$M$17))),4)</f>
        <v>1.0065</v>
      </c>
      <c r="U16" s="2027">
        <f>ROUND(IF(项目基本情况!$B$8="出让",SUMPRODUCT(PRODUCT(1+N16:$N$18)),SUMPRODUCT(PRODUCT(1+N16:$N$17))),4)</f>
        <v>1.0143</v>
      </c>
      <c r="V16" s="2027">
        <f>ROUND(IF(项目基本情况!$B$8="出让",SUMPRODUCT(PRODUCT(1+O16:$O$18)),SUMPRODUCT(PRODUCT(1+O16:$O$17))),4)</f>
        <v>1.0148999999999999</v>
      </c>
      <c r="W16" s="2027">
        <f t="shared" si="25"/>
        <v>1.0065</v>
      </c>
      <c r="X16" s="2905"/>
      <c r="Y16" s="2028">
        <f>IF(D16=0,0,ROUND(AVERAGE(D16:D18)/100,4))</f>
        <v>7.9000000000000008E-3</v>
      </c>
      <c r="Z16" s="2028">
        <f>IF(E16=0,0,ROUND(AVERAGE(E16:E18)/100,4))</f>
        <v>4.3E-3</v>
      </c>
      <c r="AA16" s="2028">
        <f>IF(F16=0,0,ROUND(AVERAGE(F16:F18)/100,4))</f>
        <v>1.2999999999999999E-3</v>
      </c>
      <c r="AB16" s="2028">
        <f>IF(G16=0,0,ROUND(AVERAGE(G16:G18)/100,4))</f>
        <v>8.5000000000000006E-3</v>
      </c>
      <c r="AC16" s="2028">
        <f>IF(H16=0,0,ROUND(AVERAGE(H16:H18)/100,4))</f>
        <v>6.1999999999999998E-3</v>
      </c>
      <c r="AD16" s="2028">
        <f t="shared" si="7"/>
        <v>1.2999999999999999E-3</v>
      </c>
    </row>
    <row r="17" spans="1:30" s="2045" customFormat="1" ht="12.75">
      <c r="A17" s="2904" t="s">
        <v>2823</v>
      </c>
      <c r="B17" s="2031">
        <v>2021</v>
      </c>
      <c r="C17" s="2042">
        <v>2</v>
      </c>
      <c r="D17" s="2007">
        <v>0.92</v>
      </c>
      <c r="E17" s="2007">
        <v>0.72</v>
      </c>
      <c r="F17" s="2007">
        <v>0.41</v>
      </c>
      <c r="G17" s="2007">
        <v>0.95</v>
      </c>
      <c r="H17" s="2916">
        <v>1.01</v>
      </c>
      <c r="I17" s="2008">
        <f t="shared" si="4"/>
        <v>0.41</v>
      </c>
      <c r="J17" s="2905"/>
      <c r="K17" s="2043">
        <f t="shared" si="5"/>
        <v>9.1999999999999998E-3</v>
      </c>
      <c r="L17" s="2028">
        <f t="shared" si="5"/>
        <v>7.1999999999999998E-3</v>
      </c>
      <c r="M17" s="2028">
        <f t="shared" si="5"/>
        <v>4.0999999999999995E-3</v>
      </c>
      <c r="N17" s="2028">
        <f t="shared" si="5"/>
        <v>9.4999999999999998E-3</v>
      </c>
      <c r="O17" s="2028">
        <f t="shared" si="5"/>
        <v>1.01E-2</v>
      </c>
      <c r="P17" s="2028">
        <f t="shared" si="26"/>
        <v>4.0999999999999995E-3</v>
      </c>
      <c r="Q17" s="2905"/>
      <c r="R17" s="2027">
        <f>ROUND(IF(项目基本情况!$B$8="出让",SUMPRODUCT(PRODUCT(1+K17:$K$18)),SUMPRODUCT(PRODUCT(1+K17:$K$17))),4)</f>
        <v>1.0092000000000001</v>
      </c>
      <c r="S17" s="2027">
        <f>ROUND(IF(项目基本情况!$B$8="出让",SUMPRODUCT(PRODUCT(1+L17:$L$18)),SUMPRODUCT(PRODUCT(1+L17:$L$17))),4)</f>
        <v>1.0072000000000001</v>
      </c>
      <c r="T17" s="2027">
        <f>ROUND(IF(项目基本情况!$B$8="出让",SUMPRODUCT(PRODUCT(1+M17:$M$18)),SUMPRODUCT(PRODUCT(1+M17:$M$17))),4)</f>
        <v>1.0041</v>
      </c>
      <c r="U17" s="2027">
        <f>ROUND(IF(项目基本情况!$B$8="出让",SUMPRODUCT(PRODUCT(1+N17:$N$18)),SUMPRODUCT(PRODUCT(1+N17:$N$17))),4)</f>
        <v>1.0095000000000001</v>
      </c>
      <c r="V17" s="2027">
        <f>ROUND(IF(项目基本情况!$B$8="出让",SUMPRODUCT(PRODUCT(1+O17:$O$18)),SUMPRODUCT(PRODUCT(1+O17:$O$17))),4)</f>
        <v>1.0101</v>
      </c>
      <c r="W17" s="2027">
        <f t="shared" si="25"/>
        <v>1.0041</v>
      </c>
      <c r="X17" s="2905"/>
      <c r="Y17" s="2028">
        <f>IF(D17=0,0,ROUND(AVERAGE(D17:D18)/100,4))</f>
        <v>9.4999999999999998E-3</v>
      </c>
      <c r="Z17" s="2028">
        <f>IF(E17=0,0,ROUND(AVERAGE(E17:E18)/100,4))</f>
        <v>4.4000000000000003E-3</v>
      </c>
      <c r="AA17" s="2028">
        <f>IF(F17=0,0,ROUND(AVERAGE(F17:F18)/100,4))</f>
        <v>8.0000000000000004E-4</v>
      </c>
      <c r="AB17" s="2028">
        <f>IF(G17=0,0,ROUND(AVERAGE(G17:G18)/100,4))</f>
        <v>1.03E-2</v>
      </c>
      <c r="AC17" s="2028">
        <f>IF(H17=0,0,ROUND(AVERAGE(H17:H18)/100,4))</f>
        <v>6.8999999999999999E-3</v>
      </c>
      <c r="AD17" s="2028">
        <f t="shared" si="7"/>
        <v>8.0000000000000004E-4</v>
      </c>
    </row>
    <row r="18" spans="1:30" s="2927" customFormat="1" thickBot="1">
      <c r="A18" s="2917" t="s">
        <v>2824</v>
      </c>
      <c r="B18" s="2918">
        <v>2021</v>
      </c>
      <c r="C18" s="2919">
        <v>1</v>
      </c>
      <c r="D18" s="2920">
        <v>0.97</v>
      </c>
      <c r="E18" s="2920">
        <v>0.16</v>
      </c>
      <c r="F18" s="2920">
        <v>-0.25</v>
      </c>
      <c r="G18" s="2920">
        <v>1.1100000000000001</v>
      </c>
      <c r="H18" s="2921">
        <v>0.36</v>
      </c>
      <c r="I18" s="2922">
        <f t="shared" si="4"/>
        <v>-0.25</v>
      </c>
      <c r="J18" s="2923"/>
      <c r="K18" s="2924">
        <f t="shared" si="5"/>
        <v>9.7000000000000003E-3</v>
      </c>
      <c r="L18" s="2925">
        <f t="shared" si="5"/>
        <v>1.6000000000000001E-3</v>
      </c>
      <c r="M18" s="2925">
        <f>F18/100</f>
        <v>-2.5000000000000001E-3</v>
      </c>
      <c r="N18" s="2925">
        <f t="shared" si="5"/>
        <v>1.11E-2</v>
      </c>
      <c r="O18" s="2925">
        <f t="shared" si="5"/>
        <v>3.5999999999999999E-3</v>
      </c>
      <c r="P18" s="2925">
        <f t="shared" si="26"/>
        <v>-2.5000000000000001E-3</v>
      </c>
      <c r="Q18" s="2923"/>
      <c r="R18" s="2926">
        <v>1</v>
      </c>
      <c r="S18" s="2926">
        <v>1</v>
      </c>
      <c r="T18" s="2926">
        <v>1</v>
      </c>
      <c r="U18" s="2926">
        <v>1</v>
      </c>
      <c r="V18" s="2926">
        <v>1</v>
      </c>
      <c r="W18" s="2926">
        <f t="shared" ref="W18" si="32">T18</f>
        <v>1</v>
      </c>
      <c r="X18" s="2923"/>
      <c r="Y18" s="2925">
        <f>IF(D18=0,0,ROUND(AVERAGE(D18:D18)/100,4))</f>
        <v>9.7000000000000003E-3</v>
      </c>
      <c r="Z18" s="2925">
        <f>IF(E18=0,0,ROUND(AVERAGE(E18:E18)/100,4))</f>
        <v>1.6000000000000001E-3</v>
      </c>
      <c r="AA18" s="2925">
        <f>IF(F18=0,0,ROUND(AVERAGE(F18:F18)/100,4))</f>
        <v>-2.5000000000000001E-3</v>
      </c>
      <c r="AB18" s="2925">
        <f>IF(G18=0,0,ROUND(AVERAGE(G18:G18)/100,4))</f>
        <v>1.11E-2</v>
      </c>
      <c r="AC18" s="2925">
        <f>IF(H18=0,0,ROUND(AVERAGE(H18:H18)/100,4))</f>
        <v>3.5999999999999999E-3</v>
      </c>
      <c r="AD18" s="2925">
        <f>AA18</f>
        <v>-2.5000000000000001E-3</v>
      </c>
    </row>
    <row r="19" spans="1:30" ht="14.25" thickTop="1"/>
    <row r="20" spans="1:30">
      <c r="A20" s="3142" t="s">
        <v>3366</v>
      </c>
    </row>
    <row r="21" spans="1:30">
      <c r="I21" s="1405" t="s">
        <v>2825</v>
      </c>
    </row>
    <row r="23" spans="1:30" s="2009" customFormat="1" ht="12.75">
      <c r="B23" s="2928" t="s">
        <v>3373</v>
      </c>
      <c r="C23" s="2929"/>
      <c r="D23" s="2929"/>
      <c r="E23" s="2929"/>
      <c r="F23" s="2929"/>
      <c r="G23" s="2929"/>
      <c r="H23" s="2929"/>
      <c r="I23" s="2929"/>
      <c r="J23" s="2895"/>
      <c r="K23" s="2929" t="s">
        <v>2826</v>
      </c>
      <c r="L23" s="2929"/>
      <c r="M23" s="2929"/>
      <c r="N23" s="2929"/>
      <c r="O23" s="2929"/>
      <c r="P23" s="2929"/>
      <c r="Q23" s="2895"/>
      <c r="R23" s="3587" t="s">
        <v>2827</v>
      </c>
      <c r="S23" s="3588"/>
      <c r="T23" s="3588"/>
      <c r="U23" s="3588"/>
      <c r="V23" s="3588"/>
      <c r="W23" s="3588"/>
      <c r="X23" s="2895"/>
      <c r="Y23" s="3587" t="s">
        <v>2828</v>
      </c>
      <c r="Z23" s="3588"/>
      <c r="AA23" s="3588"/>
      <c r="AB23" s="3588"/>
      <c r="AC23" s="3588"/>
      <c r="AD23" s="3588"/>
    </row>
    <row r="24" spans="1:30" s="2010" customFormat="1" ht="14.25" thickBot="1">
      <c r="B24" s="2880"/>
      <c r="C24" s="2881"/>
      <c r="D24" s="2011" t="s">
        <v>2829</v>
      </c>
      <c r="E24" s="2012" t="s">
        <v>2830</v>
      </c>
      <c r="F24" s="2012" t="s">
        <v>2831</v>
      </c>
      <c r="G24" s="2012" t="s">
        <v>2832</v>
      </c>
      <c r="H24" s="2012"/>
      <c r="I24" s="2012" t="s">
        <v>2833</v>
      </c>
      <c r="J24" s="2882"/>
      <c r="K24" s="2011" t="s">
        <v>2829</v>
      </c>
      <c r="L24" s="2012" t="s">
        <v>2830</v>
      </c>
      <c r="M24" s="2012" t="s">
        <v>2831</v>
      </c>
      <c r="N24" s="2012" t="s">
        <v>2832</v>
      </c>
      <c r="O24" s="2012"/>
      <c r="P24" s="2012" t="s">
        <v>2833</v>
      </c>
      <c r="Q24" s="2882"/>
      <c r="R24" s="2011" t="s">
        <v>2829</v>
      </c>
      <c r="S24" s="2012" t="s">
        <v>2830</v>
      </c>
      <c r="T24" s="2012" t="s">
        <v>2831</v>
      </c>
      <c r="U24" s="2012" t="s">
        <v>2832</v>
      </c>
      <c r="V24" s="2012"/>
      <c r="W24" s="2012" t="s">
        <v>2833</v>
      </c>
      <c r="X24" s="2882"/>
      <c r="Y24" s="2011" t="s">
        <v>2829</v>
      </c>
      <c r="Z24" s="2012" t="s">
        <v>2830</v>
      </c>
      <c r="AA24" s="2012" t="s">
        <v>2831</v>
      </c>
      <c r="AB24" s="2012" t="s">
        <v>2832</v>
      </c>
      <c r="AC24" s="2012"/>
      <c r="AD24" s="2012" t="s">
        <v>2833</v>
      </c>
    </row>
    <row r="25" spans="1:30" s="2885" customFormat="1" ht="12.75">
      <c r="A25" s="2883" t="s">
        <v>2834</v>
      </c>
      <c r="B25" s="2884"/>
      <c r="E25" s="2885">
        <f t="shared" ref="E25:G25" si="33">ROUND(AVERAGEIF(E26:E40,"&lt;&gt;0"),2)</f>
        <v>0.42</v>
      </c>
      <c r="F25" s="2885">
        <f t="shared" si="33"/>
        <v>0.3</v>
      </c>
      <c r="G25" s="2885">
        <f t="shared" si="33"/>
        <v>0.73</v>
      </c>
      <c r="I25" s="2885">
        <f>F25</f>
        <v>0.3</v>
      </c>
      <c r="J25" s="2886"/>
      <c r="K25" s="2887"/>
      <c r="L25" s="2888">
        <f t="shared" ref="L25:N25" si="34">ROUND(AVERAGEIF(L26:L40,"&lt;&gt;0"),4)</f>
        <v>4.1999999999999997E-3</v>
      </c>
      <c r="M25" s="2888">
        <f t="shared" si="34"/>
        <v>3.0000000000000001E-3</v>
      </c>
      <c r="N25" s="2888">
        <f t="shared" si="34"/>
        <v>7.3000000000000001E-3</v>
      </c>
      <c r="O25" s="2888"/>
      <c r="P25" s="2888">
        <f>M25</f>
        <v>3.0000000000000001E-3</v>
      </c>
      <c r="Q25" s="2886"/>
      <c r="R25" s="2889"/>
      <c r="S25" s="2890">
        <f>ROUND(SUMPRODUCT(PRODUCT(1+L26:L40)),4)</f>
        <v>1.0468</v>
      </c>
      <c r="T25" s="2890">
        <f t="shared" ref="T25:U25" si="35">ROUND(SUMPRODUCT(PRODUCT(1+M26:M40)),4)</f>
        <v>1.0337000000000001</v>
      </c>
      <c r="U25" s="2890">
        <f t="shared" si="35"/>
        <v>1.0828</v>
      </c>
      <c r="V25" s="2890"/>
      <c r="W25" s="2889">
        <f>T25</f>
        <v>1.0337000000000001</v>
      </c>
      <c r="X25" s="2886"/>
      <c r="Y25" s="2891"/>
      <c r="Z25" s="2892">
        <f t="shared" ref="Z25:AB25" si="36">ROUND(AVERAGEIF(Z26:Z40,"&lt;&gt;0"),4)</f>
        <v>4.3E-3</v>
      </c>
      <c r="AA25" s="2893">
        <f t="shared" si="36"/>
        <v>3.5999999999999999E-3</v>
      </c>
      <c r="AB25" s="2891">
        <f t="shared" si="36"/>
        <v>8.8999999999999999E-3</v>
      </c>
      <c r="AC25" s="2894"/>
      <c r="AD25" s="2891">
        <f>AA25</f>
        <v>3.5999999999999999E-3</v>
      </c>
    </row>
    <row r="26" spans="1:30" s="2009" customFormat="1" ht="12.75">
      <c r="B26" s="2025"/>
      <c r="J26" s="2895"/>
      <c r="K26" s="2896"/>
      <c r="L26" s="2897"/>
      <c r="M26" s="2897"/>
      <c r="N26" s="2897"/>
      <c r="O26" s="2897"/>
      <c r="P26" s="2897"/>
      <c r="Q26" s="2895"/>
      <c r="R26" s="2027"/>
      <c r="S26" s="2898"/>
      <c r="T26" s="2899"/>
      <c r="U26" s="2027"/>
      <c r="V26" s="2900"/>
      <c r="W26" s="2027"/>
      <c r="X26" s="2895"/>
      <c r="Y26" s="2028"/>
      <c r="Z26" s="2901"/>
      <c r="AA26" s="2902"/>
      <c r="AB26" s="2028"/>
      <c r="AC26" s="2903"/>
      <c r="AD26" s="2028"/>
    </row>
    <row r="27" spans="1:30" s="2045" customFormat="1" ht="12.75">
      <c r="A27" s="2040" t="s">
        <v>3376</v>
      </c>
      <c r="B27" s="2031">
        <v>2023</v>
      </c>
      <c r="C27" s="2042">
        <v>4</v>
      </c>
      <c r="D27" s="2007"/>
      <c r="E27" s="2007">
        <v>0</v>
      </c>
      <c r="F27" s="2007">
        <v>0</v>
      </c>
      <c r="G27" s="2007">
        <v>0</v>
      </c>
      <c r="H27" s="2007"/>
      <c r="I27" s="2008">
        <f t="shared" ref="I27:I40" si="37">F27</f>
        <v>0</v>
      </c>
      <c r="J27" s="2905"/>
      <c r="K27" s="2043"/>
      <c r="L27" s="2028">
        <f t="shared" ref="L27:N40" si="38">E27/100</f>
        <v>0</v>
      </c>
      <c r="M27" s="2028">
        <f t="shared" si="38"/>
        <v>0</v>
      </c>
      <c r="N27" s="2028">
        <f t="shared" si="38"/>
        <v>0</v>
      </c>
      <c r="O27" s="2028"/>
      <c r="P27" s="2028">
        <f>M27</f>
        <v>0</v>
      </c>
      <c r="Q27" s="2905"/>
      <c r="R27" s="2027"/>
      <c r="S27" s="2027">
        <f>ROUND(IF(项目基本情况!$B$8="出让",SUMPRODUCT(PRODUCT(1+L27:L$40)),SUMPRODUCT(PRODUCT(1+L27:L$39))),4)</f>
        <v>1.0431999999999999</v>
      </c>
      <c r="T27" s="2027">
        <f>ROUND(IF(项目基本情况!$B$8="出让",SUMPRODUCT(PRODUCT(1+M27:M$40)),SUMPRODUCT(PRODUCT(1+M27:M$39))),4)</f>
        <v>1.0286999999999999</v>
      </c>
      <c r="U27" s="2027">
        <f>ROUND(IF(项目基本情况!$B$8="出让",SUMPRODUCT(PRODUCT(1+N27:N$40)),SUMPRODUCT(PRODUCT(1+N27:N$39))),4)</f>
        <v>1.0723</v>
      </c>
      <c r="V27" s="2027"/>
      <c r="W27" s="2027">
        <f>T27</f>
        <v>1.0286999999999999</v>
      </c>
      <c r="X27" s="2905"/>
      <c r="Y27" s="2028"/>
      <c r="Z27" s="2901">
        <f>IF(E27=0,0,ROUND(AVERAGE(E27:E40)/100,4))</f>
        <v>0</v>
      </c>
      <c r="AA27" s="2901">
        <f>IF(F27=0,0,ROUND(AVERAGE(F27:F40)/100,4))</f>
        <v>0</v>
      </c>
      <c r="AB27" s="2901">
        <f>IF(G27=0,0,ROUND(AVERAGE(G27:G40)/100,4))</f>
        <v>0</v>
      </c>
      <c r="AC27" s="2903"/>
      <c r="AD27" s="2028">
        <f>IF(I27=0,0,ROUND(AVERAGE(I27:I40)/100,4))</f>
        <v>0</v>
      </c>
    </row>
    <row r="28" spans="1:30" s="2045" customFormat="1" ht="12.75">
      <c r="A28" s="2040" t="s">
        <v>3377</v>
      </c>
      <c r="B28" s="2031">
        <v>2023</v>
      </c>
      <c r="C28" s="2042">
        <v>3</v>
      </c>
      <c r="D28" s="2007"/>
      <c r="E28" s="2007">
        <v>0</v>
      </c>
      <c r="F28" s="2007">
        <v>0</v>
      </c>
      <c r="G28" s="2007">
        <v>0</v>
      </c>
      <c r="H28" s="2007"/>
      <c r="I28" s="2008">
        <f t="shared" ref="I28:I29" si="39">F28</f>
        <v>0</v>
      </c>
      <c r="J28" s="2905"/>
      <c r="K28" s="2043"/>
      <c r="L28" s="2028">
        <f t="shared" ref="L28" si="40">E28/100</f>
        <v>0</v>
      </c>
      <c r="M28" s="2028">
        <f t="shared" ref="M28" si="41">F28/100</f>
        <v>0</v>
      </c>
      <c r="N28" s="2028">
        <f t="shared" ref="N28" si="42">G28/100</f>
        <v>0</v>
      </c>
      <c r="O28" s="2028"/>
      <c r="P28" s="2028">
        <f t="shared" ref="P28" si="43">M28</f>
        <v>0</v>
      </c>
      <c r="Q28" s="2905"/>
      <c r="R28" s="2027"/>
      <c r="S28" s="2027">
        <f>ROUND(IF(项目基本情况!$B$8="出让",SUMPRODUCT(PRODUCT(1+L28:L$40)),SUMPRODUCT(PRODUCT(1+L28:L$39))),4)</f>
        <v>1.0431999999999999</v>
      </c>
      <c r="T28" s="2027">
        <f>ROUND(IF(项目基本情况!$B$8="出让",SUMPRODUCT(PRODUCT(1+M28:M$40)),SUMPRODUCT(PRODUCT(1+M28:M$39))),4)</f>
        <v>1.0286999999999999</v>
      </c>
      <c r="U28" s="2027">
        <f>ROUND(IF(项目基本情况!$B$8="出让",SUMPRODUCT(PRODUCT(1+N28:N$40)),SUMPRODUCT(PRODUCT(1+N28:N$39))),4)</f>
        <v>1.0723</v>
      </c>
      <c r="V28" s="2027"/>
      <c r="W28" s="2027">
        <f t="shared" ref="W28" si="44">T28</f>
        <v>1.0286999999999999</v>
      </c>
      <c r="X28" s="2905"/>
      <c r="Y28" s="2028"/>
      <c r="Z28" s="2901"/>
      <c r="AA28" s="2902"/>
      <c r="AB28" s="2028"/>
      <c r="AC28" s="2903"/>
      <c r="AD28" s="2028"/>
    </row>
    <row r="29" spans="1:30" s="2045" customFormat="1" ht="12.75">
      <c r="A29" s="2040" t="s">
        <v>3378</v>
      </c>
      <c r="B29" s="2031">
        <v>2023</v>
      </c>
      <c r="C29" s="2042">
        <v>3</v>
      </c>
      <c r="D29" s="2007"/>
      <c r="E29" s="2007">
        <v>0</v>
      </c>
      <c r="F29" s="2007">
        <v>0</v>
      </c>
      <c r="G29" s="2007">
        <v>0</v>
      </c>
      <c r="H29" s="2007"/>
      <c r="I29" s="2008">
        <f t="shared" si="39"/>
        <v>0</v>
      </c>
      <c r="J29" s="2905"/>
      <c r="K29" s="2043"/>
      <c r="L29" s="2028">
        <f t="shared" si="38"/>
        <v>0</v>
      </c>
      <c r="M29" s="2028">
        <f t="shared" si="38"/>
        <v>0</v>
      </c>
      <c r="N29" s="2028">
        <f t="shared" si="38"/>
        <v>0</v>
      </c>
      <c r="O29" s="2028"/>
      <c r="P29" s="2028">
        <f t="shared" ref="P29" si="45">M29</f>
        <v>0</v>
      </c>
      <c r="Q29" s="2905"/>
      <c r="R29" s="2027"/>
      <c r="S29" s="2027">
        <f>ROUND(IF(项目基本情况!$B$8="出让",SUMPRODUCT(PRODUCT(1+L29:L$40)),SUMPRODUCT(PRODUCT(1+L29:L$39))),4)</f>
        <v>1.0431999999999999</v>
      </c>
      <c r="T29" s="2027">
        <f>ROUND(IF(项目基本情况!$B$8="出让",SUMPRODUCT(PRODUCT(1+M29:M$40)),SUMPRODUCT(PRODUCT(1+M29:M$39))),4)</f>
        <v>1.0286999999999999</v>
      </c>
      <c r="U29" s="2027">
        <f>ROUND(IF(项目基本情况!$B$8="出让",SUMPRODUCT(PRODUCT(1+N29:N$40)),SUMPRODUCT(PRODUCT(1+N29:N$39))),4)</f>
        <v>1.0723</v>
      </c>
      <c r="V29" s="2027"/>
      <c r="W29" s="2027">
        <f t="shared" ref="W29" si="46">T29</f>
        <v>1.0286999999999999</v>
      </c>
      <c r="X29" s="2905"/>
      <c r="Y29" s="2028"/>
      <c r="Z29" s="2901"/>
      <c r="AA29" s="2902"/>
      <c r="AB29" s="2028"/>
      <c r="AC29" s="2903"/>
      <c r="AD29" s="2028"/>
    </row>
    <row r="30" spans="1:30" s="2915" customFormat="1" ht="12.75">
      <c r="A30" s="2906" t="s">
        <v>3374</v>
      </c>
      <c r="B30" s="2907">
        <v>2023</v>
      </c>
      <c r="C30" s="2908">
        <v>3</v>
      </c>
      <c r="D30" s="2909"/>
      <c r="E30" s="2909">
        <v>0.35</v>
      </c>
      <c r="F30" s="2909">
        <v>0.17</v>
      </c>
      <c r="G30" s="2909">
        <v>0.52</v>
      </c>
      <c r="H30" s="2910"/>
      <c r="I30" s="2911">
        <f t="shared" si="37"/>
        <v>0.17</v>
      </c>
      <c r="J30" s="2912"/>
      <c r="K30" s="2913"/>
      <c r="L30" s="2914">
        <f t="shared" ref="L30:L32" si="47">E30/100</f>
        <v>3.4999999999999996E-3</v>
      </c>
      <c r="M30" s="2914">
        <f t="shared" ref="M30:M32" si="48">F30/100</f>
        <v>1.7000000000000001E-3</v>
      </c>
      <c r="N30" s="2914">
        <f t="shared" ref="N30:N32" si="49">G30/100</f>
        <v>5.1999999999999998E-3</v>
      </c>
      <c r="O30" s="2914"/>
      <c r="P30" s="2914">
        <f t="shared" ref="P30:P32" si="50">M30</f>
        <v>1.7000000000000001E-3</v>
      </c>
      <c r="Q30" s="2912"/>
      <c r="R30" s="2912"/>
      <c r="S30" s="2912">
        <f>ROUND(IF(项目基本情况!$B$8="出让",SUMPRODUCT(PRODUCT(1+L30:L$40)),SUMPRODUCT(PRODUCT(1+L30:L$39))),4)</f>
        <v>1.0431999999999999</v>
      </c>
      <c r="T30" s="2912">
        <f>ROUND(IF(项目基本情况!$B$8="出让",SUMPRODUCT(PRODUCT(1+M30:M$40)),SUMPRODUCT(PRODUCT(1+M30:M$39))),4)</f>
        <v>1.0286999999999999</v>
      </c>
      <c r="U30" s="2912">
        <f>ROUND(IF(项目基本情况!$B$8="出让",SUMPRODUCT(PRODUCT(1+N30:N$40)),SUMPRODUCT(PRODUCT(1+N30:N$39))),4)</f>
        <v>1.0723</v>
      </c>
      <c r="V30" s="2912"/>
      <c r="W30" s="2912">
        <f t="shared" ref="W30:W32" si="51">T30</f>
        <v>1.0286999999999999</v>
      </c>
      <c r="X30" s="2912"/>
      <c r="Y30" s="2914"/>
      <c r="Z30" s="2930"/>
      <c r="AA30" s="2931"/>
      <c r="AB30" s="2914"/>
      <c r="AC30" s="2932"/>
      <c r="AD30" s="2914"/>
    </row>
    <row r="31" spans="1:30" s="2045" customFormat="1" ht="12.75">
      <c r="A31" s="2904" t="s">
        <v>3375</v>
      </c>
      <c r="B31" s="2031">
        <v>2023</v>
      </c>
      <c r="C31" s="2042">
        <v>2</v>
      </c>
      <c r="D31" s="2007"/>
      <c r="E31" s="2007">
        <v>0.5</v>
      </c>
      <c r="F31" s="2007">
        <v>0.45</v>
      </c>
      <c r="G31" s="2007">
        <v>0.89</v>
      </c>
      <c r="H31" s="2916"/>
      <c r="I31" s="2008">
        <f t="shared" si="37"/>
        <v>0.45</v>
      </c>
      <c r="J31" s="2905"/>
      <c r="K31" s="2043"/>
      <c r="L31" s="2028">
        <f t="shared" si="47"/>
        <v>5.0000000000000001E-3</v>
      </c>
      <c r="M31" s="2028">
        <f t="shared" si="48"/>
        <v>4.5000000000000005E-3</v>
      </c>
      <c r="N31" s="2028">
        <f t="shared" si="49"/>
        <v>8.8999999999999999E-3</v>
      </c>
      <c r="O31" s="2028"/>
      <c r="P31" s="2028">
        <f t="shared" si="50"/>
        <v>4.5000000000000005E-3</v>
      </c>
      <c r="Q31" s="2905"/>
      <c r="R31" s="2027"/>
      <c r="S31" s="2027">
        <f>ROUND(IF(项目基本情况!$B$8="出让",SUMPRODUCT(PRODUCT(1+L31:L$40)),SUMPRODUCT(PRODUCT(1+L31:L$39))),4)</f>
        <v>1.0396000000000001</v>
      </c>
      <c r="T31" s="2027">
        <f>ROUND(IF(项目基本情况!$B$8="出让",SUMPRODUCT(PRODUCT(1+M31:M$40)),SUMPRODUCT(PRODUCT(1+M31:M$39))),4)</f>
        <v>1.0269999999999999</v>
      </c>
      <c r="U31" s="2027">
        <f>ROUND(IF(项目基本情况!$B$8="出让",SUMPRODUCT(PRODUCT(1+N31:N$40)),SUMPRODUCT(PRODUCT(1+N31:N$39))),4)</f>
        <v>1.0668</v>
      </c>
      <c r="V31" s="2027"/>
      <c r="W31" s="2027">
        <f t="shared" si="51"/>
        <v>1.0269999999999999</v>
      </c>
      <c r="X31" s="2905"/>
      <c r="Y31" s="2028"/>
      <c r="Z31" s="2901"/>
      <c r="AA31" s="2902"/>
      <c r="AB31" s="2028"/>
      <c r="AC31" s="2903"/>
      <c r="AD31" s="2028"/>
    </row>
    <row r="32" spans="1:30" s="2045" customFormat="1" ht="12.75">
      <c r="A32" s="2904" t="s">
        <v>3369</v>
      </c>
      <c r="B32" s="2031">
        <v>2023</v>
      </c>
      <c r="C32" s="2042">
        <v>1</v>
      </c>
      <c r="D32" s="2007"/>
      <c r="E32" s="2007">
        <v>0.55000000000000004</v>
      </c>
      <c r="F32" s="2007">
        <v>0.59</v>
      </c>
      <c r="G32" s="2007">
        <v>0.64</v>
      </c>
      <c r="H32" s="2916"/>
      <c r="I32" s="2008">
        <f t="shared" si="37"/>
        <v>0.59</v>
      </c>
      <c r="J32" s="2905"/>
      <c r="K32" s="2043"/>
      <c r="L32" s="2028">
        <f t="shared" si="47"/>
        <v>5.5000000000000005E-3</v>
      </c>
      <c r="M32" s="2028">
        <f t="shared" si="48"/>
        <v>5.8999999999999999E-3</v>
      </c>
      <c r="N32" s="2028">
        <f t="shared" si="49"/>
        <v>6.4000000000000003E-3</v>
      </c>
      <c r="O32" s="2028"/>
      <c r="P32" s="2028">
        <f t="shared" si="50"/>
        <v>5.8999999999999999E-3</v>
      </c>
      <c r="Q32" s="2905"/>
      <c r="R32" s="2027"/>
      <c r="S32" s="2027">
        <f>ROUND(IF(项目基本情况!$B$8="出让",SUMPRODUCT(PRODUCT(1+L32:L$40)),SUMPRODUCT(PRODUCT(1+L32:L$39))),4)</f>
        <v>1.0344</v>
      </c>
      <c r="T32" s="2027">
        <f>ROUND(IF(项目基本情况!$B$8="出让",SUMPRODUCT(PRODUCT(1+M32:M$40)),SUMPRODUCT(PRODUCT(1+M32:M$39))),4)</f>
        <v>1.0224</v>
      </c>
      <c r="U32" s="2027">
        <f>ROUND(IF(项目基本情况!$B$8="出让",SUMPRODUCT(PRODUCT(1+N32:N$40)),SUMPRODUCT(PRODUCT(1+N32:N$39))),4)</f>
        <v>1.0573999999999999</v>
      </c>
      <c r="V32" s="2027"/>
      <c r="W32" s="2027">
        <f t="shared" si="51"/>
        <v>1.0224</v>
      </c>
      <c r="X32" s="2905"/>
      <c r="Y32" s="2028"/>
      <c r="Z32" s="2901"/>
      <c r="AA32" s="2902"/>
      <c r="AB32" s="2028"/>
      <c r="AC32" s="2903"/>
      <c r="AD32" s="2028"/>
    </row>
    <row r="33" spans="1:30" s="2045" customFormat="1" ht="12.75">
      <c r="A33" s="2904" t="s">
        <v>3368</v>
      </c>
      <c r="B33" s="2031">
        <v>2022</v>
      </c>
      <c r="C33" s="2042">
        <v>4</v>
      </c>
      <c r="D33" s="2007"/>
      <c r="E33" s="2007">
        <v>0.45</v>
      </c>
      <c r="F33" s="2007">
        <v>0.2</v>
      </c>
      <c r="G33" s="2007">
        <v>0.38</v>
      </c>
      <c r="H33" s="2916"/>
      <c r="I33" s="2008">
        <f t="shared" si="37"/>
        <v>0.2</v>
      </c>
      <c r="J33" s="2905"/>
      <c r="K33" s="2043"/>
      <c r="L33" s="2028">
        <f t="shared" si="38"/>
        <v>4.5000000000000005E-3</v>
      </c>
      <c r="M33" s="2028">
        <f t="shared" si="38"/>
        <v>2E-3</v>
      </c>
      <c r="N33" s="2028">
        <f t="shared" si="38"/>
        <v>3.8E-3</v>
      </c>
      <c r="O33" s="2028"/>
      <c r="P33" s="2028">
        <f t="shared" ref="P33:P40" si="52">M33</f>
        <v>2E-3</v>
      </c>
      <c r="Q33" s="2905"/>
      <c r="R33" s="2027"/>
      <c r="S33" s="2027">
        <f>ROUND(IF(项目基本情况!$B$8="出让",SUMPRODUCT(PRODUCT(1+L33:L$40)),SUMPRODUCT(PRODUCT(1+L33:L$39))),4)</f>
        <v>1.0286999999999999</v>
      </c>
      <c r="T33" s="2027">
        <f>ROUND(IF(项目基本情况!$B$8="出让",SUMPRODUCT(PRODUCT(1+M33:M$40)),SUMPRODUCT(PRODUCT(1+M33:M$39))),4)</f>
        <v>1.0164</v>
      </c>
      <c r="U33" s="2027">
        <f>ROUND(IF(项目基本情况!$B$8="出让",SUMPRODUCT(PRODUCT(1+N33:N$40)),SUMPRODUCT(PRODUCT(1+N33:N$39))),4)</f>
        <v>1.0506</v>
      </c>
      <c r="V33" s="2027"/>
      <c r="W33" s="2027">
        <f t="shared" ref="W33:W40" si="53">T33</f>
        <v>1.0164</v>
      </c>
      <c r="X33" s="2905"/>
      <c r="Y33" s="2028"/>
      <c r="Z33" s="2901">
        <f t="shared" ref="Z33:AD40" si="54">IF(E33=0,0,ROUND(AVERAGE(E33:E41)/100,4))</f>
        <v>4.0000000000000001E-3</v>
      </c>
      <c r="AA33" s="2902">
        <f t="shared" si="54"/>
        <v>2.5999999999999999E-3</v>
      </c>
      <c r="AB33" s="2028">
        <f t="shared" si="54"/>
        <v>7.4000000000000003E-3</v>
      </c>
      <c r="AC33" s="2903"/>
      <c r="AD33" s="2028">
        <f t="shared" si="54"/>
        <v>2.5999999999999999E-3</v>
      </c>
    </row>
    <row r="34" spans="1:30" s="2045" customFormat="1" ht="12.75">
      <c r="A34" s="2904" t="s">
        <v>3365</v>
      </c>
      <c r="B34" s="2031">
        <v>2022</v>
      </c>
      <c r="C34" s="2042">
        <v>3</v>
      </c>
      <c r="D34" s="2007"/>
      <c r="E34" s="2007">
        <v>0.3</v>
      </c>
      <c r="F34" s="2007">
        <v>0.28999999999999998</v>
      </c>
      <c r="G34" s="2007">
        <v>0.83</v>
      </c>
      <c r="H34" s="2916"/>
      <c r="I34" s="2008">
        <f t="shared" si="37"/>
        <v>0.28999999999999998</v>
      </c>
      <c r="J34" s="2905"/>
      <c r="K34" s="2043"/>
      <c r="L34" s="2028">
        <f t="shared" si="38"/>
        <v>3.0000000000000001E-3</v>
      </c>
      <c r="M34" s="2028">
        <f t="shared" si="38"/>
        <v>2.8999999999999998E-3</v>
      </c>
      <c r="N34" s="2028">
        <f t="shared" si="38"/>
        <v>8.3000000000000001E-3</v>
      </c>
      <c r="O34" s="2028"/>
      <c r="P34" s="2028">
        <f t="shared" si="52"/>
        <v>2.8999999999999998E-3</v>
      </c>
      <c r="Q34" s="2905"/>
      <c r="R34" s="2027"/>
      <c r="S34" s="2027">
        <f>ROUND(IF(项目基本情况!$B$8="出让",SUMPRODUCT(PRODUCT(1+L34:L$40)),SUMPRODUCT(PRODUCT(1+L34:L$39))),4)</f>
        <v>1.0241</v>
      </c>
      <c r="T34" s="2027">
        <f>ROUND(IF(项目基本情况!$B$8="出让",SUMPRODUCT(PRODUCT(1+M34:M$40)),SUMPRODUCT(PRODUCT(1+M34:M$39))),4)</f>
        <v>1.0144</v>
      </c>
      <c r="U34" s="2027">
        <f>ROUND(IF(项目基本情况!$B$8="出让",SUMPRODUCT(PRODUCT(1+N34:N$40)),SUMPRODUCT(PRODUCT(1+N34:N$39))),4)</f>
        <v>1.0467</v>
      </c>
      <c r="V34" s="2027"/>
      <c r="W34" s="2027">
        <f t="shared" si="53"/>
        <v>1.0144</v>
      </c>
      <c r="X34" s="2905"/>
      <c r="Y34" s="2028"/>
      <c r="Z34" s="2901">
        <f t="shared" si="54"/>
        <v>3.8999999999999998E-3</v>
      </c>
      <c r="AA34" s="2902">
        <f t="shared" si="54"/>
        <v>2.7000000000000001E-3</v>
      </c>
      <c r="AB34" s="2028">
        <f t="shared" si="54"/>
        <v>7.9000000000000008E-3</v>
      </c>
      <c r="AC34" s="2903"/>
      <c r="AD34" s="2028">
        <f t="shared" si="54"/>
        <v>2.7000000000000001E-3</v>
      </c>
    </row>
    <row r="35" spans="1:30" s="2045" customFormat="1" ht="12.75">
      <c r="A35" s="2904" t="s">
        <v>3355</v>
      </c>
      <c r="B35" s="2031">
        <v>2022</v>
      </c>
      <c r="C35" s="2042">
        <v>2</v>
      </c>
      <c r="D35" s="2007"/>
      <c r="E35" s="2007">
        <v>-0.11</v>
      </c>
      <c r="F35" s="2007">
        <v>-0.13</v>
      </c>
      <c r="G35" s="2007">
        <v>0.53</v>
      </c>
      <c r="H35" s="2916"/>
      <c r="I35" s="2008">
        <f t="shared" si="37"/>
        <v>-0.13</v>
      </c>
      <c r="J35" s="2905"/>
      <c r="K35" s="2043"/>
      <c r="L35" s="2028">
        <f t="shared" si="38"/>
        <v>-1.1000000000000001E-3</v>
      </c>
      <c r="M35" s="2028">
        <f t="shared" si="38"/>
        <v>-1.2999999999999999E-3</v>
      </c>
      <c r="N35" s="2028">
        <f t="shared" si="38"/>
        <v>5.3E-3</v>
      </c>
      <c r="O35" s="2028"/>
      <c r="P35" s="2028">
        <f t="shared" si="52"/>
        <v>-1.2999999999999999E-3</v>
      </c>
      <c r="Q35" s="2905"/>
      <c r="R35" s="2027"/>
      <c r="S35" s="2027">
        <f>ROUND(IF(项目基本情况!$B$8="出让",SUMPRODUCT(PRODUCT(1+L35:L$40)),SUMPRODUCT(PRODUCT(1+L35:L$39))),4)</f>
        <v>1.0210999999999999</v>
      </c>
      <c r="T35" s="2027">
        <f>ROUND(IF(项目基本情况!$B$8="出让",SUMPRODUCT(PRODUCT(1+M35:M$40)),SUMPRODUCT(PRODUCT(1+M35:M$39))),4)</f>
        <v>1.0114000000000001</v>
      </c>
      <c r="U35" s="2027">
        <f>ROUND(IF(项目基本情况!$B$8="出让",SUMPRODUCT(PRODUCT(1+N35:N$40)),SUMPRODUCT(PRODUCT(1+N35:N$39))),4)</f>
        <v>1.0381</v>
      </c>
      <c r="V35" s="2027"/>
      <c r="W35" s="2027">
        <f t="shared" si="53"/>
        <v>1.0114000000000001</v>
      </c>
      <c r="X35" s="2905"/>
      <c r="Y35" s="2028"/>
      <c r="Z35" s="2901">
        <f t="shared" si="54"/>
        <v>4.1000000000000003E-3</v>
      </c>
      <c r="AA35" s="2902">
        <f t="shared" si="54"/>
        <v>2.7000000000000001E-3</v>
      </c>
      <c r="AB35" s="2028">
        <f t="shared" si="54"/>
        <v>7.9000000000000008E-3</v>
      </c>
      <c r="AC35" s="2903"/>
      <c r="AD35" s="2028">
        <f t="shared" si="54"/>
        <v>2.7000000000000001E-3</v>
      </c>
    </row>
    <row r="36" spans="1:30" s="2045" customFormat="1" ht="12.75">
      <c r="A36" s="2904" t="s">
        <v>2835</v>
      </c>
      <c r="B36" s="2031">
        <v>2022</v>
      </c>
      <c r="C36" s="2042">
        <v>1</v>
      </c>
      <c r="D36" s="2007"/>
      <c r="E36" s="2007">
        <v>0.6</v>
      </c>
      <c r="F36" s="2007">
        <v>0.45</v>
      </c>
      <c r="G36" s="2007">
        <v>0.53</v>
      </c>
      <c r="H36" s="2916"/>
      <c r="I36" s="2008">
        <f t="shared" si="37"/>
        <v>0.45</v>
      </c>
      <c r="J36" s="2905"/>
      <c r="K36" s="2043"/>
      <c r="L36" s="2028">
        <f t="shared" si="38"/>
        <v>6.0000000000000001E-3</v>
      </c>
      <c r="M36" s="2028">
        <f t="shared" si="38"/>
        <v>4.5000000000000005E-3</v>
      </c>
      <c r="N36" s="2028">
        <f t="shared" si="38"/>
        <v>5.3E-3</v>
      </c>
      <c r="O36" s="2028"/>
      <c r="P36" s="2028">
        <f t="shared" si="52"/>
        <v>4.5000000000000005E-3</v>
      </c>
      <c r="Q36" s="2905"/>
      <c r="R36" s="2027"/>
      <c r="S36" s="2027">
        <f>ROUND(IF(项目基本情况!$B$8="出让",SUMPRODUCT(PRODUCT(1+L36:L$40)),SUMPRODUCT(PRODUCT(1+L36:L$39))),4)</f>
        <v>1.0222</v>
      </c>
      <c r="T36" s="2027">
        <f>ROUND(IF(项目基本情况!$B$8="出让",SUMPRODUCT(PRODUCT(1+M36:M$40)),SUMPRODUCT(PRODUCT(1+M36:M$39))),4)</f>
        <v>1.0127999999999999</v>
      </c>
      <c r="U36" s="2027">
        <f>ROUND(IF(项目基本情况!$B$8="出让",SUMPRODUCT(PRODUCT(1+N36:N$40)),SUMPRODUCT(PRODUCT(1+N36:N$39))),4)</f>
        <v>1.0326</v>
      </c>
      <c r="V36" s="2027"/>
      <c r="W36" s="2027">
        <f t="shared" si="53"/>
        <v>1.0127999999999999</v>
      </c>
      <c r="X36" s="2905"/>
      <c r="Y36" s="2028"/>
      <c r="Z36" s="2901">
        <f t="shared" si="54"/>
        <v>5.1000000000000004E-3</v>
      </c>
      <c r="AA36" s="2902">
        <f t="shared" si="54"/>
        <v>3.5000000000000001E-3</v>
      </c>
      <c r="AB36" s="2028">
        <f t="shared" si="54"/>
        <v>8.3999999999999995E-3</v>
      </c>
      <c r="AC36" s="2903"/>
      <c r="AD36" s="2028">
        <f t="shared" si="54"/>
        <v>3.5000000000000001E-3</v>
      </c>
    </row>
    <row r="37" spans="1:30" s="2045" customFormat="1" ht="12.75">
      <c r="A37" s="2904" t="s">
        <v>2836</v>
      </c>
      <c r="B37" s="2031">
        <v>2021</v>
      </c>
      <c r="C37" s="2042">
        <v>4</v>
      </c>
      <c r="D37" s="2007"/>
      <c r="E37" s="2007">
        <v>0.57999999999999996</v>
      </c>
      <c r="F37" s="2007">
        <v>0.08</v>
      </c>
      <c r="G37" s="2007">
        <v>0.68</v>
      </c>
      <c r="H37" s="2916"/>
      <c r="I37" s="2008">
        <f t="shared" si="37"/>
        <v>0.08</v>
      </c>
      <c r="J37" s="2905"/>
      <c r="K37" s="2043"/>
      <c r="L37" s="2028">
        <f t="shared" si="38"/>
        <v>5.7999999999999996E-3</v>
      </c>
      <c r="M37" s="2028">
        <f t="shared" si="38"/>
        <v>8.0000000000000004E-4</v>
      </c>
      <c r="N37" s="2028">
        <f t="shared" si="38"/>
        <v>6.8000000000000005E-3</v>
      </c>
      <c r="O37" s="2028"/>
      <c r="P37" s="2028">
        <f t="shared" si="52"/>
        <v>8.0000000000000004E-4</v>
      </c>
      <c r="Q37" s="2905"/>
      <c r="R37" s="2027"/>
      <c r="S37" s="2027">
        <f>ROUND(IF(项目基本情况!$B$8="出让",SUMPRODUCT(PRODUCT(1+L37:L$40)),SUMPRODUCT(PRODUCT(1+L37:L$39))),4)</f>
        <v>1.0161</v>
      </c>
      <c r="T37" s="2027">
        <f>ROUND(IF(项目基本情况!$B$8="出让",SUMPRODUCT(PRODUCT(1+M37:M$40)),SUMPRODUCT(PRODUCT(1+M37:M$39))),4)</f>
        <v>1.0082</v>
      </c>
      <c r="U37" s="2027">
        <f>ROUND(IF(项目基本情况!$B$8="出让",SUMPRODUCT(PRODUCT(1+N37:N$40)),SUMPRODUCT(PRODUCT(1+N37:N$39))),4)</f>
        <v>1.0270999999999999</v>
      </c>
      <c r="V37" s="2027"/>
      <c r="W37" s="2027">
        <f t="shared" si="53"/>
        <v>1.0082</v>
      </c>
      <c r="X37" s="2905"/>
      <c r="Y37" s="2028"/>
      <c r="Z37" s="2901">
        <f t="shared" si="54"/>
        <v>4.8999999999999998E-3</v>
      </c>
      <c r="AA37" s="2902">
        <f t="shared" si="54"/>
        <v>3.3E-3</v>
      </c>
      <c r="AB37" s="2028">
        <f t="shared" si="54"/>
        <v>9.1999999999999998E-3</v>
      </c>
      <c r="AC37" s="2903"/>
      <c r="AD37" s="2028">
        <f t="shared" si="54"/>
        <v>3.3E-3</v>
      </c>
    </row>
    <row r="38" spans="1:30" s="2045" customFormat="1" ht="12.75">
      <c r="A38" s="2904" t="s">
        <v>2837</v>
      </c>
      <c r="B38" s="2031">
        <v>2021</v>
      </c>
      <c r="C38" s="2042">
        <v>3</v>
      </c>
      <c r="D38" s="2007"/>
      <c r="E38" s="2007">
        <v>0.47</v>
      </c>
      <c r="F38" s="2007">
        <v>0.28000000000000003</v>
      </c>
      <c r="G38" s="2007">
        <v>0.91</v>
      </c>
      <c r="H38" s="2916"/>
      <c r="I38" s="2008">
        <f t="shared" si="37"/>
        <v>0.28000000000000003</v>
      </c>
      <c r="J38" s="2905"/>
      <c r="K38" s="2043"/>
      <c r="L38" s="2028">
        <f t="shared" si="38"/>
        <v>4.6999999999999993E-3</v>
      </c>
      <c r="M38" s="2028">
        <f t="shared" si="38"/>
        <v>2.8000000000000004E-3</v>
      </c>
      <c r="N38" s="2028">
        <f t="shared" si="38"/>
        <v>9.1000000000000004E-3</v>
      </c>
      <c r="O38" s="2028"/>
      <c r="P38" s="2028">
        <f t="shared" si="52"/>
        <v>2.8000000000000004E-3</v>
      </c>
      <c r="Q38" s="2905"/>
      <c r="R38" s="2027"/>
      <c r="S38" s="2027">
        <f>ROUND(IF(项目基本情况!$B$8="出让",SUMPRODUCT(PRODUCT(1+L38:L$40)),SUMPRODUCT(PRODUCT(1+L38:L$39))),4)</f>
        <v>1.0102</v>
      </c>
      <c r="T38" s="2027">
        <f>ROUND(IF(项目基本情况!$B$8="出让",SUMPRODUCT(PRODUCT(1+M38:M$40)),SUMPRODUCT(PRODUCT(1+M38:M$39))),4)</f>
        <v>1.0074000000000001</v>
      </c>
      <c r="U38" s="2027">
        <f>ROUND(IF(项目基本情况!$B$8="出让",SUMPRODUCT(PRODUCT(1+N38:N$40)),SUMPRODUCT(PRODUCT(1+N38:N$39))),4)</f>
        <v>1.0202</v>
      </c>
      <c r="V38" s="2027"/>
      <c r="W38" s="2027">
        <f t="shared" si="53"/>
        <v>1.0074000000000001</v>
      </c>
      <c r="X38" s="2905"/>
      <c r="Y38" s="2028"/>
      <c r="Z38" s="2901">
        <f t="shared" si="54"/>
        <v>4.5999999999999999E-3</v>
      </c>
      <c r="AA38" s="2902">
        <f t="shared" si="54"/>
        <v>4.1000000000000003E-3</v>
      </c>
      <c r="AB38" s="2028">
        <f t="shared" si="54"/>
        <v>0.01</v>
      </c>
      <c r="AC38" s="2903"/>
      <c r="AD38" s="2028">
        <f t="shared" si="54"/>
        <v>4.1000000000000003E-3</v>
      </c>
    </row>
    <row r="39" spans="1:30" s="2045" customFormat="1" ht="12.75">
      <c r="A39" s="2904" t="s">
        <v>2838</v>
      </c>
      <c r="B39" s="2031">
        <v>2021</v>
      </c>
      <c r="C39" s="2042">
        <v>2</v>
      </c>
      <c r="D39" s="2007"/>
      <c r="E39" s="2007">
        <v>0.55000000000000004</v>
      </c>
      <c r="F39" s="2007">
        <v>0.46</v>
      </c>
      <c r="G39" s="2007">
        <v>1.1000000000000001</v>
      </c>
      <c r="H39" s="2916"/>
      <c r="I39" s="2008">
        <f t="shared" si="37"/>
        <v>0.46</v>
      </c>
      <c r="J39" s="2905"/>
      <c r="K39" s="2043"/>
      <c r="L39" s="2028">
        <f t="shared" si="38"/>
        <v>5.5000000000000005E-3</v>
      </c>
      <c r="M39" s="2028">
        <f t="shared" si="38"/>
        <v>4.5999999999999999E-3</v>
      </c>
      <c r="N39" s="2028">
        <f t="shared" si="38"/>
        <v>1.1000000000000001E-2</v>
      </c>
      <c r="O39" s="2028"/>
      <c r="P39" s="2028">
        <f t="shared" si="52"/>
        <v>4.5999999999999999E-3</v>
      </c>
      <c r="Q39" s="2905"/>
      <c r="R39" s="2027"/>
      <c r="S39" s="2027">
        <f>ROUND(IF(项目基本情况!$B$8="出让",SUMPRODUCT(PRODUCT(1+L39:L$40)),SUMPRODUCT(PRODUCT(1+L39:L$39))),4)</f>
        <v>1.0055000000000001</v>
      </c>
      <c r="T39" s="2027">
        <f>ROUND(IF(项目基本情况!$B$8="出让",SUMPRODUCT(PRODUCT(1+M39:M$40)),SUMPRODUCT(PRODUCT(1+M39:M$39))),4)</f>
        <v>1.0045999999999999</v>
      </c>
      <c r="U39" s="2027">
        <f>ROUND(IF(项目基本情况!$B$8="出让",SUMPRODUCT(PRODUCT(1+N39:N$40)),SUMPRODUCT(PRODUCT(1+N39:N$39))),4)</f>
        <v>1.0109999999999999</v>
      </c>
      <c r="V39" s="2027"/>
      <c r="W39" s="2027">
        <f t="shared" si="53"/>
        <v>1.0045999999999999</v>
      </c>
      <c r="X39" s="2905"/>
      <c r="Y39" s="2028"/>
      <c r="Z39" s="2901">
        <f t="shared" si="54"/>
        <v>4.4999999999999997E-3</v>
      </c>
      <c r="AA39" s="2902">
        <f t="shared" si="54"/>
        <v>4.7000000000000002E-3</v>
      </c>
      <c r="AB39" s="2028">
        <f t="shared" si="54"/>
        <v>1.04E-2</v>
      </c>
      <c r="AC39" s="2903"/>
      <c r="AD39" s="2028">
        <f t="shared" si="54"/>
        <v>4.7000000000000002E-3</v>
      </c>
    </row>
    <row r="40" spans="1:30" s="2927" customFormat="1" thickBot="1">
      <c r="A40" s="2917" t="s">
        <v>2824</v>
      </c>
      <c r="B40" s="2918">
        <v>2021</v>
      </c>
      <c r="C40" s="2919">
        <v>1</v>
      </c>
      <c r="D40" s="2920"/>
      <c r="E40" s="2920">
        <v>0.35</v>
      </c>
      <c r="F40" s="2920">
        <v>0.48</v>
      </c>
      <c r="G40" s="2920">
        <v>0.98</v>
      </c>
      <c r="H40" s="2921"/>
      <c r="I40" s="2922">
        <f t="shared" si="37"/>
        <v>0.48</v>
      </c>
      <c r="J40" s="2923"/>
      <c r="K40" s="2924"/>
      <c r="L40" s="2925">
        <f t="shared" si="38"/>
        <v>3.4999999999999996E-3</v>
      </c>
      <c r="M40" s="2925">
        <f>F40/100</f>
        <v>4.7999999999999996E-3</v>
      </c>
      <c r="N40" s="2925">
        <f t="shared" si="38"/>
        <v>9.7999999999999997E-3</v>
      </c>
      <c r="O40" s="2925"/>
      <c r="P40" s="2925">
        <f t="shared" si="52"/>
        <v>4.7999999999999996E-3</v>
      </c>
      <c r="Q40" s="2923"/>
      <c r="R40" s="2926"/>
      <c r="S40" s="2926">
        <v>1</v>
      </c>
      <c r="T40" s="2926">
        <v>1</v>
      </c>
      <c r="U40" s="2926">
        <v>1</v>
      </c>
      <c r="V40" s="2926"/>
      <c r="W40" s="2926">
        <f t="shared" si="53"/>
        <v>1</v>
      </c>
      <c r="X40" s="2923"/>
      <c r="Y40" s="2925"/>
      <c r="Z40" s="2933">
        <f t="shared" si="54"/>
        <v>3.5000000000000001E-3</v>
      </c>
      <c r="AA40" s="2934">
        <f t="shared" si="54"/>
        <v>4.7999999999999996E-3</v>
      </c>
      <c r="AB40" s="2925">
        <f t="shared" si="54"/>
        <v>9.7999999999999997E-3</v>
      </c>
      <c r="AC40" s="2935"/>
      <c r="AD40" s="2925">
        <f t="shared" si="54"/>
        <v>4.7999999999999996E-3</v>
      </c>
    </row>
    <row r="41" spans="1:30" ht="14.25" thickTop="1"/>
    <row r="42" spans="1:30">
      <c r="A42" s="3142" t="s">
        <v>3367</v>
      </c>
    </row>
  </sheetData>
  <mergeCells count="4">
    <mergeCell ref="R23:W23"/>
    <mergeCell ref="Y23:AD2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1629D-B841-47AA-B51C-785F80B1D164}">
  <dimension ref="I3:M7"/>
  <sheetViews>
    <sheetView workbookViewId="0">
      <selection activeCell="K20" sqref="K20"/>
    </sheetView>
  </sheetViews>
  <sheetFormatPr defaultRowHeight="13.5"/>
  <cols>
    <col min="10" max="10" width="13.5" customWidth="1"/>
  </cols>
  <sheetData>
    <row r="3" spans="9:13">
      <c r="I3" s="1405" t="s">
        <v>3569</v>
      </c>
      <c r="J3" s="1405" t="s">
        <v>3570</v>
      </c>
      <c r="K3">
        <v>350</v>
      </c>
      <c r="L3">
        <v>7.55</v>
      </c>
      <c r="M3" s="1405" t="s">
        <v>3574</v>
      </c>
    </row>
    <row r="4" spans="9:13">
      <c r="J4" s="1405" t="s">
        <v>3571</v>
      </c>
      <c r="K4">
        <v>300</v>
      </c>
      <c r="L4">
        <v>7.56</v>
      </c>
      <c r="M4" s="1405" t="s">
        <v>3574</v>
      </c>
    </row>
    <row r="5" spans="9:13">
      <c r="J5" s="3204" t="s">
        <v>3572</v>
      </c>
      <c r="K5" s="3204">
        <v>350</v>
      </c>
      <c r="L5" s="3204">
        <v>7.5</v>
      </c>
      <c r="M5" s="1405" t="s">
        <v>3574</v>
      </c>
    </row>
    <row r="6" spans="9:13">
      <c r="J6" s="3204" t="s">
        <v>3573</v>
      </c>
      <c r="K6" s="3204">
        <v>208</v>
      </c>
      <c r="L6" s="3204">
        <v>7.69</v>
      </c>
      <c r="M6" s="1405" t="s">
        <v>3575</v>
      </c>
    </row>
    <row r="7" spans="9:13">
      <c r="J7" s="3204" t="s">
        <v>3576</v>
      </c>
      <c r="K7" s="3204">
        <v>270</v>
      </c>
      <c r="L7" s="3204">
        <v>7.5</v>
      </c>
      <c r="M7" s="1405" t="s">
        <v>3575</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37" t="str">
        <f>IF(项目基本情况!B9="房地产市场价值","估价结果一览表","结果表-2")</f>
        <v>估价结果一览表</v>
      </c>
      <c r="B1" s="3237"/>
      <c r="C1" s="3237"/>
      <c r="D1" s="3237"/>
      <c r="E1" s="3237"/>
      <c r="F1" s="3237"/>
      <c r="G1" s="3237"/>
      <c r="H1" s="3237"/>
      <c r="I1" s="3237"/>
    </row>
    <row r="2" spans="1:9" ht="30" customHeight="1" thickTop="1">
      <c r="A2" s="3238" t="s">
        <v>928</v>
      </c>
      <c r="B2" s="3238" t="s">
        <v>929</v>
      </c>
      <c r="C2" s="3238" t="s">
        <v>930</v>
      </c>
      <c r="D2" s="3238" t="str">
        <f>结果表!D116</f>
        <v>出让国有建设用地使用权价值</v>
      </c>
      <c r="E2" s="3238"/>
      <c r="F2" s="3238" t="str">
        <f>结果表!F116</f>
        <v>在建建筑物价值</v>
      </c>
      <c r="G2" s="3238"/>
      <c r="H2" s="3238" t="str">
        <f>IF(项目基本情况!B9="房地产市场价值","房地产市场价值","房地产价值")</f>
        <v>房地产市场价值</v>
      </c>
      <c r="I2" s="3238"/>
    </row>
    <row r="3" spans="1:9" ht="15">
      <c r="A3" s="3233"/>
      <c r="B3" s="3233"/>
      <c r="C3" s="3233"/>
      <c r="D3" s="801" t="s">
        <v>925</v>
      </c>
      <c r="E3" s="801" t="s">
        <v>931</v>
      </c>
      <c r="F3" s="801" t="s">
        <v>925</v>
      </c>
      <c r="G3" s="801" t="s">
        <v>926</v>
      </c>
      <c r="H3" s="801" t="s">
        <v>925</v>
      </c>
      <c r="I3" s="801" t="s">
        <v>926</v>
      </c>
    </row>
    <row r="4" spans="1:9" ht="15">
      <c r="A4" s="1403" t="str">
        <f>项目基本情况!S2</f>
        <v>北京市房地产</v>
      </c>
      <c r="B4" s="801">
        <f>项目基本情况!C17</f>
        <v>4769.92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33" t="s">
        <v>927</v>
      </c>
      <c r="B5" s="3233"/>
      <c r="C5" s="3233"/>
      <c r="D5" s="3233" t="e">
        <f ca="1">结果表!D119</f>
        <v>#REF!</v>
      </c>
      <c r="E5" s="3233"/>
      <c r="F5" s="3233" t="e">
        <f ca="1">结果表!F119</f>
        <v>#REF!</v>
      </c>
      <c r="G5" s="3233"/>
      <c r="H5" s="3233" t="e">
        <f ca="1">结果表!H119</f>
        <v>#REF!</v>
      </c>
      <c r="I5" s="3233"/>
    </row>
    <row r="6" spans="1:9" ht="15.75">
      <c r="A6" s="3232" t="str">
        <f>结果表!A120</f>
        <v/>
      </c>
      <c r="B6" s="3232"/>
      <c r="C6" s="3232"/>
      <c r="D6" s="3232">
        <f>结果表!D120</f>
        <v>0</v>
      </c>
      <c r="E6" s="3232"/>
      <c r="F6" s="3232"/>
      <c r="G6" s="3232"/>
      <c r="H6" s="3232"/>
      <c r="I6" s="3232"/>
    </row>
    <row r="7" spans="1:9" ht="15">
      <c r="A7" s="3233" t="s">
        <v>927</v>
      </c>
      <c r="B7" s="3233"/>
      <c r="C7" s="3233"/>
      <c r="D7" s="3234" t="str">
        <f>结果表!D121</f>
        <v>零元整</v>
      </c>
      <c r="E7" s="3235"/>
      <c r="F7" s="3235"/>
      <c r="G7" s="3235"/>
      <c r="H7" s="3235"/>
      <c r="I7" s="3236"/>
    </row>
    <row r="8" spans="1:9" ht="15.75">
      <c r="A8" s="3232" t="str">
        <f>结果表!A122</f>
        <v/>
      </c>
      <c r="B8" s="3232"/>
      <c r="C8" s="3232"/>
      <c r="D8" s="3232" t="e">
        <f ca="1">结果表!D122</f>
        <v>#REF!</v>
      </c>
      <c r="E8" s="3232"/>
      <c r="F8" s="3232"/>
      <c r="G8" s="3232"/>
      <c r="H8" s="3232"/>
      <c r="I8" s="3232"/>
    </row>
    <row r="9" spans="1:9" ht="15">
      <c r="A9" s="3233" t="s">
        <v>927</v>
      </c>
      <c r="B9" s="3233"/>
      <c r="C9" s="3233"/>
      <c r="D9" s="3233" t="e">
        <f ca="1">结果表!D123</f>
        <v>#REF!</v>
      </c>
      <c r="E9" s="3233"/>
      <c r="F9" s="3233"/>
      <c r="G9" s="3233"/>
      <c r="H9" s="3233"/>
      <c r="I9" s="3233"/>
    </row>
    <row r="10" spans="1:9" ht="15.75">
      <c r="A10" s="3232" t="str">
        <f>结果表!A124</f>
        <v/>
      </c>
      <c r="B10" s="3232"/>
      <c r="C10" s="3232"/>
      <c r="D10" s="3232" t="str">
        <f>结果表!D124</f>
        <v>——</v>
      </c>
      <c r="E10" s="3232"/>
      <c r="F10" s="3232"/>
      <c r="G10" s="3232"/>
      <c r="H10" s="3232"/>
      <c r="I10" s="3232"/>
    </row>
    <row r="11" spans="1:9" ht="15">
      <c r="A11" s="3233" t="s">
        <v>927</v>
      </c>
      <c r="B11" s="3233"/>
      <c r="C11" s="3233"/>
      <c r="D11" s="3233" t="e">
        <f>结果表!D125</f>
        <v>#VALUE!</v>
      </c>
      <c r="E11" s="3233"/>
      <c r="F11" s="3233"/>
      <c r="G11" s="3233"/>
      <c r="H11" s="3233"/>
      <c r="I11" s="3233"/>
    </row>
    <row r="12" spans="1:9" ht="15.75">
      <c r="A12" s="3232" t="str">
        <f>结果表!A126</f>
        <v/>
      </c>
      <c r="B12" s="3232"/>
      <c r="C12" s="3232"/>
      <c r="D12" s="3232" t="str">
        <f>结果表!D126</f>
        <v>——</v>
      </c>
      <c r="E12" s="3232"/>
      <c r="F12" s="3232"/>
      <c r="G12" s="3232"/>
      <c r="H12" s="3232"/>
      <c r="I12" s="3232"/>
    </row>
    <row r="13" spans="1:9" ht="15.75" thickBot="1">
      <c r="A13" s="3230" t="s">
        <v>927</v>
      </c>
      <c r="B13" s="3230"/>
      <c r="C13" s="3230"/>
      <c r="D13" s="3230" t="e">
        <f>结果表!D127</f>
        <v>#VALUE!</v>
      </c>
      <c r="E13" s="3230"/>
      <c r="F13" s="3230"/>
      <c r="G13" s="3230"/>
      <c r="H13" s="3230"/>
      <c r="I13" s="3230"/>
    </row>
    <row r="14" spans="1:9" ht="15" thickTop="1">
      <c r="A14" s="3231" t="s">
        <v>932</v>
      </c>
      <c r="B14" s="3231"/>
      <c r="C14" s="3231"/>
      <c r="D14" s="3231"/>
      <c r="E14" s="3231"/>
      <c r="F14" s="3231"/>
      <c r="G14" s="3231"/>
      <c r="H14" s="3231"/>
      <c r="I14" s="323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7F151-0E25-43C0-ACCC-1B7CEC9D6AEB}">
  <dimension ref="A1"/>
  <sheetViews>
    <sheetView workbookViewId="0">
      <selection activeCell="K1" sqref="K1:K1048576"/>
    </sheetView>
  </sheetViews>
  <sheetFormatPr defaultRowHeight="13.5"/>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92" t="s">
        <v>452</v>
      </c>
      <c r="C1" s="3592"/>
      <c r="D1" s="3592"/>
      <c r="E1" s="3592"/>
      <c r="F1" s="3592"/>
      <c r="G1" s="3588" t="s">
        <v>453</v>
      </c>
      <c r="H1" s="3588"/>
      <c r="I1" s="3588"/>
      <c r="J1" s="3588"/>
      <c r="K1" s="3588"/>
      <c r="L1" s="3588"/>
      <c r="N1" s="3588" t="s">
        <v>454</v>
      </c>
      <c r="O1" s="3588"/>
      <c r="P1" s="3588"/>
      <c r="Q1" s="3588"/>
      <c r="S1" s="3588" t="s">
        <v>455</v>
      </c>
      <c r="T1" s="3588"/>
      <c r="U1" s="3588"/>
      <c r="V1" s="3588"/>
      <c r="X1" s="3587" t="s">
        <v>456</v>
      </c>
      <c r="Y1" s="3588"/>
      <c r="Z1" s="3588"/>
      <c r="AA1" s="3588"/>
      <c r="AB1" s="3588"/>
      <c r="AD1" s="3587" t="s">
        <v>457</v>
      </c>
      <c r="AE1" s="3588"/>
      <c r="AF1" s="3588"/>
      <c r="AG1" s="3588"/>
      <c r="AH1" s="358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9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9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9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9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9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9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9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9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9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9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9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9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8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9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9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9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8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9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9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9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9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9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9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9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8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9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9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9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8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9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9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9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8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9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9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9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8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9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9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9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8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9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9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9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8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9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9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9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8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9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9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9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8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9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9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9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8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9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9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9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8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9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9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9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8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9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9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9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F2" sqref="F2"/>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45352</v>
      </c>
      <c r="D1" s="1217" t="s">
        <v>603</v>
      </c>
      <c r="E1" s="1212">
        <f>'数据-取费表'!B22</f>
        <v>2</v>
      </c>
      <c r="F1" s="1217" t="s">
        <v>604</v>
      </c>
      <c r="G1" s="1213">
        <f ca="1">INDIRECT("d"&amp;$K$1)/100</f>
        <v>3.4500000000000003E-2</v>
      </c>
      <c r="H1" s="1217" t="s">
        <v>634</v>
      </c>
      <c r="I1" s="1213">
        <f ca="1">F4/100</f>
        <v>1.4999999999999999E-2</v>
      </c>
      <c r="J1" s="1218">
        <f>IF(C1&gt;C13,0,MATCH(C1,C$13:C$111,-1))+IF(SUMIF(C13:C111,C1,D13:D111)=0,13,12)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3.45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3.45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3.45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3.45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0" t="s">
        <v>2309</v>
      </c>
      <c r="C23" s="1207">
        <v>43697</v>
      </c>
      <c r="D23" s="2573">
        <v>4.25</v>
      </c>
      <c r="E23" s="2573">
        <v>4.25</v>
      </c>
      <c r="F23" s="2573">
        <v>4.25</v>
      </c>
      <c r="G23" s="2573">
        <v>4.25</v>
      </c>
      <c r="H23" s="2573">
        <v>4.8499999999999996</v>
      </c>
      <c r="I23" s="2573"/>
      <c r="J23" s="2573"/>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6"/>
      <c r="C24" s="2577">
        <v>42301</v>
      </c>
      <c r="D24" s="2578">
        <v>4.3499999999999996</v>
      </c>
      <c r="E24" s="2578">
        <v>4.3499999999999996</v>
      </c>
      <c r="F24" s="2578">
        <v>4.75</v>
      </c>
      <c r="G24" s="2578">
        <v>4.75</v>
      </c>
      <c r="H24" s="2578">
        <v>4.9000000000000004</v>
      </c>
      <c r="I24" s="2578"/>
      <c r="J24" s="2578"/>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45" t="s">
        <v>949</v>
      </c>
      <c r="B1" s="3245"/>
      <c r="C1" s="3245"/>
      <c r="D1" s="3245"/>
    </row>
    <row r="2" spans="1:4" ht="18">
      <c r="A2" s="3246" t="s">
        <v>933</v>
      </c>
      <c r="B2" s="3246"/>
      <c r="C2" s="3246"/>
      <c r="D2" s="324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46" t="s">
        <v>939</v>
      </c>
      <c r="B6" s="3246"/>
      <c r="C6" s="3246"/>
      <c r="D6" s="324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47" t="s">
        <v>942</v>
      </c>
      <c r="B11" s="3239"/>
      <c r="C11" s="3239"/>
      <c r="D11" s="3239"/>
    </row>
    <row r="12" spans="1:4" ht="15.75">
      <c r="A12" s="32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4"/>
      <c r="C12" s="3244"/>
      <c r="D12" s="3244"/>
    </row>
    <row r="13" spans="1:4" ht="30" customHeight="1">
      <c r="A13" s="3239" t="str">
        <f>IF(项目基本情况!B8="抵押","3.抵押双方在办理抵押登记手续时，应使用本公司出具的正式《房地产评估报告》，特提醒报告使用者注意。","——")</f>
        <v>——</v>
      </c>
      <c r="B13" s="3244"/>
      <c r="C13" s="3244"/>
      <c r="D13" s="3244"/>
    </row>
    <row r="14" spans="1:4" ht="15.75" customHeight="1">
      <c r="A14" s="3239" t="str">
        <f>IF(项目基本情况!B8="抵押","4.本次评估估价师所知悉的法定优先受偿款情况说明如下：","——")</f>
        <v>——</v>
      </c>
      <c r="B14" s="3244"/>
      <c r="C14" s="3244"/>
      <c r="D14" s="3244"/>
    </row>
    <row r="15" spans="1:4" ht="42" customHeight="1">
      <c r="A15" s="3239" t="str">
        <f>IF(项目基本情况!B8="抵押","（1）"&amp;CONCATENATE(项目基本情况!L20,项目基本情况!L21,项目基本情况!L22),"——")</f>
        <v>——</v>
      </c>
      <c r="B15" s="3239"/>
      <c r="C15" s="3239"/>
      <c r="D15" s="3239"/>
    </row>
    <row r="16" spans="1:4" ht="30" customHeight="1">
      <c r="A16" s="3241" t="s">
        <v>943</v>
      </c>
      <c r="B16" s="3241"/>
      <c r="C16" s="3241"/>
      <c r="D16" s="3241"/>
    </row>
    <row r="17" spans="1:4" ht="144" customHeight="1">
      <c r="A17" s="3241" t="s">
        <v>944</v>
      </c>
      <c r="B17" s="3241"/>
      <c r="C17" s="3241"/>
      <c r="D17" s="3241"/>
    </row>
    <row r="18" spans="1:4" ht="15.75" customHeight="1">
      <c r="A18" s="3239" t="str">
        <f>IF(项目基本情况!B8="抵押",结果表!K120,"——")</f>
        <v>——</v>
      </c>
      <c r="B18" s="3239"/>
      <c r="C18" s="3239"/>
      <c r="D18" s="3239"/>
    </row>
    <row r="19" spans="1:4" ht="46.5" customHeight="1">
      <c r="A19" s="32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9"/>
      <c r="C19" s="3239"/>
      <c r="D19" s="3239"/>
    </row>
    <row r="20" spans="1:4" ht="57.75" customHeight="1">
      <c r="A20" s="32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9"/>
      <c r="C20" s="3239"/>
      <c r="D20" s="3239"/>
    </row>
    <row r="21" spans="1:4" ht="57.75" customHeight="1">
      <c r="A21" s="32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2"/>
      <c r="C21" s="3242"/>
      <c r="D21" s="3242"/>
    </row>
    <row r="22" spans="1:4" ht="18.75" customHeight="1">
      <c r="A22" s="3243" t="s">
        <v>945</v>
      </c>
      <c r="B22" s="3243"/>
      <c r="C22" s="3243"/>
      <c r="D22" s="324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40">
        <v>42551</v>
      </c>
      <c r="D31" s="32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53" t="s">
        <v>956</v>
      </c>
      <c r="B15" s="3248" t="s">
        <v>109</v>
      </c>
      <c r="C15" s="3249"/>
    </row>
    <row r="16" spans="1:7" ht="13.5">
      <c r="A16" s="3254"/>
      <c r="B16" s="3248" t="s">
        <v>42</v>
      </c>
      <c r="C16" s="3249"/>
    </row>
    <row r="17" spans="1:3" ht="13.5">
      <c r="A17" s="3254"/>
      <c r="B17" s="3251" t="s">
        <v>957</v>
      </c>
      <c r="C17" s="1429" t="s">
        <v>956</v>
      </c>
    </row>
    <row r="18" spans="1:3" ht="13.5">
      <c r="A18" s="3254"/>
      <c r="B18" s="3251"/>
      <c r="C18" s="1429" t="s">
        <v>958</v>
      </c>
    </row>
    <row r="19" spans="1:3" ht="13.5">
      <c r="A19" s="3254"/>
      <c r="B19" s="3251"/>
      <c r="C19" s="1429" t="s">
        <v>959</v>
      </c>
    </row>
    <row r="20" spans="1:3" ht="13.5">
      <c r="A20" s="3255"/>
      <c r="B20" s="3250" t="s">
        <v>960</v>
      </c>
      <c r="C20" s="3249"/>
    </row>
    <row r="21" spans="1:3" ht="13.5">
      <c r="A21" s="1430" t="s">
        <v>961</v>
      </c>
      <c r="B21" s="1431"/>
      <c r="C21" s="1432"/>
    </row>
    <row r="22" spans="1:3" ht="13.5">
      <c r="A22" s="3252" t="s">
        <v>962</v>
      </c>
      <c r="B22" s="3250" t="s">
        <v>963</v>
      </c>
      <c r="C22" s="3249"/>
    </row>
    <row r="23" spans="1:3" ht="13.5">
      <c r="A23" s="3252"/>
      <c r="B23" s="3250" t="s">
        <v>964</v>
      </c>
      <c r="C23" s="3249"/>
    </row>
    <row r="24" spans="1:3" ht="13.5">
      <c r="A24" s="3252"/>
      <c r="B24" s="3250" t="s">
        <v>965</v>
      </c>
      <c r="C24" s="3249"/>
    </row>
    <row r="25" spans="1:3" ht="13.5">
      <c r="A25" s="3252"/>
      <c r="B25" s="3251" t="s">
        <v>966</v>
      </c>
      <c r="C25" s="1429" t="s">
        <v>967</v>
      </c>
    </row>
    <row r="26" spans="1:3" ht="13.5">
      <c r="A26" s="3252"/>
      <c r="B26" s="3251"/>
      <c r="C26" s="1429" t="s">
        <v>968</v>
      </c>
    </row>
    <row r="27" spans="1:3" ht="13.5">
      <c r="A27" s="3252"/>
      <c r="B27" s="3251"/>
      <c r="C27" s="1429" t="s">
        <v>969</v>
      </c>
    </row>
    <row r="28" spans="1:3" ht="13.5">
      <c r="A28" s="3252"/>
      <c r="B28" s="3251"/>
      <c r="C28" s="1429" t="s">
        <v>970</v>
      </c>
    </row>
    <row r="29" spans="1:3" ht="13.5">
      <c r="A29" s="3252"/>
      <c r="B29" s="3251"/>
      <c r="C29" s="1429" t="s">
        <v>971</v>
      </c>
    </row>
    <row r="30" spans="1:3" ht="13.5">
      <c r="A30" s="3252"/>
      <c r="B30" s="3251"/>
      <c r="C30" s="1429" t="s">
        <v>972</v>
      </c>
    </row>
    <row r="31" spans="1:3" ht="13.5">
      <c r="A31" s="3252"/>
      <c r="B31" s="3251"/>
      <c r="C31" s="1429" t="s">
        <v>973</v>
      </c>
    </row>
    <row r="32" spans="1:3" ht="13.5">
      <c r="A32" s="3252"/>
      <c r="B32" s="3251"/>
      <c r="C32" s="1429" t="s">
        <v>974</v>
      </c>
    </row>
    <row r="33" spans="1:3" ht="13.5">
      <c r="A33" s="3252"/>
      <c r="B33" s="325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45356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56" t="s">
        <v>2160</v>
      </c>
      <c r="B17" s="3256"/>
      <c r="C17" s="3256"/>
      <c r="D17" s="3256"/>
      <c r="E17" s="3256"/>
      <c r="F17" s="3256"/>
      <c r="G17" s="3256"/>
      <c r="H17" s="3256"/>
    </row>
    <row r="18" spans="1:8" ht="24" customHeight="1">
      <c r="A18" s="3257" t="s">
        <v>2161</v>
      </c>
      <c r="B18" s="3257"/>
      <c r="C18" s="3257"/>
      <c r="D18" s="2160"/>
      <c r="E18" s="3258" t="s">
        <v>2162</v>
      </c>
      <c r="F18" s="3257"/>
      <c r="G18" s="325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198" priority="53">
      <formula>AND($C4-TODAY()&lt;30,TODAY()&lt;$C4)</formula>
    </cfRule>
  </conditionalFormatting>
  <conditionalFormatting sqref="C20:D20">
    <cfRule type="expression" dxfId="197" priority="52">
      <formula>AND($C20-TODAY()&lt;30,TODAY()&lt;$C20)</formula>
    </cfRule>
  </conditionalFormatting>
  <conditionalFormatting sqref="C20:D20 G4 C4:D5 C13:D13">
    <cfRule type="cellIs" dxfId="196" priority="54" stopIfTrue="1" operator="lessThan">
      <formula>$B$2</formula>
    </cfRule>
  </conditionalFormatting>
  <conditionalFormatting sqref="G5 G7 G9">
    <cfRule type="cellIs" dxfId="195" priority="51" stopIfTrue="1" operator="lessThan">
      <formula>$B$2</formula>
    </cfRule>
  </conditionalFormatting>
  <conditionalFormatting sqref="C6:D6 D14 D16">
    <cfRule type="expression" dxfId="194" priority="49">
      <formula>AND($C6-TODAY()&lt;30,TODAY()&lt;$C6)</formula>
    </cfRule>
  </conditionalFormatting>
  <conditionalFormatting sqref="G6 G8 G10 C6:D6 D7:D12 D14 D16">
    <cfRule type="cellIs" dxfId="193" priority="50" stopIfTrue="1" operator="lessThan">
      <formula>$B$2</formula>
    </cfRule>
  </conditionalFormatting>
  <conditionalFormatting sqref="D12">
    <cfRule type="expression" dxfId="192" priority="47">
      <formula>AND($C12-TODAY()&lt;30,TODAY()&lt;$C12)</formula>
    </cfRule>
  </conditionalFormatting>
  <conditionalFormatting sqref="D12">
    <cfRule type="cellIs" dxfId="191" priority="48" stopIfTrue="1" operator="lessThan">
      <formula>$B$2</formula>
    </cfRule>
  </conditionalFormatting>
  <conditionalFormatting sqref="C13:D13">
    <cfRule type="expression" dxfId="190" priority="45">
      <formula>AND($C13-TODAY()&lt;30,TODAY()&lt;$C13)</formula>
    </cfRule>
  </conditionalFormatting>
  <conditionalFormatting sqref="C13:D13">
    <cfRule type="cellIs" dxfId="189" priority="46" stopIfTrue="1" operator="lessThan">
      <formula>$B$2</formula>
    </cfRule>
  </conditionalFormatting>
  <conditionalFormatting sqref="D14">
    <cfRule type="expression" dxfId="188" priority="43">
      <formula>AND($C14-TODAY()&lt;30,TODAY()&lt;$C14)</formula>
    </cfRule>
  </conditionalFormatting>
  <conditionalFormatting sqref="D14">
    <cfRule type="cellIs" dxfId="187" priority="44" stopIfTrue="1" operator="lessThan">
      <formula>$B$2</formula>
    </cfRule>
  </conditionalFormatting>
  <conditionalFormatting sqref="G13">
    <cfRule type="cellIs" dxfId="186" priority="42" stopIfTrue="1" operator="lessThan">
      <formula>$B$2</formula>
    </cfRule>
  </conditionalFormatting>
  <conditionalFormatting sqref="B4:B11 F4:F11 B13 F13:F14">
    <cfRule type="cellIs" dxfId="185" priority="41" stopIfTrue="1" operator="equal">
      <formula>"已过期"</formula>
    </cfRule>
  </conditionalFormatting>
  <conditionalFormatting sqref="C7">
    <cfRule type="cellIs" dxfId="184" priority="38" stopIfTrue="1" operator="lessThan">
      <formula>$B$2</formula>
    </cfRule>
  </conditionalFormatting>
  <conditionalFormatting sqref="C7">
    <cfRule type="expression" dxfId="183" priority="37">
      <formula>AND($C7-TODAY()&lt;30,TODAY()&lt;$C7)</formula>
    </cfRule>
  </conditionalFormatting>
  <conditionalFormatting sqref="C8">
    <cfRule type="expression" dxfId="182" priority="35">
      <formula>AND($C8-TODAY()&lt;30,TODAY()&lt;$C8)</formula>
    </cfRule>
  </conditionalFormatting>
  <conditionalFormatting sqref="C8">
    <cfRule type="cellIs" dxfId="181" priority="36" stopIfTrue="1" operator="lessThan">
      <formula>$B$2</formula>
    </cfRule>
  </conditionalFormatting>
  <conditionalFormatting sqref="C11">
    <cfRule type="expression" dxfId="180" priority="33">
      <formula>AND($C11-TODAY()&lt;30,TODAY()&lt;$C11)</formula>
    </cfRule>
  </conditionalFormatting>
  <conditionalFormatting sqref="C11">
    <cfRule type="cellIs" dxfId="179" priority="34" stopIfTrue="1" operator="lessThan">
      <formula>$B$2</formula>
    </cfRule>
  </conditionalFormatting>
  <conditionalFormatting sqref="A16:C16">
    <cfRule type="cellIs" dxfId="178" priority="32" stopIfTrue="1" operator="equal">
      <formula>"已过期"</formula>
    </cfRule>
  </conditionalFormatting>
  <conditionalFormatting sqref="E16:G16">
    <cfRule type="cellIs" dxfId="177" priority="31" stopIfTrue="1" operator="equal">
      <formula>"已过期"</formula>
    </cfRule>
  </conditionalFormatting>
  <conditionalFormatting sqref="G11">
    <cfRule type="cellIs" dxfId="176" priority="30" stopIfTrue="1" operator="lessThan">
      <formula>$B$2</formula>
    </cfRule>
  </conditionalFormatting>
  <conditionalFormatting sqref="F12">
    <cfRule type="cellIs" dxfId="175" priority="29" stopIfTrue="1" operator="equal">
      <formula>"已过期"</formula>
    </cfRule>
  </conditionalFormatting>
  <conditionalFormatting sqref="G12">
    <cfRule type="cellIs" dxfId="174" priority="28" stopIfTrue="1" operator="lessThan">
      <formula>$B$2</formula>
    </cfRule>
  </conditionalFormatting>
  <conditionalFormatting sqref="C12">
    <cfRule type="cellIs" dxfId="173" priority="27" stopIfTrue="1" operator="lessThan">
      <formula>$B$2</formula>
    </cfRule>
  </conditionalFormatting>
  <conditionalFormatting sqref="C12">
    <cfRule type="expression" dxfId="172" priority="25">
      <formula>AND($C12-TODAY()&lt;30,TODAY()&lt;$C12)</formula>
    </cfRule>
  </conditionalFormatting>
  <conditionalFormatting sqref="C12">
    <cfRule type="cellIs" dxfId="171" priority="26" stopIfTrue="1" operator="lessThan">
      <formula>$B$2</formula>
    </cfRule>
  </conditionalFormatting>
  <conditionalFormatting sqref="B12">
    <cfRule type="cellIs" dxfId="170" priority="24" stopIfTrue="1" operator="equal">
      <formula>"已过期"</formula>
    </cfRule>
  </conditionalFormatting>
  <conditionalFormatting sqref="C9:C10">
    <cfRule type="expression" dxfId="169" priority="22">
      <formula>AND($C9-TODAY()&lt;30,TODAY()&lt;$C9)</formula>
    </cfRule>
  </conditionalFormatting>
  <conditionalFormatting sqref="C9:C10">
    <cfRule type="cellIs" dxfId="168" priority="23" stopIfTrue="1" operator="lessThan">
      <formula>$B$2</formula>
    </cfRule>
  </conditionalFormatting>
  <conditionalFormatting sqref="G21">
    <cfRule type="expression" dxfId="167" priority="20" stopIfTrue="1">
      <formula>AND(#REF!-TODAY()&lt;30,TODAY()&lt;#REF!)</formula>
    </cfRule>
  </conditionalFormatting>
  <conditionalFormatting sqref="G21">
    <cfRule type="cellIs" dxfId="166" priority="21" stopIfTrue="1" operator="lessThan">
      <formula>$B$2</formula>
    </cfRule>
  </conditionalFormatting>
  <conditionalFormatting sqref="C14">
    <cfRule type="expression" dxfId="165" priority="18">
      <formula>AND($C14-TODAY()&lt;30,TODAY()&lt;$C14)</formula>
    </cfRule>
  </conditionalFormatting>
  <conditionalFormatting sqref="C14">
    <cfRule type="cellIs" dxfId="164" priority="19" stopIfTrue="1" operator="lessThan">
      <formula>$B$2</formula>
    </cfRule>
  </conditionalFormatting>
  <conditionalFormatting sqref="C14">
    <cfRule type="expression" dxfId="163" priority="16">
      <formula>AND($C14-TODAY()&lt;30,TODAY()&lt;$C14)</formula>
    </cfRule>
  </conditionalFormatting>
  <conditionalFormatting sqref="C14">
    <cfRule type="cellIs" dxfId="162" priority="17" stopIfTrue="1" operator="lessThan">
      <formula>$B$2</formula>
    </cfRule>
  </conditionalFormatting>
  <conditionalFormatting sqref="B14">
    <cfRule type="cellIs" dxfId="161" priority="15" stopIfTrue="1" operator="equal">
      <formula>"已过期"</formula>
    </cfRule>
  </conditionalFormatting>
  <conditionalFormatting sqref="G14">
    <cfRule type="cellIs" dxfId="160" priority="14" stopIfTrue="1" operator="lessThan">
      <formula>$B$2</formula>
    </cfRule>
  </conditionalFormatting>
  <conditionalFormatting sqref="D15">
    <cfRule type="expression" dxfId="159" priority="12">
      <formula>AND($C15-TODAY()&lt;30,TODAY()&lt;$C15)</formula>
    </cfRule>
  </conditionalFormatting>
  <conditionalFormatting sqref="D15">
    <cfRule type="cellIs" dxfId="158" priority="13" stopIfTrue="1" operator="lessThan">
      <formula>$B$2</formula>
    </cfRule>
  </conditionalFormatting>
  <conditionalFormatting sqref="D15">
    <cfRule type="expression" dxfId="157" priority="10">
      <formula>AND($C15-TODAY()&lt;30,TODAY()&lt;$C15)</formula>
    </cfRule>
  </conditionalFormatting>
  <conditionalFormatting sqref="D15">
    <cfRule type="cellIs" dxfId="156" priority="11" stopIfTrue="1" operator="lessThan">
      <formula>$B$2</formula>
    </cfRule>
  </conditionalFormatting>
  <conditionalFormatting sqref="F15">
    <cfRule type="cellIs" dxfId="155" priority="9" stopIfTrue="1" operator="equal">
      <formula>"已过期"</formula>
    </cfRule>
  </conditionalFormatting>
  <conditionalFormatting sqref="C15">
    <cfRule type="expression" dxfId="154" priority="7">
      <formula>AND($C15-TODAY()&lt;30,TODAY()&lt;$C15)</formula>
    </cfRule>
  </conditionalFormatting>
  <conditionalFormatting sqref="C15">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5">
    <cfRule type="cellIs" dxfId="150" priority="4" stopIfTrue="1" operator="equal">
      <formula>"已过期"</formula>
    </cfRule>
  </conditionalFormatting>
  <conditionalFormatting sqref="G15">
    <cfRule type="cellIs" dxfId="149" priority="3" stopIfTrue="1" operator="lessThan">
      <formula>$B$2</formula>
    </cfRule>
  </conditionalFormatting>
  <conditionalFormatting sqref="G20">
    <cfRule type="expression" dxfId="148" priority="1" stopIfTrue="1">
      <formula>AND(#REF!-TODAY()&lt;30,TODAY()&lt;#REF!)</formula>
    </cfRule>
  </conditionalFormatting>
  <conditionalFormatting sqref="G20">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154</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结果一览表-商业</vt:lpstr>
      <vt:lpstr>成本法</vt:lpstr>
      <vt:lpstr>比较法-商业-租金</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基准地价修正-商业</vt:lpstr>
      <vt:lpstr>结果一览表-库房</vt:lpstr>
      <vt:lpstr>成本法 (元) -库房</vt:lpstr>
      <vt:lpstr>基准地价修正-库房</vt:lpstr>
      <vt:lpstr>比较法-仓储</vt:lpstr>
      <vt:lpstr>库房案例</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Sheet2</vt:lpstr>
      <vt:lpstr>Sheet1</vt:lpstr>
      <vt:lpstr>地价</vt:lpstr>
      <vt:lpstr>存贷款利率</vt:lpstr>
      <vt:lpstr>'比较法-办公'!Print_Area</vt:lpstr>
      <vt:lpstr>'比较法-仓储'!Print_Area</vt:lpstr>
      <vt:lpstr>'比较法-车位'!Print_Area</vt:lpstr>
      <vt:lpstr>'比较法-工业'!Print_Area</vt:lpstr>
      <vt:lpstr>'比较法-商业-租金'!Print_Area</vt:lpstr>
      <vt:lpstr>'比较法-住宅'!Print_Area</vt:lpstr>
      <vt:lpstr>成本法!Print_Area</vt:lpstr>
      <vt:lpstr>'成本法 (元)'!Print_Area</vt:lpstr>
      <vt:lpstr>'成本法 (元) -库房'!Print_Area</vt:lpstr>
      <vt:lpstr>估价对象房地状况!Print_Area</vt:lpstr>
      <vt:lpstr>估价师及机构信息!Print_Area</vt:lpstr>
      <vt:lpstr>'基准地价（汇总）'!Print_Area</vt:lpstr>
      <vt:lpstr>'基准地价修正-库房'!Print_Area</vt:lpstr>
      <vt:lpstr>'基准地价修正-商业'!Print_Area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2024-03-05T07:39:50Z</dcterms:modified>
</cp:coreProperties>
</file>